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7.xml" ContentType="application/vnd.openxmlformats-officedocument.drawing+xml"/>
  <Override PartName="/xl/charts/colors12.xml" ContentType="application/vnd.ms-office.chartcolorstyle+xml"/>
  <Override PartName="/xl/worksheets/sheet3.xml" ContentType="application/vnd.openxmlformats-officedocument.spreadsheetml.worksheet+xml"/>
  <Override PartName="/xl/worksheets/sheet2.xml" ContentType="application/vnd.openxmlformats-officedocument.spreadsheetml.worksheet+xml"/>
  <Override PartName="/xl/charts/style12.xml" ContentType="application/vnd.ms-office.chartstyle+xml"/>
  <Override PartName="/xl/charts/chart15.xml" ContentType="application/vnd.openxmlformats-officedocument.drawingml.chart+xml"/>
  <Override PartName="/xl/charts/colors11.xml" ContentType="application/vnd.ms-office.chartcolorstyle+xml"/>
  <Override PartName="/xl/charts/chart12.xml" ContentType="application/vnd.openxmlformats-officedocument.drawingml.chart+xml"/>
  <Override PartName="/xl/drawings/drawing6.xml" ContentType="application/vnd.openxmlformats-officedocument.drawing+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9.xml" ContentType="application/vnd.ms-office.chartcolorstyle+xml"/>
  <Override PartName="/xl/charts/chart13.xml" ContentType="application/vnd.openxmlformats-officedocument.drawingml.chart+xml"/>
  <Override PartName="/xl/charts/style11.xml" ContentType="application/vnd.ms-office.chartstyle+xml"/>
  <Override PartName="/xl/charts/chart14.xml" ContentType="application/vnd.openxmlformats-officedocument.drawingml.chart+xml"/>
  <Override PartName="/xl/charts/colors10.xml" ContentType="application/vnd.ms-office.chartcolorstyle+xml"/>
  <Override PartName="/xl/worksheets/sheet1.xml" ContentType="application/vnd.openxmlformats-officedocument.spreadsheetml.worksheet+xml"/>
  <Override PartName="/xl/charts/chart11.xml" ContentType="application/vnd.openxmlformats-officedocument.drawingml.chart+xml"/>
  <Override PartName="/xl/charts/style10.xml" ContentType="application/vnd.ms-office.chartstyle+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charts/colors3.xml" ContentType="application/vnd.ms-office.chartcolorstyle+xml"/>
  <Override PartName="/xl/worksheets/sheet10.xml" ContentType="application/vnd.openxmlformats-officedocument.spreadsheetml.worksheet+xml"/>
  <Override PartName="/xl/sharedStrings.xml" ContentType="application/vnd.openxmlformats-officedocument.spreadsheetml.sharedStrings+xml"/>
  <Override PartName="/xl/drawings/drawing5.xml" ContentType="application/vnd.openxmlformats-officedocument.drawing+xml"/>
  <Override PartName="/xl/charts/style3.xml" ContentType="application/vnd.ms-office.chartsty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charts/colors5.xml" ContentType="application/vnd.ms-office.chartcolorstyle+xml"/>
  <Override PartName="/xl/charts/chart8.xml" ContentType="application/vnd.openxmlformats-officedocument.drawingml.chart+xml"/>
  <Override PartName="/xl/worksheets/sheet7.xml" ContentType="application/vnd.openxmlformats-officedocument.spreadsheetml.worksheet+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hart6.xml" ContentType="application/vnd.openxmlformats-officedocument.drawingml.chart+xml"/>
  <Override PartName="/xl/worksheets/sheet6.xml" ContentType="application/vnd.openxmlformats-officedocument.spreadsheetml.worksheet+xml"/>
  <Override PartName="/xl/drawings/drawing3.xml" ContentType="application/vnd.openxmlformats-officedocument.drawing+xml"/>
  <Override PartName="/xl/charts/chart7.xml" ContentType="application/vnd.openxmlformats-officedocument.drawingml.chart+xml"/>
  <Override PartName="/xl/worksheets/sheet5.xml" ContentType="application/vnd.openxmlformats-officedocument.spreadsheetml.worksheet+xml"/>
  <Override PartName="/docProps/custom.xml" ContentType="application/vnd.openxmlformats-officedocument.custom-properties+xml"/>
  <Override PartName="/xl/comments3.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comments1.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ttps://home.utc.wa.gov/sites/ue-150204/Staffs Testimony and Exhibits/"/>
    </mc:Choice>
  </mc:AlternateContent>
  <bookViews>
    <workbookView xWindow="0" yWindow="0" windowWidth="2370" windowHeight="0" tabRatio="744"/>
  </bookViews>
  <sheets>
    <sheet name="Summary" sheetId="9" r:id="rId1"/>
    <sheet name="ROR" sheetId="7" r:id="rId2"/>
    <sheet name="Attrition 09.2014 to 2016" sheetId="5" r:id="rId3"/>
    <sheet name="Cost Trends" sheetId="1" r:id="rId4"/>
    <sheet name="Net plant" sheetId="14" r:id="rId5"/>
    <sheet name="Dep Amort" sheetId="12" r:id="rId6"/>
    <sheet name="Taxes (other than income)" sheetId="13" r:id="rId7"/>
    <sheet name="Other Revenue" sheetId="17" state="hidden" r:id="rId8"/>
    <sheet name="Op Exp" sheetId="15" r:id="rId9"/>
    <sheet name="Weighted Revenue Growth" sheetId="4" r:id="rId10"/>
    <sheet name="Plant trends" sheetId="16" state="hidden" r:id="rId11"/>
    <sheet name="09.2014 Revenue Model" sheetId="11" state="hidden" r:id="rId12"/>
    <sheet name="Forecast Bill Determinants" sheetId="8" state="hidden" r:id="rId13"/>
    <sheet name="Riders and Gas Cost Revenue" sheetId="2" state="hidden" r:id="rId14"/>
    <sheet name="Reg Amort and Other RB" sheetId="6" state="hidden" r:id="rId15"/>
  </sheets>
  <definedNames>
    <definedName name="Base1_Billing2">#REF!</definedName>
    <definedName name="ID_Elec">#REF!</definedName>
    <definedName name="ID_Gas">#REF!</definedName>
    <definedName name="_xlnm.Print_Area" localSheetId="11">'09.2014 Revenue Model'!$A$1:$J$277</definedName>
    <definedName name="_xlnm.Print_Area" localSheetId="2">'Attrition 09.2014 to 2016'!$A$1:$T$100</definedName>
    <definedName name="_xlnm.Print_Area" localSheetId="3">'Cost Trends'!$A$2:$T$150</definedName>
    <definedName name="_xlnm.Print_Area" localSheetId="5">'Dep Amort'!$A$1:$I$61</definedName>
    <definedName name="_xlnm.Print_Area" localSheetId="4">'Net plant'!$A$1:$I$63</definedName>
    <definedName name="_xlnm.Print_Area" localSheetId="13">'Riders and Gas Cost Revenue'!$A$1:$AO$65</definedName>
    <definedName name="_xlnm.Print_Area" localSheetId="1">ROR!$A$1:$H$43</definedName>
    <definedName name="_xlnm.Print_Area" localSheetId="0">Summary!$A$1:$I$49</definedName>
    <definedName name="_xlnm.Print_Area" localSheetId="6">'Taxes (other than income)'!$A$1:$I$62</definedName>
    <definedName name="_xlnm.Print_Area" localSheetId="9">'Weighted Revenue Growth'!$A$1:$M$46</definedName>
    <definedName name="Print_for_CBReport">#REF!</definedName>
    <definedName name="Print_for_Checking">#REF!</definedName>
    <definedName name="_xlnm.Print_Titles" localSheetId="3">'Cost Trends'!$2:$2</definedName>
    <definedName name="_xlnm.Print_Titles" localSheetId="13">'Riders and Gas Cost Revenue'!$A:$F,'Riders and Gas Cost Revenue'!$5:$9</definedName>
    <definedName name="Summary">#REF!</definedName>
    <definedName name="WA_Elec">#REF!</definedName>
    <definedName name="WA_Gas">#REF!</definedName>
    <definedName name="Z_5BE913A1_B14F_11D2_B0DC_0000832CDFF0_.wvu.Cols" localSheetId="3" hidden="1">'Cost Trends'!#REF!</definedName>
    <definedName name="Z_5BE913A1_B14F_11D2_B0DC_0000832CDFF0_.wvu.PrintArea" localSheetId="3" hidden="1">'Cost Trends'!$Q$11:$Q$91</definedName>
    <definedName name="Z_5BE913A1_B14F_11D2_B0DC_0000832CDFF0_.wvu.PrintTitles" localSheetId="3" hidden="1">'Cost Trends'!$A:$D,'Cost Trends'!$1:$8</definedName>
    <definedName name="Z_A15D1964_B049_11D2_8670_0000832CEEE8_.wvu.Cols" localSheetId="3" hidden="1">'Cost Trends'!#REF!</definedName>
    <definedName name="Z_A15D1964_B049_11D2_8670_0000832CEEE8_.wvu.PrintArea" localSheetId="3" hidden="1">'Cost Trends'!$Q$11:$Q$91</definedName>
    <definedName name="Z_A15D1964_B049_11D2_8670_0000832CEEE8_.wvu.PrintTitles" localSheetId="3" hidden="1">'Cost Trends'!$A:$D,'Cost Trends'!$1:$8</definedName>
  </definedNames>
  <calcPr calcId="152511"/>
  <customWorkbookViews>
    <customWorkbookView name="Kathy Mitchell - Personal View" guid="{A15D1964-B049-11D2-8670-0000832CEEE8}" mergeInterval="0" personalView="1" maximized="1" windowWidth="796" windowHeight="436" activeSheetId="1"/>
    <customWorkbookView name="Don Falkner - Personal View" guid="{5BE913A1-B14F-11D2-B0DC-0000832CDFF0}" mergeInterval="0" personalView="1" maximized="1" windowWidth="1020" windowHeight="604" activeSheetId="2"/>
  </customWorkbookViews>
</workbook>
</file>

<file path=xl/calcChain.xml><?xml version="1.0" encoding="utf-8"?>
<calcChain xmlns="http://schemas.openxmlformats.org/spreadsheetml/2006/main">
  <c r="H37" i="9" l="1"/>
  <c r="F13" i="9" l="1"/>
  <c r="K69" i="5"/>
  <c r="D30" i="14"/>
  <c r="D12" i="15"/>
  <c r="I21" i="9" l="1"/>
  <c r="I15" i="9"/>
  <c r="I17" i="9" s="1"/>
  <c r="I23" i="9" s="1"/>
  <c r="I27" i="9" s="1"/>
  <c r="S54" i="5"/>
  <c r="R45" i="5"/>
  <c r="R34" i="5"/>
  <c r="R46" i="5" s="1"/>
  <c r="R48" i="5" s="1"/>
  <c r="Q78" i="5"/>
  <c r="Q72" i="5"/>
  <c r="Q79" i="5" s="1"/>
  <c r="Q81" i="5" s="1"/>
  <c r="Q86" i="5" s="1"/>
  <c r="I33" i="9" l="1"/>
  <c r="I31" i="9"/>
  <c r="R60" i="5"/>
  <c r="B26" i="13"/>
  <c r="B27" i="13" s="1"/>
  <c r="C28" i="13" s="1"/>
  <c r="C6" i="13"/>
  <c r="D6" i="13"/>
  <c r="E6" i="13"/>
  <c r="F6" i="13"/>
  <c r="G6" i="13"/>
  <c r="H6" i="13"/>
  <c r="I6" i="13"/>
  <c r="B6" i="13"/>
  <c r="M40" i="13"/>
  <c r="B25" i="12"/>
  <c r="B26" i="12" s="1"/>
  <c r="K39" i="12"/>
  <c r="C5" i="12"/>
  <c r="D5" i="12"/>
  <c r="E5" i="12"/>
  <c r="F5" i="12"/>
  <c r="G5" i="12"/>
  <c r="H5" i="12"/>
  <c r="I5" i="12"/>
  <c r="B5" i="12"/>
  <c r="R65" i="5" l="1"/>
  <c r="C29" i="13"/>
  <c r="C30" i="13" s="1"/>
  <c r="K27" i="5" s="1"/>
  <c r="C27" i="12" l="1"/>
  <c r="C28" i="12" s="1"/>
  <c r="C29" i="12" s="1"/>
  <c r="K26" i="5" s="1"/>
  <c r="B26" i="14"/>
  <c r="B27" i="14" s="1"/>
  <c r="C28" i="14" s="1"/>
  <c r="C5" i="14"/>
  <c r="D5" i="14"/>
  <c r="E5" i="14"/>
  <c r="F5" i="14"/>
  <c r="G5" i="14"/>
  <c r="H5" i="14"/>
  <c r="I5" i="14"/>
  <c r="B5" i="14"/>
  <c r="O40" i="14"/>
  <c r="P43" i="14" s="1"/>
  <c r="L40" i="14"/>
  <c r="C29" i="14" l="1"/>
  <c r="C30" i="14" s="1"/>
  <c r="R54" i="5" l="1"/>
  <c r="G15" i="4" l="1"/>
  <c r="G17" i="4"/>
  <c r="G16" i="4"/>
  <c r="Q54" i="5" l="1"/>
  <c r="Q45" i="5"/>
  <c r="Q46" i="5" s="1"/>
  <c r="Q48" i="5" s="1"/>
  <c r="Q60" i="5" l="1"/>
  <c r="B40" i="14"/>
  <c r="B40" i="13"/>
  <c r="B41" i="13" s="1"/>
  <c r="C42" i="13" s="1"/>
  <c r="B40" i="12"/>
  <c r="C41" i="12" s="1"/>
  <c r="F13" i="16"/>
  <c r="G13" i="16"/>
  <c r="H13" i="16"/>
  <c r="N191" i="1"/>
  <c r="B41" i="14" l="1"/>
  <c r="C42" i="14" s="1"/>
  <c r="B8" i="17"/>
  <c r="B7" i="17"/>
  <c r="D11" i="15"/>
  <c r="C11" i="16" l="1"/>
  <c r="D11" i="16"/>
  <c r="E11" i="16"/>
  <c r="F11" i="16"/>
  <c r="G11" i="16"/>
  <c r="H11" i="16"/>
  <c r="C12" i="16"/>
  <c r="D12" i="16"/>
  <c r="E12" i="16"/>
  <c r="F12" i="16"/>
  <c r="G12" i="16"/>
  <c r="H12" i="16"/>
  <c r="C13" i="16"/>
  <c r="D13" i="16"/>
  <c r="E13" i="16"/>
  <c r="T73" i="1" l="1"/>
  <c r="T83" i="1"/>
  <c r="S14" i="6" l="1"/>
  <c r="S17" i="6" s="1"/>
  <c r="AR20" i="2"/>
  <c r="AO20" i="2"/>
  <c r="AR19" i="2"/>
  <c r="AR18" i="2"/>
  <c r="T109" i="1"/>
  <c r="T54" i="1"/>
  <c r="T15" i="1"/>
  <c r="T22" i="1"/>
  <c r="T28" i="1"/>
  <c r="T34" i="1"/>
  <c r="T45" i="1"/>
  <c r="T75" i="1"/>
  <c r="T81" i="1"/>
  <c r="T100" i="1"/>
  <c r="T102" i="1"/>
  <c r="T103" i="1"/>
  <c r="T104" i="1"/>
  <c r="T105" i="1"/>
  <c r="T106" i="1"/>
  <c r="T107" i="1"/>
  <c r="T117" i="1"/>
  <c r="T118" i="1"/>
  <c r="T119" i="1"/>
  <c r="T120" i="1" s="1"/>
  <c r="T124" i="1"/>
  <c r="T125" i="1"/>
  <c r="T129" i="1"/>
  <c r="T130" i="1"/>
  <c r="T131" i="1"/>
  <c r="T132" i="1"/>
  <c r="T146" i="1"/>
  <c r="S25" i="6"/>
  <c r="S30" i="6" s="1"/>
  <c r="S38" i="6"/>
  <c r="S44" i="6"/>
  <c r="S64" i="6"/>
  <c r="T87" i="1" s="1"/>
  <c r="S68" i="6"/>
  <c r="AR27" i="2"/>
  <c r="AQ27" i="2"/>
  <c r="AP27" i="2"/>
  <c r="AQ21" i="2"/>
  <c r="AP21" i="2"/>
  <c r="AR13" i="2"/>
  <c r="T147" i="1" s="1"/>
  <c r="G35" i="12" l="1"/>
  <c r="G33" i="12"/>
  <c r="T149" i="1"/>
  <c r="G2" i="17" s="1"/>
  <c r="S27" i="6"/>
  <c r="S28" i="6" s="1"/>
  <c r="C42" i="12"/>
  <c r="C43" i="12" s="1"/>
  <c r="K38" i="12"/>
  <c r="L39" i="12"/>
  <c r="T126" i="1"/>
  <c r="S45" i="6"/>
  <c r="S47" i="6" s="1"/>
  <c r="S54" i="6" s="1"/>
  <c r="AR21" i="2"/>
  <c r="T82" i="1"/>
  <c r="T84" i="1" s="1"/>
  <c r="T46" i="1"/>
  <c r="T48" i="1" s="1"/>
  <c r="T56" i="1" s="1"/>
  <c r="T108" i="1"/>
  <c r="E63" i="5"/>
  <c r="B97" i="11"/>
  <c r="R68" i="6"/>
  <c r="Q68" i="6"/>
  <c r="P68" i="6"/>
  <c r="O67" i="6"/>
  <c r="N67" i="6"/>
  <c r="M67" i="6"/>
  <c r="L67" i="6"/>
  <c r="K67" i="6"/>
  <c r="J67" i="6"/>
  <c r="I67" i="6"/>
  <c r="H67" i="6"/>
  <c r="G67" i="6"/>
  <c r="F67" i="6"/>
  <c r="E67" i="6"/>
  <c r="O66" i="6"/>
  <c r="N66" i="6"/>
  <c r="M66" i="6"/>
  <c r="L66" i="6"/>
  <c r="K66" i="6"/>
  <c r="J66" i="6"/>
  <c r="I66" i="6"/>
  <c r="H66" i="6"/>
  <c r="G66" i="6"/>
  <c r="F66" i="6"/>
  <c r="E66" i="6"/>
  <c r="R64" i="6"/>
  <c r="Q64" i="6"/>
  <c r="P64" i="6"/>
  <c r="O64" i="6"/>
  <c r="N64" i="6"/>
  <c r="M64" i="6"/>
  <c r="L64" i="6"/>
  <c r="K64" i="6"/>
  <c r="J64" i="6"/>
  <c r="I64" i="6"/>
  <c r="H64" i="6"/>
  <c r="G64" i="6"/>
  <c r="F64" i="6"/>
  <c r="E64" i="6"/>
  <c r="R50" i="6"/>
  <c r="R48" i="6"/>
  <c r="R46" i="6"/>
  <c r="Q45" i="6"/>
  <c r="N45" i="6"/>
  <c r="I45" i="6"/>
  <c r="F45" i="6"/>
  <c r="Q44" i="6"/>
  <c r="P44" i="6"/>
  <c r="O44" i="6"/>
  <c r="N44" i="6"/>
  <c r="M44" i="6"/>
  <c r="L44" i="6"/>
  <c r="K44" i="6"/>
  <c r="J44" i="6"/>
  <c r="I44" i="6"/>
  <c r="H44" i="6"/>
  <c r="G44" i="6"/>
  <c r="F44" i="6"/>
  <c r="E44" i="6"/>
  <c r="R43" i="6"/>
  <c r="R41" i="6"/>
  <c r="R44" i="6" s="1"/>
  <c r="R45" i="6" s="1"/>
  <c r="R38" i="6"/>
  <c r="Q38" i="6"/>
  <c r="P38" i="6"/>
  <c r="P45" i="6" s="1"/>
  <c r="O38" i="6"/>
  <c r="O45" i="6" s="1"/>
  <c r="N38" i="6"/>
  <c r="M38" i="6"/>
  <c r="M45" i="6" s="1"/>
  <c r="L38" i="6"/>
  <c r="L45" i="6" s="1"/>
  <c r="K38" i="6"/>
  <c r="K45" i="6" s="1"/>
  <c r="J38" i="6"/>
  <c r="J45" i="6" s="1"/>
  <c r="I38" i="6"/>
  <c r="H38" i="6"/>
  <c r="H45" i="6" s="1"/>
  <c r="G38" i="6"/>
  <c r="G45" i="6" s="1"/>
  <c r="F38" i="6"/>
  <c r="E38" i="6"/>
  <c r="E45" i="6" s="1"/>
  <c r="L38" i="12" l="1"/>
  <c r="L43" i="12" s="1"/>
  <c r="K43" i="12"/>
  <c r="K40" i="12"/>
  <c r="K41" i="12" s="1"/>
  <c r="R47" i="6"/>
  <c r="Q47" i="6" s="1"/>
  <c r="P47" i="6" s="1"/>
  <c r="O47" i="6" s="1"/>
  <c r="N47" i="6" s="1"/>
  <c r="M47" i="6" s="1"/>
  <c r="L47" i="6" s="1"/>
  <c r="K47" i="6" s="1"/>
  <c r="J47" i="6" s="1"/>
  <c r="I47" i="6" s="1"/>
  <c r="H47" i="6" s="1"/>
  <c r="G47" i="6" s="1"/>
  <c r="F47" i="6" s="1"/>
  <c r="E47" i="6" s="1"/>
  <c r="AR65" i="2"/>
  <c r="T91" i="1"/>
  <c r="T139" i="1"/>
  <c r="R25" i="6"/>
  <c r="R30" i="6" s="1"/>
  <c r="Q25" i="6"/>
  <c r="P25" i="6"/>
  <c r="O25" i="6"/>
  <c r="N25" i="6"/>
  <c r="M25" i="6"/>
  <c r="L25" i="6"/>
  <c r="K25" i="6"/>
  <c r="J25" i="6"/>
  <c r="I25" i="6"/>
  <c r="H25" i="6"/>
  <c r="G25" i="6"/>
  <c r="F25" i="6"/>
  <c r="E25" i="6"/>
  <c r="G36" i="14" l="1"/>
  <c r="G34" i="14"/>
  <c r="L40" i="12"/>
  <c r="L41" i="12" s="1"/>
  <c r="Q30" i="6"/>
  <c r="P30" i="6" s="1"/>
  <c r="O30" i="6" s="1"/>
  <c r="N30" i="6" s="1"/>
  <c r="M30" i="6" s="1"/>
  <c r="L30" i="6" s="1"/>
  <c r="K30" i="6" s="1"/>
  <c r="J30" i="6" s="1"/>
  <c r="I30" i="6" s="1"/>
  <c r="H30" i="6" s="1"/>
  <c r="G30" i="6" s="1"/>
  <c r="F30" i="6" s="1"/>
  <c r="E30" i="6" s="1"/>
  <c r="T142" i="1"/>
  <c r="J16" i="6"/>
  <c r="I16" i="6"/>
  <c r="Q15" i="6"/>
  <c r="Q17" i="6" s="1"/>
  <c r="Q27" i="6" s="1"/>
  <c r="P15" i="6"/>
  <c r="P17" i="6" s="1"/>
  <c r="P27" i="6" s="1"/>
  <c r="O15" i="6"/>
  <c r="O17" i="6" s="1"/>
  <c r="O27" i="6" s="1"/>
  <c r="O28" i="6" s="1"/>
  <c r="N15" i="6"/>
  <c r="N17" i="6" s="1"/>
  <c r="M15" i="6"/>
  <c r="L15" i="6"/>
  <c r="K15" i="6"/>
  <c r="K17" i="6" s="1"/>
  <c r="J15" i="6"/>
  <c r="I15" i="6"/>
  <c r="H15" i="6"/>
  <c r="H17" i="6" s="1"/>
  <c r="G15" i="6"/>
  <c r="F15" i="6"/>
  <c r="E15" i="6"/>
  <c r="R14" i="6"/>
  <c r="R17" i="6" s="1"/>
  <c r="R27" i="6" s="1"/>
  <c r="R28" i="6" s="1"/>
  <c r="J14" i="6"/>
  <c r="I14" i="6"/>
  <c r="AL63" i="2"/>
  <c r="AI63" i="2"/>
  <c r="AF63" i="2"/>
  <c r="R63" i="2"/>
  <c r="P63" i="2"/>
  <c r="N63" i="2"/>
  <c r="L63" i="2"/>
  <c r="J63" i="2"/>
  <c r="H63" i="2"/>
  <c r="AL61" i="2"/>
  <c r="AI61" i="2"/>
  <c r="AF61" i="2"/>
  <c r="AC61" i="2"/>
  <c r="Z61" i="2"/>
  <c r="W61" i="2"/>
  <c r="T61" i="2"/>
  <c r="R61" i="2"/>
  <c r="AK41" i="2"/>
  <c r="Q28" i="6" l="1"/>
  <c r="P28" i="6" s="1"/>
  <c r="L39" i="14"/>
  <c r="M40" i="14"/>
  <c r="C43" i="14"/>
  <c r="C44" i="14" s="1"/>
  <c r="M17" i="6"/>
  <c r="N27" i="6"/>
  <c r="N28" i="6" s="1"/>
  <c r="J17" i="6"/>
  <c r="K27" i="6"/>
  <c r="G17" i="6"/>
  <c r="H27" i="6"/>
  <c r="E40" i="2"/>
  <c r="AJ36" i="2"/>
  <c r="E35" i="2"/>
  <c r="L41" i="14" l="1"/>
  <c r="L42" i="14" s="1"/>
  <c r="M39" i="14"/>
  <c r="M44" i="14" s="1"/>
  <c r="L44" i="14"/>
  <c r="I17" i="6"/>
  <c r="I27" i="6" s="1"/>
  <c r="J27" i="6"/>
  <c r="F17" i="6"/>
  <c r="G27" i="6"/>
  <c r="L17" i="6"/>
  <c r="L27" i="6" s="1"/>
  <c r="M27" i="6"/>
  <c r="M28" i="6" s="1"/>
  <c r="E32"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H27" i="2"/>
  <c r="G27" i="2"/>
  <c r="L28" i="6" l="1"/>
  <c r="K28" i="6" s="1"/>
  <c r="J28" i="6" s="1"/>
  <c r="I28" i="6" s="1"/>
  <c r="H28" i="6" s="1"/>
  <c r="G28" i="6" s="1"/>
  <c r="M41" i="14"/>
  <c r="M42" i="14" s="1"/>
  <c r="E17" i="6"/>
  <c r="E27" i="6" s="1"/>
  <c r="F27" i="6"/>
  <c r="F28" i="6" s="1"/>
  <c r="E28" i="6" s="1"/>
  <c r="AN21" i="2"/>
  <c r="AM21" i="2"/>
  <c r="AK21" i="2"/>
  <c r="AJ21" i="2"/>
  <c r="AH21" i="2"/>
  <c r="AG21" i="2"/>
  <c r="AE21" i="2"/>
  <c r="AD21" i="2"/>
  <c r="AB21" i="2"/>
  <c r="AA21" i="2"/>
  <c r="Y21" i="2"/>
  <c r="X21" i="2"/>
  <c r="V21" i="2"/>
  <c r="U21" i="2"/>
  <c r="S21" i="2"/>
  <c r="Q21" i="2"/>
  <c r="O21" i="2"/>
  <c r="M21" i="2"/>
  <c r="K21" i="2"/>
  <c r="I21" i="2"/>
  <c r="G21" i="2"/>
  <c r="AL20" i="2"/>
  <c r="AI20" i="2"/>
  <c r="AF20" i="2"/>
  <c r="AC20" i="2"/>
  <c r="Z20" i="2"/>
  <c r="W20" i="2"/>
  <c r="T20" i="2"/>
  <c r="R20" i="2"/>
  <c r="P20" i="2"/>
  <c r="N20" i="2"/>
  <c r="L20" i="2"/>
  <c r="J20" i="2"/>
  <c r="H20" i="2"/>
  <c r="AO19" i="2"/>
  <c r="AL19" i="2"/>
  <c r="AI19" i="2"/>
  <c r="AF19" i="2"/>
  <c r="AC19" i="2"/>
  <c r="Z19" i="2"/>
  <c r="W19" i="2"/>
  <c r="T19" i="2"/>
  <c r="R19" i="2"/>
  <c r="P19" i="2"/>
  <c r="N19" i="2"/>
  <c r="L19" i="2"/>
  <c r="J19" i="2"/>
  <c r="H19" i="2"/>
  <c r="AO18" i="2"/>
  <c r="AL18" i="2"/>
  <c r="AI18" i="2"/>
  <c r="AF18" i="2"/>
  <c r="AC18" i="2"/>
  <c r="Z18" i="2"/>
  <c r="W18" i="2"/>
  <c r="T18" i="2"/>
  <c r="R18" i="2"/>
  <c r="P18" i="2"/>
  <c r="N18" i="2"/>
  <c r="L18" i="2"/>
  <c r="J18" i="2"/>
  <c r="H18" i="2"/>
  <c r="AO13" i="2"/>
  <c r="AL13" i="2"/>
  <c r="AI13" i="2"/>
  <c r="AF13" i="2"/>
  <c r="AC13" i="2"/>
  <c r="Z13" i="2"/>
  <c r="W13" i="2"/>
  <c r="R13" i="2"/>
  <c r="P13" i="2"/>
  <c r="N13" i="2"/>
  <c r="L13" i="2"/>
  <c r="J13" i="2"/>
  <c r="H13" i="2"/>
  <c r="W21" i="2" l="1"/>
  <c r="AC21" i="2"/>
  <c r="N21" i="2"/>
  <c r="AI21" i="2"/>
  <c r="AO21" i="2"/>
  <c r="H21" i="2"/>
  <c r="P21" i="2"/>
  <c r="Z21" i="2"/>
  <c r="AL21" i="2"/>
  <c r="L21" i="2"/>
  <c r="T21" i="2"/>
  <c r="AF21" i="2"/>
  <c r="J21" i="2"/>
  <c r="R21" i="2"/>
  <c r="F59" i="8" l="1"/>
  <c r="D58" i="8"/>
  <c r="F58" i="8" s="1"/>
  <c r="D57" i="8"/>
  <c r="F57" i="8" s="1"/>
  <c r="D56" i="8"/>
  <c r="D60" i="8" s="1"/>
  <c r="F60" i="8" s="1"/>
  <c r="F53" i="8"/>
  <c r="F52" i="8"/>
  <c r="F51" i="8"/>
  <c r="F50" i="8"/>
  <c r="F49" i="8"/>
  <c r="F48" i="8"/>
  <c r="F47" i="8"/>
  <c r="F46" i="8"/>
  <c r="F45" i="8"/>
  <c r="F44" i="8"/>
  <c r="F43" i="8"/>
  <c r="F42" i="8"/>
  <c r="F41" i="8"/>
  <c r="F40" i="8"/>
  <c r="F39" i="8"/>
  <c r="F38" i="8"/>
  <c r="F37" i="8"/>
  <c r="F36" i="8"/>
  <c r="F35" i="8"/>
  <c r="D30" i="8"/>
  <c r="D28" i="8"/>
  <c r="D27" i="8"/>
  <c r="D26" i="8"/>
  <c r="F56" i="8" l="1"/>
  <c r="D267" i="11"/>
  <c r="C267" i="11"/>
  <c r="D266" i="11"/>
  <c r="C266" i="11"/>
  <c r="D265" i="11"/>
  <c r="C265" i="11"/>
  <c r="D264" i="11"/>
  <c r="D269" i="11" s="1"/>
  <c r="C264" i="11"/>
  <c r="D263" i="11"/>
  <c r="C263" i="11"/>
  <c r="F257" i="11"/>
  <c r="F269" i="11" s="1"/>
  <c r="F263" i="11" s="1"/>
  <c r="E263" i="11" s="1"/>
  <c r="D255" i="11"/>
  <c r="C255" i="11"/>
  <c r="D254" i="11"/>
  <c r="C254" i="11"/>
  <c r="D253" i="11"/>
  <c r="C253" i="11"/>
  <c r="D252" i="11"/>
  <c r="C252" i="11"/>
  <c r="D251" i="11"/>
  <c r="C251" i="11"/>
  <c r="E266" i="11" l="1"/>
  <c r="F251" i="11"/>
  <c r="B273" i="11"/>
  <c r="E254" i="11"/>
  <c r="H263" i="11"/>
  <c r="F264" i="11"/>
  <c r="G263" i="11"/>
  <c r="E237" i="11"/>
  <c r="D237" i="11"/>
  <c r="C237" i="11"/>
  <c r="D236" i="11"/>
  <c r="C236" i="11"/>
  <c r="D235" i="11"/>
  <c r="C235" i="11"/>
  <c r="F229" i="11"/>
  <c r="B244" i="11" s="1"/>
  <c r="D239" i="11" l="1"/>
  <c r="F239" i="11"/>
  <c r="F235" i="11" s="1"/>
  <c r="E251" i="11"/>
  <c r="G251" i="11"/>
  <c r="H251" i="11"/>
  <c r="I263" i="11"/>
  <c r="E264" i="11"/>
  <c r="G264" i="11"/>
  <c r="H264" i="11"/>
  <c r="I264" i="11" s="1"/>
  <c r="F265" i="11"/>
  <c r="D227" i="11"/>
  <c r="C227" i="11"/>
  <c r="D226" i="11"/>
  <c r="C226" i="11"/>
  <c r="D225" i="11"/>
  <c r="F225" i="11" s="1"/>
  <c r="C225" i="11"/>
  <c r="D214" i="11"/>
  <c r="C214" i="11"/>
  <c r="D213" i="11"/>
  <c r="C213" i="11"/>
  <c r="F207" i="11"/>
  <c r="F216" i="11" s="1"/>
  <c r="F213" i="11" s="1"/>
  <c r="D205" i="11"/>
  <c r="C205" i="11"/>
  <c r="D204" i="11"/>
  <c r="C204" i="11"/>
  <c r="E225" i="11" l="1"/>
  <c r="G225" i="11"/>
  <c r="E235" i="11"/>
  <c r="G235" i="11"/>
  <c r="H235" i="11"/>
  <c r="H225" i="11"/>
  <c r="D216" i="11"/>
  <c r="I225" i="11"/>
  <c r="E213" i="11"/>
  <c r="G213" i="11"/>
  <c r="F204" i="11"/>
  <c r="H213" i="11"/>
  <c r="I213" i="11" s="1"/>
  <c r="F214" i="11"/>
  <c r="B221" i="11"/>
  <c r="F226" i="11"/>
  <c r="E226" i="11" s="1"/>
  <c r="I251" i="11"/>
  <c r="D229" i="11"/>
  <c r="D207" i="11"/>
  <c r="E265" i="11"/>
  <c r="H265" i="11"/>
  <c r="I265" i="11" s="1"/>
  <c r="G265" i="11"/>
  <c r="I235" i="11"/>
  <c r="E214" i="11" l="1"/>
  <c r="E216" i="11" s="1"/>
  <c r="E217" i="11" s="1"/>
  <c r="G214" i="11"/>
  <c r="E204" i="11"/>
  <c r="F205" i="11"/>
  <c r="G204" i="11"/>
  <c r="H214" i="11"/>
  <c r="F227" i="11"/>
  <c r="H226" i="11"/>
  <c r="H204" i="11"/>
  <c r="I204" i="11" l="1"/>
  <c r="H216" i="11"/>
  <c r="G216" i="11" s="1"/>
  <c r="I214" i="11"/>
  <c r="I216" i="11" s="1"/>
  <c r="G226" i="11"/>
  <c r="I226" i="11"/>
  <c r="E227" i="11"/>
  <c r="E229" i="11" s="1"/>
  <c r="G227" i="11"/>
  <c r="H227" i="11"/>
  <c r="I227" i="11" s="1"/>
  <c r="E205" i="11"/>
  <c r="E207" i="11" s="1"/>
  <c r="E208" i="11" s="1"/>
  <c r="G205" i="11"/>
  <c r="H205" i="11"/>
  <c r="H229" i="11" l="1"/>
  <c r="G229" i="11" s="1"/>
  <c r="I205" i="11"/>
  <c r="I207" i="11" s="1"/>
  <c r="I208" i="11" s="1"/>
  <c r="I229" i="11"/>
  <c r="I217" i="11"/>
  <c r="G217" i="11" s="1"/>
  <c r="H207" i="11"/>
  <c r="J190" i="11"/>
  <c r="I190" i="11"/>
  <c r="H190" i="11"/>
  <c r="G190" i="11"/>
  <c r="F185" i="11"/>
  <c r="E185" i="11"/>
  <c r="D185" i="11"/>
  <c r="C185" i="11" s="1"/>
  <c r="G207" i="11" l="1"/>
  <c r="G208" i="11" s="1"/>
  <c r="K204" i="11"/>
  <c r="K205" i="11"/>
  <c r="I230" i="11"/>
  <c r="G230" i="11" s="1"/>
  <c r="E230" i="11" s="1"/>
  <c r="F179" i="11"/>
  <c r="D179" i="11"/>
  <c r="F178" i="11"/>
  <c r="E178" i="11"/>
  <c r="D178" i="11"/>
  <c r="F175" i="11"/>
  <c r="E175" i="11"/>
  <c r="D175" i="11"/>
  <c r="F174" i="11"/>
  <c r="E174" i="11"/>
  <c r="D174" i="11"/>
  <c r="C174" i="11" s="1"/>
  <c r="F182" i="11" l="1"/>
  <c r="E182" i="11" s="1"/>
  <c r="D182" i="11" s="1"/>
  <c r="C178" i="11"/>
  <c r="F176" i="11" s="1"/>
  <c r="C162" i="11"/>
  <c r="J161" i="11"/>
  <c r="I161" i="11"/>
  <c r="H161" i="11"/>
  <c r="G161" i="11"/>
  <c r="F161" i="11"/>
  <c r="E161" i="11"/>
  <c r="D161" i="11"/>
  <c r="J160" i="11"/>
  <c r="I160" i="11"/>
  <c r="H160" i="11"/>
  <c r="G160" i="11"/>
  <c r="F160" i="11"/>
  <c r="E160" i="11"/>
  <c r="D160" i="11"/>
  <c r="J159" i="11"/>
  <c r="I159" i="11"/>
  <c r="H159" i="11"/>
  <c r="G159" i="11"/>
  <c r="F159" i="11"/>
  <c r="E159" i="11"/>
  <c r="D159" i="11"/>
  <c r="J158" i="11"/>
  <c r="I158" i="11"/>
  <c r="H158" i="11"/>
  <c r="G158" i="11"/>
  <c r="F158" i="11"/>
  <c r="E158" i="11"/>
  <c r="D158" i="11"/>
  <c r="C158" i="11" s="1"/>
  <c r="J157" i="11"/>
  <c r="I157" i="11"/>
  <c r="H157" i="11"/>
  <c r="G157" i="11"/>
  <c r="F157" i="11"/>
  <c r="E157" i="11"/>
  <c r="D157" i="11"/>
  <c r="J156" i="11"/>
  <c r="I156" i="11"/>
  <c r="G156" i="11"/>
  <c r="J142" i="11"/>
  <c r="I142" i="11"/>
  <c r="H142" i="11"/>
  <c r="G142" i="11"/>
  <c r="E138" i="11"/>
  <c r="D138" i="11" s="1"/>
  <c r="C137" i="11"/>
  <c r="C157" i="11" l="1"/>
  <c r="C160" i="11"/>
  <c r="C182" i="11"/>
  <c r="F180" i="11" s="1"/>
  <c r="F183" i="11" s="1"/>
  <c r="C161" i="11"/>
  <c r="C159" i="11"/>
  <c r="E176" i="11"/>
  <c r="D176" i="11" s="1"/>
  <c r="F134" i="11"/>
  <c r="E134" i="11"/>
  <c r="D134" i="11"/>
  <c r="E131" i="11"/>
  <c r="D131" i="11"/>
  <c r="C130" i="11"/>
  <c r="F127" i="11"/>
  <c r="E127" i="11"/>
  <c r="D127" i="11"/>
  <c r="C126" i="11"/>
  <c r="J119" i="11"/>
  <c r="I119" i="11"/>
  <c r="H119" i="11"/>
  <c r="G119" i="11"/>
  <c r="F119" i="11"/>
  <c r="E119" i="11"/>
  <c r="D119" i="11"/>
  <c r="C119" i="11" s="1"/>
  <c r="C113" i="11"/>
  <c r="J112" i="11"/>
  <c r="I112" i="11"/>
  <c r="H112" i="11"/>
  <c r="G112" i="11"/>
  <c r="F112" i="11"/>
  <c r="E112" i="11"/>
  <c r="D112" i="11"/>
  <c r="C112" i="11" s="1"/>
  <c r="J111" i="11"/>
  <c r="I111" i="11"/>
  <c r="H111" i="11"/>
  <c r="G111" i="11"/>
  <c r="F111" i="11"/>
  <c r="E111" i="11"/>
  <c r="D111" i="11"/>
  <c r="J110" i="11"/>
  <c r="I110" i="11"/>
  <c r="H110" i="11"/>
  <c r="G110" i="11"/>
  <c r="F110" i="11"/>
  <c r="E110" i="11"/>
  <c r="D110" i="11"/>
  <c r="J109" i="11"/>
  <c r="I109" i="11"/>
  <c r="H109" i="11"/>
  <c r="G109" i="11"/>
  <c r="F109" i="11"/>
  <c r="E109" i="11"/>
  <c r="C109" i="11" s="1"/>
  <c r="D109" i="11"/>
  <c r="J108" i="11"/>
  <c r="I108" i="11"/>
  <c r="H108" i="11"/>
  <c r="G108" i="11"/>
  <c r="F108" i="11"/>
  <c r="E108" i="11"/>
  <c r="D108" i="11"/>
  <c r="J107" i="11"/>
  <c r="I107" i="11"/>
  <c r="G107" i="11"/>
  <c r="F107" i="11"/>
  <c r="E107" i="11"/>
  <c r="D107" i="11"/>
  <c r="J106" i="11"/>
  <c r="I106" i="11"/>
  <c r="I115" i="11" s="1"/>
  <c r="H106" i="11"/>
  <c r="G106" i="11"/>
  <c r="F106" i="11"/>
  <c r="E106" i="11"/>
  <c r="D106" i="11"/>
  <c r="M54" i="11"/>
  <c r="M55" i="11" s="1"/>
  <c r="M53" i="11"/>
  <c r="F49" i="11"/>
  <c r="F156" i="11" s="1"/>
  <c r="E49" i="11"/>
  <c r="E156" i="11" s="1"/>
  <c r="D49" i="11"/>
  <c r="D156" i="11" s="1"/>
  <c r="J48" i="11"/>
  <c r="I48" i="11"/>
  <c r="H48" i="11"/>
  <c r="H155" i="11" s="1"/>
  <c r="G48" i="11"/>
  <c r="G155" i="11" s="1"/>
  <c r="F48" i="11"/>
  <c r="F155" i="11" s="1"/>
  <c r="E48" i="11"/>
  <c r="E155" i="11" s="1"/>
  <c r="E164" i="11" s="1"/>
  <c r="D48" i="11"/>
  <c r="J41" i="11"/>
  <c r="I41" i="11"/>
  <c r="H41" i="11"/>
  <c r="G41" i="11"/>
  <c r="G168" i="11" s="1"/>
  <c r="F41" i="11"/>
  <c r="F168" i="11" s="1"/>
  <c r="E41" i="11"/>
  <c r="E168" i="11" s="1"/>
  <c r="D41" i="11"/>
  <c r="D168" i="11" s="1"/>
  <c r="J38" i="11"/>
  <c r="I38" i="11"/>
  <c r="H38" i="11"/>
  <c r="G38" i="11"/>
  <c r="F38" i="11"/>
  <c r="E38" i="11"/>
  <c r="D38" i="11"/>
  <c r="J37" i="11"/>
  <c r="I37" i="11"/>
  <c r="H37" i="11"/>
  <c r="G37" i="11"/>
  <c r="F37" i="11"/>
  <c r="E37" i="11"/>
  <c r="D37" i="11"/>
  <c r="F115" i="11" l="1"/>
  <c r="E115" i="11" s="1"/>
  <c r="C37" i="11"/>
  <c r="M56" i="11"/>
  <c r="G115" i="11"/>
  <c r="D40" i="11"/>
  <c r="J115" i="11"/>
  <c r="D115" i="11"/>
  <c r="D118" i="11" s="1"/>
  <c r="H115" i="11"/>
  <c r="C110" i="11"/>
  <c r="J118" i="11"/>
  <c r="I118" i="11" s="1"/>
  <c r="C40" i="11"/>
  <c r="D43" i="11"/>
  <c r="F164" i="11"/>
  <c r="C106" i="11"/>
  <c r="C107" i="11"/>
  <c r="C115" i="11" s="1"/>
  <c r="C38" i="11"/>
  <c r="C156" i="11"/>
  <c r="J155" i="11" s="1"/>
  <c r="I155" i="11" s="1"/>
  <c r="I164" i="11" s="1"/>
  <c r="H164" i="11" s="1"/>
  <c r="G164" i="11" s="1"/>
  <c r="C111" i="11"/>
  <c r="F128" i="11"/>
  <c r="C134" i="11"/>
  <c r="E132" i="11" s="1"/>
  <c r="D132" i="11" s="1"/>
  <c r="C132" i="11" s="1"/>
  <c r="C41" i="11"/>
  <c r="J40" i="11" s="1"/>
  <c r="I40" i="11" s="1"/>
  <c r="H40" i="11" s="1"/>
  <c r="G40" i="11" s="1"/>
  <c r="F40" i="11" s="1"/>
  <c r="E40" i="11" s="1"/>
  <c r="D155" i="11"/>
  <c r="C108" i="11"/>
  <c r="C176" i="11"/>
  <c r="J21" i="11"/>
  <c r="J44" i="11" s="1"/>
  <c r="I21" i="11"/>
  <c r="I44" i="11" s="1"/>
  <c r="H44" i="11" s="1"/>
  <c r="G44" i="11" s="1"/>
  <c r="H21" i="11"/>
  <c r="G21" i="11"/>
  <c r="F21" i="11"/>
  <c r="F44" i="11" s="1"/>
  <c r="E21" i="11"/>
  <c r="E44" i="11" s="1"/>
  <c r="D44" i="11" s="1"/>
  <c r="D21" i="11"/>
  <c r="H118" i="11" l="1"/>
  <c r="G118" i="11" s="1"/>
  <c r="F118" i="11" s="1"/>
  <c r="E118" i="11" s="1"/>
  <c r="J121" i="11"/>
  <c r="I121" i="11" s="1"/>
  <c r="H121" i="11" s="1"/>
  <c r="G121" i="11" s="1"/>
  <c r="F121" i="11" s="1"/>
  <c r="E121" i="11" s="1"/>
  <c r="D164" i="11"/>
  <c r="C155" i="11"/>
  <c r="E128" i="11"/>
  <c r="F135" i="11"/>
  <c r="C21" i="11"/>
  <c r="C44" i="11"/>
  <c r="J43" i="11" s="1"/>
  <c r="D46" i="11"/>
  <c r="C118" i="11"/>
  <c r="D121" i="11"/>
  <c r="C18" i="11"/>
  <c r="J14" i="11"/>
  <c r="I14" i="11"/>
  <c r="H14" i="11"/>
  <c r="G14" i="11"/>
  <c r="F14" i="11"/>
  <c r="E14" i="11"/>
  <c r="D14" i="11"/>
  <c r="Q6" i="11"/>
  <c r="C14" i="11" l="1"/>
  <c r="D17" i="11"/>
  <c r="J17" i="11"/>
  <c r="I17" i="11" s="1"/>
  <c r="H17" i="11" s="1"/>
  <c r="G17" i="11" s="1"/>
  <c r="F17" i="11" s="1"/>
  <c r="E17" i="11" s="1"/>
  <c r="D128" i="11"/>
  <c r="E135" i="11"/>
  <c r="I43" i="11"/>
  <c r="H43" i="11" s="1"/>
  <c r="G43" i="11" s="1"/>
  <c r="F43" i="11" s="1"/>
  <c r="E43" i="11" s="1"/>
  <c r="C43" i="11" s="1"/>
  <c r="J46" i="11"/>
  <c r="I46" i="11" s="1"/>
  <c r="H46" i="11" s="1"/>
  <c r="C121" i="11"/>
  <c r="D167" i="11"/>
  <c r="F36" i="4"/>
  <c r="E36" i="4"/>
  <c r="J20" i="11" l="1"/>
  <c r="D135" i="11"/>
  <c r="C128" i="11"/>
  <c r="C135" i="11" s="1"/>
  <c r="D170" i="11"/>
  <c r="D191" i="11" s="1"/>
  <c r="G46" i="11"/>
  <c r="F46" i="11" s="1"/>
  <c r="E46" i="11" s="1"/>
  <c r="H277" i="11"/>
  <c r="G277" i="11" s="1"/>
  <c r="F277" i="11" s="1"/>
  <c r="E277" i="11" s="1"/>
  <c r="D277" i="11" s="1"/>
  <c r="I20" i="11"/>
  <c r="H20" i="11" s="1"/>
  <c r="G20" i="11" s="1"/>
  <c r="F20" i="11" s="1"/>
  <c r="E20" i="11" s="1"/>
  <c r="J23" i="11"/>
  <c r="I23" i="11" s="1"/>
  <c r="H23" i="11" s="1"/>
  <c r="G23" i="11" s="1"/>
  <c r="F23" i="11" s="1"/>
  <c r="E23" i="11" s="1"/>
  <c r="C46" i="11"/>
  <c r="D20" i="11"/>
  <c r="C17" i="11"/>
  <c r="F24" i="4"/>
  <c r="F43" i="4" s="1"/>
  <c r="F23" i="4"/>
  <c r="H22" i="4"/>
  <c r="E22" i="4"/>
  <c r="E23" i="4" l="1"/>
  <c r="G23" i="4" s="1"/>
  <c r="E24" i="4"/>
  <c r="E25" i="4" s="1"/>
  <c r="D23" i="11"/>
  <c r="E15" i="4" s="1"/>
  <c r="C20" i="11"/>
  <c r="C23" i="11" s="1"/>
  <c r="F42" i="4"/>
  <c r="F44" i="4" s="1"/>
  <c r="F25" i="4"/>
  <c r="E43" i="4"/>
  <c r="G43" i="4" s="1"/>
  <c r="E42" i="4"/>
  <c r="G24" i="4"/>
  <c r="H21" i="4"/>
  <c r="E21" i="4"/>
  <c r="F18" i="4"/>
  <c r="F40" i="4" s="1"/>
  <c r="E18" i="4"/>
  <c r="E17" i="4"/>
  <c r="E16" i="4"/>
  <c r="H14" i="4"/>
  <c r="E14" i="4"/>
  <c r="H13" i="4"/>
  <c r="E13" i="4"/>
  <c r="H12" i="4"/>
  <c r="E12" i="4"/>
  <c r="H11" i="4"/>
  <c r="E11" i="4"/>
  <c r="L28" i="4" l="1"/>
  <c r="F15" i="4" s="1"/>
  <c r="F37" i="4" s="1"/>
  <c r="L30" i="4"/>
  <c r="F17" i="4" s="1"/>
  <c r="F39" i="4" s="1"/>
  <c r="F16" i="4"/>
  <c r="F38" i="4" s="1"/>
  <c r="L29" i="4"/>
  <c r="E38" i="4"/>
  <c r="E40" i="4"/>
  <c r="E37" i="4"/>
  <c r="E44" i="4"/>
  <c r="E39" i="4"/>
  <c r="G18" i="4"/>
  <c r="E19" i="4"/>
  <c r="F41" i="4" l="1"/>
  <c r="G37" i="4"/>
  <c r="F19" i="4"/>
  <c r="I37" i="4"/>
  <c r="G39" i="4"/>
  <c r="I39" i="4" s="1"/>
  <c r="E41" i="4"/>
  <c r="E46" i="4" l="1"/>
  <c r="G185" i="1" l="1"/>
  <c r="G201" i="1" s="1"/>
  <c r="S147" i="1" l="1"/>
  <c r="R147" i="1"/>
  <c r="Q147" i="1"/>
  <c r="P147" i="1"/>
  <c r="O147" i="1"/>
  <c r="N147" i="1"/>
  <c r="M147" i="1" s="1"/>
  <c r="L147" i="1"/>
  <c r="K147" i="1" s="1"/>
  <c r="J147" i="1"/>
  <c r="I147" i="1"/>
  <c r="H147" i="1"/>
  <c r="G147" i="1"/>
  <c r="F147" i="1"/>
  <c r="S146" i="1"/>
  <c r="S149" i="1" s="1"/>
  <c r="R146" i="1"/>
  <c r="Q146" i="1"/>
  <c r="P146" i="1"/>
  <c r="O146" i="1"/>
  <c r="N146" i="1"/>
  <c r="M146" i="1"/>
  <c r="K146" i="1"/>
  <c r="J146" i="1"/>
  <c r="H146" i="1"/>
  <c r="G146" i="1"/>
  <c r="F146" i="1"/>
  <c r="T150" i="1" l="1"/>
  <c r="F2" i="17"/>
  <c r="H149" i="1"/>
  <c r="G149" i="1"/>
  <c r="Q149" i="1"/>
  <c r="D2" i="17" s="1"/>
  <c r="O149" i="1"/>
  <c r="B2" i="17" s="1"/>
  <c r="R149" i="1"/>
  <c r="E2" i="17" s="1"/>
  <c r="F149" i="1"/>
  <c r="J149" i="1"/>
  <c r="P149" i="1"/>
  <c r="C2" i="17" s="1"/>
  <c r="N149" i="1"/>
  <c r="O150" i="1" l="1"/>
  <c r="G150" i="1"/>
  <c r="R150" i="1"/>
  <c r="H150" i="1"/>
  <c r="P150" i="1"/>
  <c r="Q150" i="1"/>
  <c r="M149" i="1"/>
  <c r="K149" i="1"/>
  <c r="K150" i="1" s="1"/>
  <c r="N150" i="1" l="1"/>
  <c r="S132" i="1"/>
  <c r="R132" i="1"/>
  <c r="Q132" i="1"/>
  <c r="P132" i="1"/>
  <c r="O132" i="1"/>
  <c r="N132" i="1"/>
  <c r="M132" i="1"/>
  <c r="L132" i="1"/>
  <c r="K132" i="1"/>
  <c r="J132" i="1"/>
  <c r="I132" i="1"/>
  <c r="H132" i="1"/>
  <c r="G132" i="1"/>
  <c r="F132" i="1"/>
  <c r="S131" i="1"/>
  <c r="R131" i="1"/>
  <c r="Q131" i="1"/>
  <c r="P131" i="1"/>
  <c r="O131" i="1"/>
  <c r="N131" i="1"/>
  <c r="M131" i="1"/>
  <c r="L131" i="1"/>
  <c r="K131" i="1"/>
  <c r="J131" i="1"/>
  <c r="I131" i="1"/>
  <c r="H131" i="1"/>
  <c r="G131" i="1"/>
  <c r="F131" i="1"/>
  <c r="S130" i="1"/>
  <c r="R130" i="1"/>
  <c r="Q130" i="1"/>
  <c r="P130" i="1"/>
  <c r="O130" i="1"/>
  <c r="N130" i="1"/>
  <c r="M130" i="1"/>
  <c r="L130" i="1"/>
  <c r="K130" i="1"/>
  <c r="J130" i="1"/>
  <c r="I130" i="1"/>
  <c r="H130" i="1"/>
  <c r="G130" i="1"/>
  <c r="F130" i="1"/>
  <c r="S129" i="1"/>
  <c r="R129" i="1"/>
  <c r="Q129" i="1"/>
  <c r="P129" i="1"/>
  <c r="O129" i="1"/>
  <c r="N129" i="1"/>
  <c r="M129" i="1"/>
  <c r="L129" i="1"/>
  <c r="K129" i="1"/>
  <c r="J129" i="1"/>
  <c r="I129" i="1"/>
  <c r="H129" i="1"/>
  <c r="G129" i="1"/>
  <c r="F129" i="1"/>
  <c r="S125" i="1"/>
  <c r="R125" i="1"/>
  <c r="Q125" i="1"/>
  <c r="P125" i="1"/>
  <c r="O125" i="1"/>
  <c r="N125" i="1"/>
  <c r="M125" i="1"/>
  <c r="L125" i="1"/>
  <c r="K125" i="1"/>
  <c r="J125" i="1"/>
  <c r="I125" i="1"/>
  <c r="H125" i="1"/>
  <c r="G125" i="1"/>
  <c r="F125" i="1" l="1"/>
  <c r="C125" i="1"/>
  <c r="S124" i="1"/>
  <c r="S126" i="1" s="1"/>
  <c r="R124" i="1"/>
  <c r="R126" i="1" s="1"/>
  <c r="Q124" i="1"/>
  <c r="Q126" i="1" l="1"/>
  <c r="S119" i="1" l="1"/>
  <c r="R119" i="1"/>
  <c r="Q119" i="1"/>
  <c r="S118" i="1"/>
  <c r="R118" i="1"/>
  <c r="Q118" i="1"/>
  <c r="P118" i="1"/>
  <c r="O118" i="1"/>
  <c r="N118" i="1"/>
  <c r="M118" i="1"/>
  <c r="L118" i="1"/>
  <c r="K118" i="1"/>
  <c r="J118" i="1"/>
  <c r="I118" i="1"/>
  <c r="H118" i="1"/>
  <c r="G118" i="1"/>
  <c r="F118" i="1"/>
  <c r="S117" i="1"/>
  <c r="R117" i="1"/>
  <c r="Q117" i="1"/>
  <c r="P117" i="1"/>
  <c r="O117" i="1"/>
  <c r="N117" i="1"/>
  <c r="M117" i="1"/>
  <c r="L117" i="1"/>
  <c r="K117" i="1"/>
  <c r="J117" i="1"/>
  <c r="I117" i="1"/>
  <c r="H117" i="1"/>
  <c r="G117" i="1"/>
  <c r="F117" i="1"/>
  <c r="S109" i="1"/>
  <c r="R109" i="1"/>
  <c r="Q109" i="1"/>
  <c r="P109" i="1"/>
  <c r="O109" i="1"/>
  <c r="N109" i="1"/>
  <c r="M109" i="1"/>
  <c r="L109" i="1"/>
  <c r="K109" i="1"/>
  <c r="J109" i="1"/>
  <c r="I109" i="1"/>
  <c r="H109" i="1"/>
  <c r="G109" i="1"/>
  <c r="F109" i="1"/>
  <c r="S107" i="1"/>
  <c r="R107" i="1"/>
  <c r="Q107" i="1"/>
  <c r="P107" i="1"/>
  <c r="O107" i="1"/>
  <c r="N107" i="1"/>
  <c r="M107" i="1"/>
  <c r="L107" i="1"/>
  <c r="K107" i="1"/>
  <c r="J107" i="1"/>
  <c r="I107" i="1"/>
  <c r="H107" i="1"/>
  <c r="G107" i="1"/>
  <c r="F107" i="1"/>
  <c r="S106" i="1"/>
  <c r="R106" i="1"/>
  <c r="Q106" i="1"/>
  <c r="P106" i="1"/>
  <c r="O106" i="1"/>
  <c r="N106" i="1"/>
  <c r="M106" i="1"/>
  <c r="L106" i="1"/>
  <c r="K106" i="1"/>
  <c r="J106" i="1"/>
  <c r="I106" i="1"/>
  <c r="H106" i="1"/>
  <c r="G106" i="1"/>
  <c r="F106" i="1"/>
  <c r="S105" i="1"/>
  <c r="R105" i="1"/>
  <c r="Q105" i="1"/>
  <c r="P105" i="1"/>
  <c r="O105" i="1"/>
  <c r="N105" i="1"/>
  <c r="M105" i="1"/>
  <c r="L105" i="1"/>
  <c r="K105" i="1"/>
  <c r="J105" i="1"/>
  <c r="I105" i="1"/>
  <c r="H105" i="1"/>
  <c r="G105" i="1"/>
  <c r="F105" i="1"/>
  <c r="S104" i="1"/>
  <c r="R104" i="1"/>
  <c r="Q104" i="1"/>
  <c r="P104" i="1"/>
  <c r="O104" i="1"/>
  <c r="N104" i="1"/>
  <c r="M104" i="1"/>
  <c r="L104" i="1"/>
  <c r="K104" i="1"/>
  <c r="J104" i="1"/>
  <c r="I104" i="1"/>
  <c r="H104" i="1"/>
  <c r="G104" i="1"/>
  <c r="F104" i="1"/>
  <c r="S103" i="1"/>
  <c r="R103" i="1"/>
  <c r="Q103" i="1"/>
  <c r="P103" i="1"/>
  <c r="O103" i="1"/>
  <c r="N103" i="1"/>
  <c r="M103" i="1"/>
  <c r="L103" i="1"/>
  <c r="K103" i="1"/>
  <c r="J103" i="1"/>
  <c r="I103" i="1"/>
  <c r="H103" i="1"/>
  <c r="G103" i="1"/>
  <c r="F103" i="1"/>
  <c r="S102" i="1"/>
  <c r="R102" i="1"/>
  <c r="Q102" i="1"/>
  <c r="P102" i="1"/>
  <c r="P108" i="1" s="1"/>
  <c r="O102" i="1"/>
  <c r="N102" i="1"/>
  <c r="M102" i="1"/>
  <c r="L102" i="1"/>
  <c r="L108" i="1" s="1"/>
  <c r="K102" i="1"/>
  <c r="J102" i="1"/>
  <c r="I102" i="1"/>
  <c r="H102" i="1"/>
  <c r="H108" i="1" s="1"/>
  <c r="G102" i="1"/>
  <c r="F102" i="1"/>
  <c r="S100" i="1"/>
  <c r="R100" i="1"/>
  <c r="Q100" i="1"/>
  <c r="P100" i="1"/>
  <c r="O100" i="1"/>
  <c r="N100" i="1"/>
  <c r="M100" i="1"/>
  <c r="L100" i="1"/>
  <c r="K100" i="1"/>
  <c r="J100" i="1"/>
  <c r="I100" i="1"/>
  <c r="H100" i="1"/>
  <c r="G100" i="1"/>
  <c r="F100" i="1"/>
  <c r="S87" i="1"/>
  <c r="R87" i="1" s="1"/>
  <c r="Q87" i="1" s="1"/>
  <c r="P87" i="1"/>
  <c r="O87" i="1"/>
  <c r="N87" i="1"/>
  <c r="M87" i="1"/>
  <c r="L87" i="1"/>
  <c r="K87" i="1"/>
  <c r="J87" i="1"/>
  <c r="I87" i="1"/>
  <c r="H87" i="1"/>
  <c r="G87" i="1"/>
  <c r="F87" i="1"/>
  <c r="R83" i="1"/>
  <c r="Q83" i="1"/>
  <c r="P83" i="1"/>
  <c r="O83" i="1"/>
  <c r="N83" i="1"/>
  <c r="M83" i="1"/>
  <c r="L83" i="1"/>
  <c r="K83" i="1"/>
  <c r="J83" i="1"/>
  <c r="I83" i="1"/>
  <c r="H83" i="1"/>
  <c r="G83" i="1"/>
  <c r="F83" i="1"/>
  <c r="I108" i="1" l="1"/>
  <c r="M108" i="1"/>
  <c r="Q108" i="1"/>
  <c r="G108" i="1"/>
  <c r="K108" i="1"/>
  <c r="O108" i="1"/>
  <c r="S108" i="1"/>
  <c r="Q120" i="1"/>
  <c r="D33" i="12" s="1"/>
  <c r="F108" i="1"/>
  <c r="J108" i="1"/>
  <c r="N108" i="1"/>
  <c r="R108" i="1"/>
  <c r="S120" i="1"/>
  <c r="R120" i="1"/>
  <c r="F35" i="12" l="1"/>
  <c r="F33" i="12"/>
  <c r="E35" i="12"/>
  <c r="E33" i="12"/>
  <c r="R177" i="1"/>
  <c r="R193" i="1" s="1"/>
  <c r="D35" i="12"/>
  <c r="R161" i="1"/>
  <c r="S177" i="1"/>
  <c r="S193" i="1" s="1"/>
  <c r="S121" i="1"/>
  <c r="T177" i="1"/>
  <c r="T193" i="1" s="1"/>
  <c r="T121" i="1"/>
  <c r="T161" i="1"/>
  <c r="R121" i="1"/>
  <c r="S161" i="1"/>
  <c r="S81" i="1"/>
  <c r="R81" i="1"/>
  <c r="Q81" i="1"/>
  <c r="P81" i="1"/>
  <c r="O81" i="1"/>
  <c r="N81" i="1"/>
  <c r="M81" i="1"/>
  <c r="L81" i="1"/>
  <c r="K81" i="1"/>
  <c r="J81" i="1"/>
  <c r="I81" i="1"/>
  <c r="H81" i="1"/>
  <c r="G81" i="1"/>
  <c r="F81" i="1"/>
  <c r="S73" i="1"/>
  <c r="R73" i="1"/>
  <c r="R75" i="1" s="1"/>
  <c r="Q73" i="1"/>
  <c r="Q75" i="1" s="1"/>
  <c r="P73" i="1"/>
  <c r="P75" i="1" s="1"/>
  <c r="O73" i="1"/>
  <c r="O75" i="1" s="1"/>
  <c r="N73" i="1"/>
  <c r="N75" i="1" s="1"/>
  <c r="M73" i="1"/>
  <c r="M75" i="1" s="1"/>
  <c r="L73" i="1"/>
  <c r="L75" i="1" s="1"/>
  <c r="K73" i="1"/>
  <c r="K75" i="1" s="1"/>
  <c r="J73" i="1"/>
  <c r="J75" i="1" s="1"/>
  <c r="I73" i="1"/>
  <c r="I75" i="1" s="1"/>
  <c r="H73" i="1"/>
  <c r="H75" i="1" s="1"/>
  <c r="G73" i="1"/>
  <c r="G75" i="1" s="1"/>
  <c r="F73" i="1"/>
  <c r="F75" i="1" s="1"/>
  <c r="E61" i="1"/>
  <c r="S45" i="1"/>
  <c r="R45" i="1"/>
  <c r="Q45" i="1"/>
  <c r="P43" i="1"/>
  <c r="P124" i="1" s="1"/>
  <c r="O43" i="1"/>
  <c r="N43" i="1"/>
  <c r="M43" i="1"/>
  <c r="L43" i="1"/>
  <c r="K43" i="1"/>
  <c r="J43" i="1"/>
  <c r="I43" i="1"/>
  <c r="H43" i="1"/>
  <c r="G43" i="1"/>
  <c r="F43" i="1"/>
  <c r="P42" i="1"/>
  <c r="P119" i="1" s="1"/>
  <c r="O42" i="1"/>
  <c r="N42" i="1"/>
  <c r="M42" i="1"/>
  <c r="L42" i="1"/>
  <c r="K42" i="1"/>
  <c r="J42" i="1"/>
  <c r="I42" i="1"/>
  <c r="H42" i="1"/>
  <c r="G42" i="1"/>
  <c r="F42" i="1"/>
  <c r="S34" i="1"/>
  <c r="R34" i="1"/>
  <c r="Q34" i="1"/>
  <c r="P34" i="1"/>
  <c r="O34" i="1"/>
  <c r="N34" i="1"/>
  <c r="M34" i="1"/>
  <c r="L34" i="1"/>
  <c r="K34" i="1"/>
  <c r="J34" i="1"/>
  <c r="I34" i="1"/>
  <c r="H34" i="1"/>
  <c r="G34" i="1"/>
  <c r="F34" i="1"/>
  <c r="S28" i="1"/>
  <c r="R28" i="1"/>
  <c r="Q28" i="1"/>
  <c r="P28" i="1"/>
  <c r="O28" i="1"/>
  <c r="N28" i="1"/>
  <c r="M28" i="1"/>
  <c r="L28" i="1"/>
  <c r="K28" i="1"/>
  <c r="J28" i="1"/>
  <c r="I28" i="1"/>
  <c r="H28" i="1"/>
  <c r="G28" i="1"/>
  <c r="F28" i="1"/>
  <c r="S22" i="1"/>
  <c r="AO65" i="2" s="1"/>
  <c r="R22" i="1"/>
  <c r="AL65" i="2" s="1"/>
  <c r="Q22" i="1"/>
  <c r="AI65" i="2" s="1"/>
  <c r="P22" i="1"/>
  <c r="O22" i="1"/>
  <c r="N22" i="1"/>
  <c r="M22" i="1"/>
  <c r="L22" i="1"/>
  <c r="K22" i="1"/>
  <c r="J22" i="1"/>
  <c r="I22" i="1"/>
  <c r="H22" i="1"/>
  <c r="G22" i="1"/>
  <c r="F22" i="1"/>
  <c r="S15" i="1"/>
  <c r="R15" i="1"/>
  <c r="Q15" i="1"/>
  <c r="P15" i="1"/>
  <c r="O15" i="1"/>
  <c r="N15" i="1"/>
  <c r="M15" i="1"/>
  <c r="K15" i="1"/>
  <c r="J15" i="1"/>
  <c r="H15" i="1"/>
  <c r="G15" i="1"/>
  <c r="F15" i="1"/>
  <c r="L14" i="1"/>
  <c r="L146" i="1" s="1"/>
  <c r="L149" i="1" s="1"/>
  <c r="I14" i="1"/>
  <c r="I146" i="1" s="1"/>
  <c r="I149" i="1" s="1"/>
  <c r="J150" i="1" s="1"/>
  <c r="I150" i="1" s="1"/>
  <c r="L13" i="1"/>
  <c r="I13" i="1"/>
  <c r="I85" i="5"/>
  <c r="L85" i="5" s="1"/>
  <c r="I84" i="5"/>
  <c r="L84" i="5" s="1"/>
  <c r="I83" i="5"/>
  <c r="I82" i="5"/>
  <c r="I80" i="5"/>
  <c r="S46" i="1" l="1"/>
  <c r="I82" i="1"/>
  <c r="M82" i="1"/>
  <c r="Q82" i="1"/>
  <c r="AF65" i="2"/>
  <c r="AC65" i="2" s="1"/>
  <c r="L82" i="5"/>
  <c r="M82" i="5" s="1"/>
  <c r="S82" i="5" s="1"/>
  <c r="L83" i="5"/>
  <c r="M83" i="5" s="1"/>
  <c r="S83" i="5" s="1"/>
  <c r="M84" i="5"/>
  <c r="S84" i="5" s="1"/>
  <c r="G45" i="1"/>
  <c r="G46" i="1" s="1"/>
  <c r="K45" i="1"/>
  <c r="K46" i="1" s="1"/>
  <c r="O45" i="1"/>
  <c r="O46" i="1" s="1"/>
  <c r="L82" i="1"/>
  <c r="L15" i="1"/>
  <c r="H82" i="1"/>
  <c r="P82" i="1"/>
  <c r="H45" i="1"/>
  <c r="H46" i="1" s="1"/>
  <c r="L45" i="1"/>
  <c r="L46" i="1" s="1"/>
  <c r="Z65" i="2"/>
  <c r="W65" i="2" s="1"/>
  <c r="T65" i="2" s="1"/>
  <c r="R65" i="2" s="1"/>
  <c r="P65" i="2" s="1"/>
  <c r="N65" i="2" s="1"/>
  <c r="L65" i="2" s="1"/>
  <c r="J65" i="2" s="1"/>
  <c r="H65" i="2" s="1"/>
  <c r="R46" i="1"/>
  <c r="F45" i="1"/>
  <c r="F46" i="1" s="1"/>
  <c r="F48" i="1" s="1"/>
  <c r="J45" i="1"/>
  <c r="J46" i="1" s="1"/>
  <c r="N45" i="1"/>
  <c r="N46" i="1" s="1"/>
  <c r="P45" i="1"/>
  <c r="P46" i="1" s="1"/>
  <c r="Q46" i="1"/>
  <c r="F82" i="1"/>
  <c r="J82" i="1"/>
  <c r="N82" i="1"/>
  <c r="R82" i="1"/>
  <c r="M150" i="1"/>
  <c r="L150" i="1"/>
  <c r="G82" i="1"/>
  <c r="K82" i="1"/>
  <c r="O82" i="1"/>
  <c r="I15" i="1"/>
  <c r="I45" i="1"/>
  <c r="I46" i="1" s="1"/>
  <c r="M45" i="1"/>
  <c r="M46" i="1" s="1"/>
  <c r="S75" i="1"/>
  <c r="S82" i="1" s="1"/>
  <c r="O119" i="1"/>
  <c r="P120" i="1"/>
  <c r="C33" i="12" s="1"/>
  <c r="O124" i="1"/>
  <c r="P126" i="1"/>
  <c r="Q177" i="1" l="1"/>
  <c r="Q193" i="1" s="1"/>
  <c r="C35" i="12"/>
  <c r="N119" i="1"/>
  <c r="O120" i="1"/>
  <c r="N124" i="1"/>
  <c r="O126" i="1"/>
  <c r="Q161" i="1"/>
  <c r="Q121" i="1"/>
  <c r="N78" i="5"/>
  <c r="H78" i="5"/>
  <c r="G78" i="5"/>
  <c r="F78" i="5"/>
  <c r="E78" i="5"/>
  <c r="I77" i="5"/>
  <c r="I76" i="5"/>
  <c r="I75" i="5"/>
  <c r="J72" i="5"/>
  <c r="H72" i="5"/>
  <c r="H79" i="5" s="1"/>
  <c r="G72" i="5"/>
  <c r="E72" i="5"/>
  <c r="B35" i="12" l="1"/>
  <c r="B33" i="12"/>
  <c r="P161" i="1"/>
  <c r="P177" i="1"/>
  <c r="P193" i="1" s="1"/>
  <c r="I78" i="5"/>
  <c r="G79" i="5"/>
  <c r="E79" i="5"/>
  <c r="M119" i="1"/>
  <c r="N120" i="1"/>
  <c r="P121" i="1"/>
  <c r="M124" i="1"/>
  <c r="N126" i="1"/>
  <c r="I70" i="5"/>
  <c r="I69" i="5"/>
  <c r="O161" i="1" l="1"/>
  <c r="O177" i="1"/>
  <c r="O193" i="1" s="1"/>
  <c r="F72" i="5"/>
  <c r="F79" i="5" s="1"/>
  <c r="F81" i="5" s="1"/>
  <c r="E81" i="5" s="1"/>
  <c r="I71" i="5"/>
  <c r="I72" i="5" s="1"/>
  <c r="I79" i="5" s="1"/>
  <c r="O121" i="1"/>
  <c r="L124" i="1"/>
  <c r="M126" i="1"/>
  <c r="L119" i="1"/>
  <c r="M120" i="1"/>
  <c r="N161" i="1" l="1"/>
  <c r="N177" i="1"/>
  <c r="N193" i="1" s="1"/>
  <c r="N121" i="1"/>
  <c r="K124" i="1"/>
  <c r="L126" i="1"/>
  <c r="K119" i="1"/>
  <c r="L120" i="1"/>
  <c r="M161" i="1" l="1"/>
  <c r="M177" i="1"/>
  <c r="M193" i="1" s="1"/>
  <c r="M121" i="1"/>
  <c r="J124" i="1"/>
  <c r="K126" i="1"/>
  <c r="J119" i="1"/>
  <c r="K120" i="1"/>
  <c r="I63" i="5"/>
  <c r="I62" i="5"/>
  <c r="L161" i="1" l="1"/>
  <c r="L177" i="1"/>
  <c r="L193" i="1" s="1"/>
  <c r="L121" i="1"/>
  <c r="I124" i="1"/>
  <c r="J126" i="1"/>
  <c r="I119" i="1"/>
  <c r="J120" i="1"/>
  <c r="K177" i="1" s="1"/>
  <c r="K193" i="1" s="1"/>
  <c r="H124" i="1" l="1"/>
  <c r="I126" i="1"/>
  <c r="H119" i="1"/>
  <c r="I120" i="1"/>
  <c r="K161" i="1"/>
  <c r="K121" i="1"/>
  <c r="S58" i="5"/>
  <c r="P58" i="5"/>
  <c r="O58" i="5"/>
  <c r="M58" i="5"/>
  <c r="L58" i="5"/>
  <c r="K58" i="5"/>
  <c r="I58" i="5"/>
  <c r="H58" i="5"/>
  <c r="G58" i="5"/>
  <c r="F58" i="5"/>
  <c r="E58" i="5"/>
  <c r="P54" i="5"/>
  <c r="O54" i="5"/>
  <c r="M54" i="5"/>
  <c r="L54" i="5"/>
  <c r="K54" i="5"/>
  <c r="I54" i="5"/>
  <c r="H54" i="5"/>
  <c r="G54" i="5"/>
  <c r="F54" i="5"/>
  <c r="A50" i="5"/>
  <c r="J161" i="1" l="1"/>
  <c r="J177" i="1"/>
  <c r="J193" i="1" s="1"/>
  <c r="J121" i="1"/>
  <c r="G119" i="1"/>
  <c r="H120" i="1"/>
  <c r="I177" i="1" s="1"/>
  <c r="I193" i="1" s="1"/>
  <c r="G124" i="1"/>
  <c r="H126" i="1"/>
  <c r="I121" i="1"/>
  <c r="I161" i="1" l="1"/>
  <c r="F119" i="1"/>
  <c r="F120" i="1" s="1"/>
  <c r="G120" i="1"/>
  <c r="F124" i="1"/>
  <c r="F126" i="1" s="1"/>
  <c r="G126" i="1"/>
  <c r="H121" i="1" l="1"/>
  <c r="H177" i="1"/>
  <c r="H193" i="1" s="1"/>
  <c r="H161" i="1"/>
  <c r="G121" i="1"/>
  <c r="N45" i="5" l="1"/>
  <c r="J45" i="5"/>
  <c r="E45" i="5"/>
  <c r="I44" i="5"/>
  <c r="I43" i="5"/>
  <c r="L43" i="5" s="1"/>
  <c r="I42" i="5"/>
  <c r="F45" i="5"/>
  <c r="M43" i="5" l="1"/>
  <c r="S43" i="5" s="1"/>
  <c r="I38" i="5"/>
  <c r="I37" i="5"/>
  <c r="N34" i="5" l="1"/>
  <c r="F34" i="5"/>
  <c r="E34" i="5"/>
  <c r="I32" i="5" l="1"/>
  <c r="I31" i="5"/>
  <c r="P28" i="5"/>
  <c r="O28" i="5"/>
  <c r="N28" i="5"/>
  <c r="H28" i="5"/>
  <c r="G28" i="5"/>
  <c r="F28" i="5"/>
  <c r="E28" i="5"/>
  <c r="I27" i="5"/>
  <c r="I26" i="5"/>
  <c r="I25" i="5"/>
  <c r="I28" i="5" l="1"/>
  <c r="N22" i="5"/>
  <c r="N46" i="5" s="1"/>
  <c r="H22" i="5"/>
  <c r="G22" i="5"/>
  <c r="F22" i="5"/>
  <c r="F46" i="5" s="1"/>
  <c r="E22" i="5"/>
  <c r="I21" i="5"/>
  <c r="L21" i="5" s="1"/>
  <c r="M21" i="5" s="1"/>
  <c r="S21" i="5" l="1"/>
  <c r="E46" i="5"/>
  <c r="I20" i="5"/>
  <c r="O19" i="5"/>
  <c r="I19" i="5"/>
  <c r="M19" i="5" s="1"/>
  <c r="N15" i="5"/>
  <c r="L15" i="5"/>
  <c r="G15" i="5"/>
  <c r="F15" i="5"/>
  <c r="E15" i="5"/>
  <c r="I22" i="5" l="1"/>
  <c r="G41" i="5"/>
  <c r="G36" i="5"/>
  <c r="G33" i="5"/>
  <c r="I14" i="5"/>
  <c r="I13" i="5"/>
  <c r="F60" i="7" l="1"/>
  <c r="D58" i="7"/>
  <c r="F58" i="7" s="1"/>
  <c r="F62" i="7" s="1"/>
  <c r="D62" i="7" l="1"/>
  <c r="F33" i="7"/>
  <c r="F13" i="7" l="1"/>
  <c r="D11" i="7"/>
  <c r="D15" i="7" l="1"/>
  <c r="F11" i="7"/>
  <c r="F11" i="4"/>
  <c r="G11" i="4" s="1"/>
  <c r="F12" i="4"/>
  <c r="G12" i="4" s="1"/>
  <c r="F13" i="4"/>
  <c r="G13" i="4" s="1"/>
  <c r="F14" i="4"/>
  <c r="G14" i="4" s="1"/>
  <c r="F21" i="4"/>
  <c r="G21" i="4" s="1"/>
  <c r="F22" i="4"/>
  <c r="G22" i="4" s="1"/>
  <c r="G38" i="4"/>
  <c r="I38" i="4" s="1"/>
  <c r="G40" i="4"/>
  <c r="I40" i="4" s="1"/>
  <c r="G42" i="4"/>
  <c r="I42" i="4" s="1"/>
  <c r="G34" i="5"/>
  <c r="G45" i="5"/>
  <c r="J46" i="5"/>
  <c r="J48" i="5" s="1"/>
  <c r="M13" i="5"/>
  <c r="O22" i="5"/>
  <c r="N48" i="5"/>
  <c r="N65" i="5" s="1"/>
  <c r="F48" i="5"/>
  <c r="F60" i="5" s="1"/>
  <c r="E48" i="5"/>
  <c r="S83" i="1"/>
  <c r="S84" i="1" s="1"/>
  <c r="P48" i="1"/>
  <c r="P56" i="1" s="1"/>
  <c r="O48" i="1"/>
  <c r="O56" i="1" s="1"/>
  <c r="N48" i="1"/>
  <c r="N56" i="1" s="1"/>
  <c r="M48" i="1"/>
  <c r="M56" i="1" s="1"/>
  <c r="L48" i="1"/>
  <c r="L56" i="1" s="1"/>
  <c r="K48" i="1"/>
  <c r="K56" i="1" s="1"/>
  <c r="J48" i="1"/>
  <c r="J56" i="1" s="1"/>
  <c r="I48" i="1"/>
  <c r="I56" i="1" s="1"/>
  <c r="H48" i="1"/>
  <c r="H56" i="1" s="1"/>
  <c r="G48" i="1"/>
  <c r="G56" i="1" s="1"/>
  <c r="F56" i="1"/>
  <c r="S48" i="1"/>
  <c r="S56" i="1" s="1"/>
  <c r="R48" i="1"/>
  <c r="Q48" i="1"/>
  <c r="I81" i="5"/>
  <c r="H81" i="5"/>
  <c r="G81" i="5"/>
  <c r="N79" i="5"/>
  <c r="G84" i="1"/>
  <c r="F84" i="1"/>
  <c r="F91" i="1" s="1"/>
  <c r="L84" i="1"/>
  <c r="K84" i="1"/>
  <c r="J84" i="1"/>
  <c r="I84" i="1"/>
  <c r="H84" i="1"/>
  <c r="R84" i="1"/>
  <c r="S181" i="1" s="1"/>
  <c r="S197" i="1" s="1"/>
  <c r="N84" i="1"/>
  <c r="M84" i="1"/>
  <c r="N181" i="1" s="1"/>
  <c r="N197" i="1" s="1"/>
  <c r="Q84" i="1"/>
  <c r="R181" i="1" s="1"/>
  <c r="R197" i="1" s="1"/>
  <c r="O84" i="1"/>
  <c r="P84" i="1"/>
  <c r="S150" i="1"/>
  <c r="F46" i="4"/>
  <c r="R54" i="6"/>
  <c r="Q54" i="6"/>
  <c r="P54" i="6"/>
  <c r="O54" i="6"/>
  <c r="N54" i="6"/>
  <c r="M54" i="6"/>
  <c r="L54" i="6"/>
  <c r="K54" i="6"/>
  <c r="J54" i="6"/>
  <c r="I54" i="6"/>
  <c r="H54" i="6"/>
  <c r="G54" i="6"/>
  <c r="F54" i="6"/>
  <c r="E54" i="6"/>
  <c r="Q61" i="5" l="1"/>
  <c r="Q65" i="5" s="1"/>
  <c r="F15" i="7"/>
  <c r="E91" i="5" s="1"/>
  <c r="T91" i="5" s="1"/>
  <c r="T92" i="5" s="1"/>
  <c r="G44" i="4"/>
  <c r="H139" i="1"/>
  <c r="I181" i="1"/>
  <c r="I197" i="1" s="1"/>
  <c r="I91" i="1"/>
  <c r="H56" i="6" s="1"/>
  <c r="J181" i="1"/>
  <c r="J197" i="1" s="1"/>
  <c r="J139" i="1"/>
  <c r="K181" i="1"/>
  <c r="K197" i="1" s="1"/>
  <c r="P91" i="1"/>
  <c r="Q183" i="1" s="1"/>
  <c r="Q199" i="1" s="1"/>
  <c r="Q181" i="1"/>
  <c r="Q197" i="1" s="1"/>
  <c r="N139" i="1"/>
  <c r="O181" i="1"/>
  <c r="O197" i="1" s="1"/>
  <c r="G91" i="1"/>
  <c r="H181" i="1"/>
  <c r="H197" i="1" s="1"/>
  <c r="T181" i="1"/>
  <c r="T197" i="1" s="1"/>
  <c r="T165" i="1"/>
  <c r="O139" i="1"/>
  <c r="O140" i="1" s="1"/>
  <c r="P181" i="1"/>
  <c r="P197" i="1" s="1"/>
  <c r="K139" i="1"/>
  <c r="L181" i="1"/>
  <c r="L197" i="1" s="1"/>
  <c r="I86" i="5"/>
  <c r="H86" i="5" s="1"/>
  <c r="H61" i="5" s="1"/>
  <c r="L139" i="1"/>
  <c r="M181" i="1"/>
  <c r="M197" i="1" s="1"/>
  <c r="K32" i="5"/>
  <c r="L32" i="5" s="1"/>
  <c r="M32" i="5" s="1"/>
  <c r="S32" i="5" s="1"/>
  <c r="H15" i="9"/>
  <c r="G46" i="5"/>
  <c r="G48" i="5" s="1"/>
  <c r="G60" i="5" s="1"/>
  <c r="I44" i="4"/>
  <c r="P19" i="5" s="1"/>
  <c r="G41" i="4"/>
  <c r="G46" i="4" s="1"/>
  <c r="G86" i="5"/>
  <c r="R56" i="1"/>
  <c r="N165" i="1"/>
  <c r="L91" i="1"/>
  <c r="M183" i="1" s="1"/>
  <c r="M199" i="1" s="1"/>
  <c r="M165" i="1"/>
  <c r="P165" i="1"/>
  <c r="P139" i="1"/>
  <c r="C34" i="14" s="1"/>
  <c r="O91" i="1"/>
  <c r="I139" i="1"/>
  <c r="M91" i="1"/>
  <c r="N183" i="1" s="1"/>
  <c r="N199" i="1" s="1"/>
  <c r="G139" i="1"/>
  <c r="H140" i="1" s="1"/>
  <c r="R139" i="1"/>
  <c r="L165" i="1"/>
  <c r="K91" i="1"/>
  <c r="H91" i="1"/>
  <c r="M139" i="1"/>
  <c r="Q165" i="1"/>
  <c r="J91" i="1"/>
  <c r="Q139" i="1"/>
  <c r="I165" i="1"/>
  <c r="H165" i="1"/>
  <c r="Q91" i="1"/>
  <c r="O165" i="1"/>
  <c r="E56" i="6"/>
  <c r="F142" i="1"/>
  <c r="S91" i="1"/>
  <c r="S165" i="1"/>
  <c r="S139" i="1"/>
  <c r="F34" i="14" s="1"/>
  <c r="G142" i="1"/>
  <c r="L140" i="1"/>
  <c r="R165" i="1"/>
  <c r="R91" i="1"/>
  <c r="S183" i="1" s="1"/>
  <c r="S199" i="1" s="1"/>
  <c r="J165" i="1"/>
  <c r="F139" i="1"/>
  <c r="K165" i="1"/>
  <c r="N91" i="1"/>
  <c r="O183" i="1" s="1"/>
  <c r="O199" i="1" s="1"/>
  <c r="Q56" i="1"/>
  <c r="S91" i="5" l="1"/>
  <c r="P142" i="1"/>
  <c r="O56" i="6"/>
  <c r="D36" i="14"/>
  <c r="D34" i="14"/>
  <c r="E36" i="14"/>
  <c r="E34" i="14"/>
  <c r="B36" i="14"/>
  <c r="B34" i="14"/>
  <c r="J140" i="1"/>
  <c r="M140" i="1"/>
  <c r="P140" i="1"/>
  <c r="C36" i="14"/>
  <c r="T140" i="1"/>
  <c r="F36" i="14"/>
  <c r="T183" i="1"/>
  <c r="T199" i="1" s="1"/>
  <c r="T167" i="1"/>
  <c r="Q167" i="1"/>
  <c r="R183" i="1"/>
  <c r="R199" i="1" s="1"/>
  <c r="N56" i="6"/>
  <c r="P183" i="1"/>
  <c r="P199" i="1" s="1"/>
  <c r="J167" i="1"/>
  <c r="K183" i="1"/>
  <c r="K199" i="1" s="1"/>
  <c r="H142" i="1"/>
  <c r="I183" i="1"/>
  <c r="I199" i="1" s="1"/>
  <c r="K140" i="1"/>
  <c r="H183" i="1"/>
  <c r="H199" i="1" s="1"/>
  <c r="F56" i="6"/>
  <c r="K142" i="1"/>
  <c r="L183" i="1"/>
  <c r="L199" i="1" s="1"/>
  <c r="K70" i="5"/>
  <c r="L70" i="5" s="1"/>
  <c r="M70" i="5" s="1"/>
  <c r="S70" i="5" s="1"/>
  <c r="I142" i="1"/>
  <c r="J183" i="1"/>
  <c r="J199" i="1" s="1"/>
  <c r="K80" i="5"/>
  <c r="L80" i="5" s="1"/>
  <c r="M80" i="5" s="1"/>
  <c r="S80" i="5" s="1"/>
  <c r="L69" i="5"/>
  <c r="M69" i="5" s="1"/>
  <c r="K71" i="5"/>
  <c r="L71" i="5" s="1"/>
  <c r="M71" i="5" s="1"/>
  <c r="S71" i="5" s="1"/>
  <c r="K75" i="5"/>
  <c r="L75" i="5" s="1"/>
  <c r="M75" i="5" s="1"/>
  <c r="K77" i="5"/>
  <c r="L77" i="5" s="1"/>
  <c r="M77" i="5" s="1"/>
  <c r="S77" i="5" s="1"/>
  <c r="L26" i="5"/>
  <c r="M26" i="5" s="1"/>
  <c r="S26" i="5" s="1"/>
  <c r="K42" i="5"/>
  <c r="L42" i="5" s="1"/>
  <c r="M42" i="5" s="1"/>
  <c r="S42" i="5" s="1"/>
  <c r="P22" i="5"/>
  <c r="S19" i="5"/>
  <c r="M167" i="1"/>
  <c r="F86" i="5"/>
  <c r="E86" i="5" s="1"/>
  <c r="G61" i="5"/>
  <c r="P167" i="1"/>
  <c r="G56" i="6"/>
  <c r="M142" i="1"/>
  <c r="H167" i="1"/>
  <c r="L142" i="1"/>
  <c r="K56" i="6"/>
  <c r="J56" i="6"/>
  <c r="K167" i="1"/>
  <c r="L167" i="1"/>
  <c r="I56" i="6"/>
  <c r="J142" i="1"/>
  <c r="J143" i="1" s="1"/>
  <c r="Q140" i="1"/>
  <c r="G140" i="1"/>
  <c r="O142" i="1"/>
  <c r="P143" i="1" s="1"/>
  <c r="I167" i="1"/>
  <c r="N140" i="1"/>
  <c r="L56" i="6"/>
  <c r="I140" i="1"/>
  <c r="R140" i="1"/>
  <c r="G143" i="1"/>
  <c r="S140" i="1"/>
  <c r="Q142" i="1"/>
  <c r="Q143" i="1" s="1"/>
  <c r="P56" i="6"/>
  <c r="R142" i="1"/>
  <c r="Q56" i="6"/>
  <c r="R167" i="1"/>
  <c r="S142" i="1"/>
  <c r="T143" i="1" s="1"/>
  <c r="S167" i="1"/>
  <c r="N142" i="1"/>
  <c r="N167" i="1"/>
  <c r="M56" i="6"/>
  <c r="O167" i="1"/>
  <c r="I143" i="1" l="1"/>
  <c r="L143" i="1"/>
  <c r="H143" i="1"/>
  <c r="K76" i="5"/>
  <c r="L76" i="5" s="1"/>
  <c r="M76" i="5" s="1"/>
  <c r="S76" i="5" s="1"/>
  <c r="L72" i="5"/>
  <c r="F61" i="5"/>
  <c r="G65" i="5"/>
  <c r="E92" i="5"/>
  <c r="N143" i="1"/>
  <c r="R143" i="1"/>
  <c r="O143" i="1"/>
  <c r="K143" i="1"/>
  <c r="M143" i="1"/>
  <c r="S75" i="5"/>
  <c r="S69" i="5"/>
  <c r="S72" i="5" s="1"/>
  <c r="M72" i="5"/>
  <c r="S143" i="1"/>
  <c r="S78" i="5" l="1"/>
  <c r="S79" i="5" s="1"/>
  <c r="S81" i="5" s="1"/>
  <c r="M78" i="5"/>
  <c r="M79" i="5" s="1"/>
  <c r="M81" i="5" s="1"/>
  <c r="L78" i="5"/>
  <c r="L79" i="5" s="1"/>
  <c r="L81" i="5" s="1"/>
  <c r="L86" i="5" s="1"/>
  <c r="L61" i="5" s="1"/>
  <c r="I61" i="5"/>
  <c r="F65" i="5"/>
  <c r="E65" i="5" s="1"/>
  <c r="M61" i="5" l="1"/>
  <c r="S61" i="5" s="1"/>
  <c r="T61" i="5" s="1"/>
  <c r="E88" i="5"/>
  <c r="E93" i="5"/>
  <c r="E94" i="5" s="1"/>
  <c r="M85" i="5"/>
  <c r="S85" i="5" s="1"/>
  <c r="S86" i="5" s="1"/>
  <c r="F35" i="7"/>
  <c r="E11" i="2" s="1"/>
  <c r="M14" i="5"/>
  <c r="P14" i="5" s="1"/>
  <c r="S14" i="5" s="1"/>
  <c r="M62" i="5"/>
  <c r="S62" i="5" s="1"/>
  <c r="M63" i="5"/>
  <c r="S63" i="5" s="1"/>
  <c r="M86" i="5" l="1"/>
  <c r="AE11" i="2"/>
  <c r="Y11" i="2"/>
  <c r="AH11" i="2"/>
  <c r="AD11" i="2"/>
  <c r="H12" i="5"/>
  <c r="AA11" i="2"/>
  <c r="AQ11" i="2"/>
  <c r="AG11" i="2"/>
  <c r="AP11" i="2"/>
  <c r="AR11" i="2"/>
  <c r="AF11" i="2"/>
  <c r="L11" i="2"/>
  <c r="AI11" i="2"/>
  <c r="AC11" i="2"/>
  <c r="T11" i="2"/>
  <c r="R11" i="2"/>
  <c r="N11" i="2"/>
  <c r="F37" i="7"/>
  <c r="F39" i="7" s="1"/>
  <c r="E95" i="5" s="1"/>
  <c r="U11" i="2"/>
  <c r="AL11" i="2"/>
  <c r="AJ11" i="2"/>
  <c r="AK11" i="2"/>
  <c r="AB11" i="2"/>
  <c r="Z11" i="2"/>
  <c r="K11" i="2"/>
  <c r="W11" i="2"/>
  <c r="AN11" i="2"/>
  <c r="V11" i="2"/>
  <c r="AO11" i="2"/>
  <c r="M11" i="2"/>
  <c r="X11" i="2"/>
  <c r="H11" i="2"/>
  <c r="P11" i="2"/>
  <c r="O11" i="2"/>
  <c r="AM11" i="2"/>
  <c r="J11" i="2"/>
  <c r="G11" i="2"/>
  <c r="Q11" i="2"/>
  <c r="S11" i="2"/>
  <c r="I11" i="2"/>
  <c r="S92" i="5"/>
  <c r="F236" i="11"/>
  <c r="F237" i="11" s="1"/>
  <c r="H237" i="11" s="1"/>
  <c r="H236" i="11"/>
  <c r="I236" i="11" s="1"/>
  <c r="E236" i="11"/>
  <c r="E239" i="11" s="1"/>
  <c r="E240" i="11" s="1"/>
  <c r="D186" i="11"/>
  <c r="D187" i="11" s="1"/>
  <c r="D180" i="11"/>
  <c r="D183" i="11" s="1"/>
  <c r="F266" i="11"/>
  <c r="G266" i="11" s="1"/>
  <c r="H266" i="11"/>
  <c r="I266" i="11" s="1"/>
  <c r="F267" i="11"/>
  <c r="G267" i="11" s="1"/>
  <c r="E267" i="11"/>
  <c r="E269" i="11"/>
  <c r="E270" i="11" s="1"/>
  <c r="S95" i="5" l="1"/>
  <c r="H25" i="9" s="1"/>
  <c r="T95" i="5"/>
  <c r="G236" i="11"/>
  <c r="G269" i="11"/>
  <c r="G270" i="11" s="1"/>
  <c r="H239" i="11"/>
  <c r="I237" i="11"/>
  <c r="I239" i="11" s="1"/>
  <c r="I240" i="11" s="1"/>
  <c r="H267" i="11"/>
  <c r="G237" i="11"/>
  <c r="G239" i="11" s="1"/>
  <c r="G240" i="11" s="1"/>
  <c r="AQ32" i="2"/>
  <c r="AQ40" i="2"/>
  <c r="AQ44" i="2" s="1"/>
  <c r="AQ14" i="2"/>
  <c r="AQ35" i="2"/>
  <c r="AR40" i="2"/>
  <c r="AR44" i="2" s="1"/>
  <c r="AR35" i="2"/>
  <c r="AR32" i="2"/>
  <c r="AR14" i="2"/>
  <c r="AP40" i="2"/>
  <c r="AP44" i="2" s="1"/>
  <c r="AP14" i="2"/>
  <c r="AP35" i="2"/>
  <c r="AP32" i="2"/>
  <c r="E96" i="5"/>
  <c r="I35" i="2"/>
  <c r="I32" i="2"/>
  <c r="I40" i="2"/>
  <c r="I44" i="2" s="1"/>
  <c r="I14" i="2"/>
  <c r="AD32" i="2"/>
  <c r="AD40" i="2"/>
  <c r="AD44" i="2" s="1"/>
  <c r="AD14" i="2"/>
  <c r="AD35" i="2"/>
  <c r="AO32" i="2"/>
  <c r="AO35" i="2"/>
  <c r="AO40" i="2"/>
  <c r="AO44" i="2" s="1"/>
  <c r="AO14" i="2"/>
  <c r="AH40" i="2"/>
  <c r="AH44" i="2" s="1"/>
  <c r="AH35" i="2"/>
  <c r="AH14" i="2"/>
  <c r="AH32" i="2"/>
  <c r="AL35" i="2"/>
  <c r="AL32" i="2"/>
  <c r="AL14" i="2"/>
  <c r="AL40" i="2"/>
  <c r="AL44" i="2" s="1"/>
  <c r="L40" i="2"/>
  <c r="L44" i="2" s="1"/>
  <c r="L32" i="2"/>
  <c r="L35" i="2"/>
  <c r="L14" i="2"/>
  <c r="AM40" i="2"/>
  <c r="AM44" i="2" s="1"/>
  <c r="AM14" i="2"/>
  <c r="AM32" i="2"/>
  <c r="AM35" i="2"/>
  <c r="N35" i="2"/>
  <c r="N32" i="2"/>
  <c r="N40" i="2"/>
  <c r="N44" i="2" s="1"/>
  <c r="N14" i="2"/>
  <c r="K35" i="2"/>
  <c r="K14" i="2"/>
  <c r="K32" i="2"/>
  <c r="K40" i="2"/>
  <c r="K44" i="2" s="1"/>
  <c r="T35" i="2"/>
  <c r="T40" i="2"/>
  <c r="T44" i="2" s="1"/>
  <c r="T32" i="2"/>
  <c r="T14" i="2"/>
  <c r="Y40" i="2"/>
  <c r="Y44" i="2" s="1"/>
  <c r="Y14" i="2"/>
  <c r="Y32" i="2"/>
  <c r="Y35" i="2"/>
  <c r="O35" i="2"/>
  <c r="O32" i="2"/>
  <c r="O40" i="2"/>
  <c r="O44" i="2" s="1"/>
  <c r="O14" i="2"/>
  <c r="M35" i="2"/>
  <c r="M32" i="2"/>
  <c r="M14" i="2"/>
  <c r="M40" i="2"/>
  <c r="M44" i="2" s="1"/>
  <c r="AA40" i="2"/>
  <c r="AA44" i="2" s="1"/>
  <c r="AA14" i="2"/>
  <c r="AA35" i="2"/>
  <c r="AA32" i="2"/>
  <c r="AC35" i="2"/>
  <c r="AC32" i="2"/>
  <c r="AC14" i="2"/>
  <c r="AC40" i="2"/>
  <c r="AC44" i="2" s="1"/>
  <c r="AI14" i="2"/>
  <c r="AI40" i="2"/>
  <c r="AI44" i="2" s="1"/>
  <c r="AI35" i="2"/>
  <c r="AI32" i="2"/>
  <c r="AK40" i="2"/>
  <c r="AK44" i="2" s="1"/>
  <c r="AK14" i="2"/>
  <c r="AK35" i="2"/>
  <c r="AK32" i="2"/>
  <c r="H36" i="5"/>
  <c r="H33" i="5"/>
  <c r="O12" i="5"/>
  <c r="O15" i="5" s="1"/>
  <c r="I12" i="5"/>
  <c r="H41" i="5"/>
  <c r="H15" i="5"/>
  <c r="G40" i="2"/>
  <c r="G44" i="2" s="1"/>
  <c r="G32" i="2"/>
  <c r="G35" i="2"/>
  <c r="G14" i="2"/>
  <c r="H32" i="2"/>
  <c r="H35" i="2"/>
  <c r="H14" i="2"/>
  <c r="H40" i="2"/>
  <c r="H44" i="2" s="1"/>
  <c r="W40" i="2"/>
  <c r="W44" i="2" s="1"/>
  <c r="W35" i="2"/>
  <c r="W14" i="2"/>
  <c r="W32" i="2"/>
  <c r="Z40" i="2"/>
  <c r="Z44" i="2" s="1"/>
  <c r="Z14" i="2"/>
  <c r="Z35" i="2"/>
  <c r="Z32" i="2"/>
  <c r="Q14" i="2"/>
  <c r="Q40" i="2"/>
  <c r="Q44" i="2" s="1"/>
  <c r="Q32" i="2"/>
  <c r="Q35" i="2"/>
  <c r="P35" i="2"/>
  <c r="P14" i="2"/>
  <c r="P32" i="2"/>
  <c r="P40" i="2"/>
  <c r="P44" i="2" s="1"/>
  <c r="AN14" i="2"/>
  <c r="AN40" i="2"/>
  <c r="AN44" i="2" s="1"/>
  <c r="AN32" i="2"/>
  <c r="AN35" i="2"/>
  <c r="AF35" i="2"/>
  <c r="AF40" i="2"/>
  <c r="AF44" i="2" s="1"/>
  <c r="AF32" i="2"/>
  <c r="AF14" i="2"/>
  <c r="AJ32" i="2"/>
  <c r="AJ40" i="2"/>
  <c r="AJ44" i="2" s="1"/>
  <c r="AJ14" i="2"/>
  <c r="AJ35" i="2"/>
  <c r="S35" i="2"/>
  <c r="S40" i="2"/>
  <c r="S44" i="2" s="1"/>
  <c r="S32" i="2"/>
  <c r="S14" i="2"/>
  <c r="J14" i="2"/>
  <c r="J40" i="2"/>
  <c r="J44" i="2" s="1"/>
  <c r="J32" i="2"/>
  <c r="J35" i="2"/>
  <c r="R32" i="2"/>
  <c r="R35" i="2"/>
  <c r="R40" i="2"/>
  <c r="R44" i="2" s="1"/>
  <c r="R14" i="2"/>
  <c r="X32" i="2"/>
  <c r="X14" i="2"/>
  <c r="X40" i="2"/>
  <c r="X44" i="2" s="1"/>
  <c r="X35" i="2"/>
  <c r="V32" i="2"/>
  <c r="V40" i="2"/>
  <c r="V44" i="2" s="1"/>
  <c r="V14" i="2"/>
  <c r="V35" i="2"/>
  <c r="AE35" i="2"/>
  <c r="AE32" i="2"/>
  <c r="AE14" i="2"/>
  <c r="AE40" i="2"/>
  <c r="AE44" i="2" s="1"/>
  <c r="AG32" i="2"/>
  <c r="AG40" i="2"/>
  <c r="AG44" i="2" s="1"/>
  <c r="AG35" i="2"/>
  <c r="AG14" i="2"/>
  <c r="AB14" i="2"/>
  <c r="AB35" i="2"/>
  <c r="AB40" i="2"/>
  <c r="AB44" i="2" s="1"/>
  <c r="AB32" i="2"/>
  <c r="U35" i="2"/>
  <c r="U40" i="2"/>
  <c r="U44" i="2" s="1"/>
  <c r="U32" i="2"/>
  <c r="U14" i="2"/>
  <c r="D190" i="11"/>
  <c r="L111" i="1" l="1"/>
  <c r="T112" i="1"/>
  <c r="M111" i="1"/>
  <c r="O33" i="5"/>
  <c r="O34" i="5" s="1"/>
  <c r="H34" i="5"/>
  <c r="P110" i="1"/>
  <c r="T110" i="1"/>
  <c r="H110" i="1"/>
  <c r="E186" i="11"/>
  <c r="E187" i="11" s="1"/>
  <c r="E179" i="11"/>
  <c r="E180" i="11" s="1"/>
  <c r="R112" i="1"/>
  <c r="N111" i="1"/>
  <c r="AP33" i="2"/>
  <c r="AP45" i="2" s="1"/>
  <c r="AP47" i="2" s="1"/>
  <c r="AP55" i="2" s="1"/>
  <c r="T134" i="1"/>
  <c r="AQ33" i="2"/>
  <c r="AQ45" i="2" s="1"/>
  <c r="AQ47" i="2" s="1"/>
  <c r="AQ55" i="2" s="1"/>
  <c r="T135" i="1"/>
  <c r="T111" i="1"/>
  <c r="O112" i="1"/>
  <c r="K110" i="1"/>
  <c r="N112" i="1"/>
  <c r="S111" i="1"/>
  <c r="T133" i="1"/>
  <c r="AR33" i="2"/>
  <c r="AR45" i="2" s="1"/>
  <c r="AR47" i="2" s="1"/>
  <c r="AR55" i="2" s="1"/>
  <c r="I267" i="11"/>
  <c r="I269" i="11" s="1"/>
  <c r="I270" i="11" s="1"/>
  <c r="F186" i="11" s="1"/>
  <c r="F187" i="11" s="1"/>
  <c r="F190" i="11" s="1"/>
  <c r="H269" i="11"/>
  <c r="Q112" i="1"/>
  <c r="O111" i="1"/>
  <c r="M112" i="1"/>
  <c r="G110" i="1"/>
  <c r="R111" i="1"/>
  <c r="S112" i="1"/>
  <c r="K111" i="1"/>
  <c r="S110" i="1"/>
  <c r="N133" i="1"/>
  <c r="Z33" i="2"/>
  <c r="Z45" i="2" s="1"/>
  <c r="Z47" i="2" s="1"/>
  <c r="Z55" i="2" s="1"/>
  <c r="W33" i="2"/>
  <c r="W45" i="2" s="1"/>
  <c r="W47" i="2" s="1"/>
  <c r="W55" i="2" s="1"/>
  <c r="M133" i="1"/>
  <c r="I33" i="5"/>
  <c r="O133" i="1"/>
  <c r="AC33" i="2"/>
  <c r="AC45" i="2" s="1"/>
  <c r="AC47" i="2" s="1"/>
  <c r="AC55" i="2" s="1"/>
  <c r="O33" i="2"/>
  <c r="O45" i="2" s="1"/>
  <c r="O47" i="2" s="1"/>
  <c r="O55" i="2" s="1"/>
  <c r="J134" i="1"/>
  <c r="AL33" i="2"/>
  <c r="AL45" i="2" s="1"/>
  <c r="AL47" i="2" s="1"/>
  <c r="AL55" i="2" s="1"/>
  <c r="R133" i="1"/>
  <c r="I33" i="2"/>
  <c r="I45" i="2" s="1"/>
  <c r="I47" i="2" s="1"/>
  <c r="I55" i="2" s="1"/>
  <c r="G134" i="1"/>
  <c r="N134" i="1"/>
  <c r="X33" i="2"/>
  <c r="X45" i="2" s="1"/>
  <c r="X47" i="2" s="1"/>
  <c r="X55" i="2" s="1"/>
  <c r="H33" i="2"/>
  <c r="H45" i="2" s="1"/>
  <c r="H47" i="2" s="1"/>
  <c r="H55" i="2" s="1"/>
  <c r="F133" i="1"/>
  <c r="N135" i="1"/>
  <c r="Y33" i="2"/>
  <c r="Y45" i="2" s="1"/>
  <c r="Y47" i="2" s="1"/>
  <c r="Y55" i="2" s="1"/>
  <c r="T33" i="2"/>
  <c r="T45" i="2" s="1"/>
  <c r="T47" i="2" s="1"/>
  <c r="T55" i="2" s="1"/>
  <c r="L133" i="1"/>
  <c r="S134" i="1"/>
  <c r="AM33" i="2"/>
  <c r="AM45" i="2" s="1"/>
  <c r="AM47" i="2" s="1"/>
  <c r="AM55" i="2" s="1"/>
  <c r="P135" i="1"/>
  <c r="AE33" i="2"/>
  <c r="AE45" i="2" s="1"/>
  <c r="AE47" i="2" s="1"/>
  <c r="AE55" i="2" s="1"/>
  <c r="U33" i="2"/>
  <c r="U45" i="2" s="1"/>
  <c r="U47" i="2" s="1"/>
  <c r="U55" i="2" s="1"/>
  <c r="M134" i="1"/>
  <c r="G133" i="1"/>
  <c r="J33" i="2"/>
  <c r="J45" i="2" s="1"/>
  <c r="J47" i="2" s="1"/>
  <c r="J55" i="2" s="1"/>
  <c r="L134" i="1"/>
  <c r="S33" i="2"/>
  <c r="S45" i="2" s="1"/>
  <c r="S47" i="2" s="1"/>
  <c r="S55" i="2" s="1"/>
  <c r="AF33" i="2"/>
  <c r="AF45" i="2" s="1"/>
  <c r="AF47" i="2" s="1"/>
  <c r="AF55" i="2" s="1"/>
  <c r="P133" i="1"/>
  <c r="S135" i="1"/>
  <c r="AN33" i="2"/>
  <c r="AN45" i="2" s="1"/>
  <c r="AN47" i="2" s="1"/>
  <c r="AN55" i="2" s="1"/>
  <c r="J133" i="1"/>
  <c r="P33" i="2"/>
  <c r="P45" i="2" s="1"/>
  <c r="P47" i="2" s="1"/>
  <c r="P55" i="2" s="1"/>
  <c r="K134" i="1"/>
  <c r="Q33" i="2"/>
  <c r="Q45" i="2" s="1"/>
  <c r="Q47" i="2" s="1"/>
  <c r="Q55" i="2" s="1"/>
  <c r="O41" i="5"/>
  <c r="O45" i="5" s="1"/>
  <c r="H45" i="5"/>
  <c r="I41" i="5"/>
  <c r="O36" i="5"/>
  <c r="I36" i="5"/>
  <c r="AO33" i="2"/>
  <c r="AO45" i="2" s="1"/>
  <c r="AO47" i="2" s="1"/>
  <c r="AO55" i="2" s="1"/>
  <c r="S133" i="1"/>
  <c r="S136" i="1" s="1"/>
  <c r="F34" i="13" s="1"/>
  <c r="AD33" i="2"/>
  <c r="AD45" i="2" s="1"/>
  <c r="AD47" i="2" s="1"/>
  <c r="AD55" i="2" s="1"/>
  <c r="P134" i="1"/>
  <c r="P112" i="1"/>
  <c r="Q110" i="1"/>
  <c r="Q111" i="1"/>
  <c r="N110" i="1"/>
  <c r="F111" i="1"/>
  <c r="O110" i="1"/>
  <c r="I111" i="1"/>
  <c r="J111" i="1"/>
  <c r="L110" i="1"/>
  <c r="L113" i="1" s="1"/>
  <c r="H111" i="1"/>
  <c r="I110" i="1"/>
  <c r="I113" i="1" s="1"/>
  <c r="R110" i="1"/>
  <c r="G111" i="1"/>
  <c r="O135" i="1"/>
  <c r="AB33" i="2"/>
  <c r="AB45" i="2" s="1"/>
  <c r="AB47" i="2" s="1"/>
  <c r="AB55" i="2" s="1"/>
  <c r="M33" i="2"/>
  <c r="M45" i="2" s="1"/>
  <c r="M47" i="2" s="1"/>
  <c r="M55" i="2" s="1"/>
  <c r="I134" i="1"/>
  <c r="I133" i="1"/>
  <c r="N33" i="2"/>
  <c r="N45" i="2" s="1"/>
  <c r="N47" i="2" s="1"/>
  <c r="N55" i="2" s="1"/>
  <c r="H133" i="1"/>
  <c r="L33" i="2"/>
  <c r="L45" i="2" s="1"/>
  <c r="L47" i="2" s="1"/>
  <c r="L55" i="2" s="1"/>
  <c r="Q134" i="1"/>
  <c r="AG33" i="2"/>
  <c r="AG45" i="2" s="1"/>
  <c r="AG47" i="2" s="1"/>
  <c r="AG55" i="2" s="1"/>
  <c r="M135" i="1"/>
  <c r="V33" i="2"/>
  <c r="V45" i="2" s="1"/>
  <c r="V47" i="2" s="1"/>
  <c r="V55" i="2" s="1"/>
  <c r="R33" i="2"/>
  <c r="R45" i="2" s="1"/>
  <c r="R47" i="2" s="1"/>
  <c r="R55" i="2" s="1"/>
  <c r="K133" i="1"/>
  <c r="R134" i="1"/>
  <c r="AJ33" i="2"/>
  <c r="AJ45" i="2" s="1"/>
  <c r="AJ47" i="2" s="1"/>
  <c r="AJ55" i="2" s="1"/>
  <c r="H134" i="1"/>
  <c r="K33" i="2"/>
  <c r="K45" i="2" s="1"/>
  <c r="K47" i="2" s="1"/>
  <c r="K55" i="2" s="1"/>
  <c r="F134" i="1"/>
  <c r="G33" i="2"/>
  <c r="G45" i="2" s="1"/>
  <c r="G47" i="2" s="1"/>
  <c r="G55" i="2" s="1"/>
  <c r="M12" i="5"/>
  <c r="H29" i="9" s="1"/>
  <c r="I15" i="5"/>
  <c r="R135" i="1"/>
  <c r="AK33" i="2"/>
  <c r="AK45" i="2" s="1"/>
  <c r="AK47" i="2" s="1"/>
  <c r="AK55" i="2" s="1"/>
  <c r="Q133" i="1"/>
  <c r="AI33" i="2"/>
  <c r="AI45" i="2" s="1"/>
  <c r="AI47" i="2" s="1"/>
  <c r="AI55" i="2" s="1"/>
  <c r="O134" i="1"/>
  <c r="AA33" i="2"/>
  <c r="AA45" i="2" s="1"/>
  <c r="AA47" i="2" s="1"/>
  <c r="AA55" i="2" s="1"/>
  <c r="Q135" i="1"/>
  <c r="AH33" i="2"/>
  <c r="AH45" i="2" s="1"/>
  <c r="AH47" i="2" s="1"/>
  <c r="AH55" i="2" s="1"/>
  <c r="J110" i="1"/>
  <c r="M110" i="1"/>
  <c r="F110" i="1"/>
  <c r="P111" i="1"/>
  <c r="D192" i="11"/>
  <c r="K113" i="1" l="1"/>
  <c r="N113" i="1"/>
  <c r="S113" i="1"/>
  <c r="F5" i="15" s="1"/>
  <c r="F7" i="15" s="1"/>
  <c r="T113" i="1"/>
  <c r="G5" i="15" s="1"/>
  <c r="G7" i="15" s="1"/>
  <c r="H113" i="1"/>
  <c r="J136" i="1"/>
  <c r="G136" i="1"/>
  <c r="M113" i="1"/>
  <c r="T136" i="1"/>
  <c r="F36" i="13"/>
  <c r="R113" i="1"/>
  <c r="E6" i="15" s="1"/>
  <c r="H136" i="1"/>
  <c r="E183" i="11"/>
  <c r="E190" i="11" s="1"/>
  <c r="C180" i="11"/>
  <c r="C183" i="11" s="1"/>
  <c r="C187" i="11"/>
  <c r="O113" i="1"/>
  <c r="B5" i="15" s="1"/>
  <c r="G113" i="1"/>
  <c r="P113" i="1"/>
  <c r="C5" i="15" s="1"/>
  <c r="K136" i="1"/>
  <c r="L136" i="1"/>
  <c r="I34" i="5"/>
  <c r="M15" i="5"/>
  <c r="F113" i="1"/>
  <c r="J113" i="1"/>
  <c r="Q136" i="1"/>
  <c r="D34" i="13" s="1"/>
  <c r="I136" i="1"/>
  <c r="Q113" i="1"/>
  <c r="D5" i="15" s="1"/>
  <c r="R136" i="1"/>
  <c r="O46" i="5"/>
  <c r="O48" i="5" s="1"/>
  <c r="N136" i="1"/>
  <c r="L159" i="1"/>
  <c r="L114" i="1"/>
  <c r="I45" i="5"/>
  <c r="P136" i="1"/>
  <c r="C34" i="13" s="1"/>
  <c r="F136" i="1"/>
  <c r="H46" i="5"/>
  <c r="H48" i="5" s="1"/>
  <c r="O136" i="1"/>
  <c r="M136" i="1"/>
  <c r="T159" i="1" l="1"/>
  <c r="O173" i="1"/>
  <c r="O189" i="1" s="1"/>
  <c r="L173" i="1"/>
  <c r="L189" i="1" s="1"/>
  <c r="T173" i="1"/>
  <c r="T189" i="1" s="1"/>
  <c r="T114" i="1"/>
  <c r="B11" i="15"/>
  <c r="I173" i="1"/>
  <c r="I189" i="1" s="1"/>
  <c r="I114" i="1"/>
  <c r="I159" i="1"/>
  <c r="M173" i="1"/>
  <c r="M189" i="1" s="1"/>
  <c r="C10" i="15"/>
  <c r="H114" i="1"/>
  <c r="J173" i="1"/>
  <c r="J189" i="1" s="1"/>
  <c r="E36" i="13"/>
  <c r="E34" i="13"/>
  <c r="B36" i="13"/>
  <c r="B34" i="13"/>
  <c r="G36" i="13"/>
  <c r="G34" i="13"/>
  <c r="M114" i="1"/>
  <c r="S137" i="1"/>
  <c r="S159" i="1"/>
  <c r="T179" i="1"/>
  <c r="T195" i="1" s="1"/>
  <c r="H163" i="1"/>
  <c r="H179" i="1"/>
  <c r="H195" i="1" s="1"/>
  <c r="N114" i="1"/>
  <c r="O159" i="1"/>
  <c r="M159" i="1"/>
  <c r="T163" i="1"/>
  <c r="I179" i="1"/>
  <c r="I195" i="1" s="1"/>
  <c r="M179" i="1"/>
  <c r="M195" i="1" s="1"/>
  <c r="N173" i="1"/>
  <c r="N189" i="1" s="1"/>
  <c r="K179" i="1"/>
  <c r="K195" i="1" s="1"/>
  <c r="G137" i="1"/>
  <c r="N159" i="1"/>
  <c r="T137" i="1"/>
  <c r="Q173" i="1"/>
  <c r="Q189" i="1" s="1"/>
  <c r="S173" i="1"/>
  <c r="S189" i="1" s="1"/>
  <c r="N179" i="1"/>
  <c r="N195" i="1" s="1"/>
  <c r="Q179" i="1"/>
  <c r="Q195" i="1" s="1"/>
  <c r="C36" i="13"/>
  <c r="L137" i="1"/>
  <c r="S114" i="1"/>
  <c r="R179" i="1"/>
  <c r="R195" i="1" s="1"/>
  <c r="D36" i="13"/>
  <c r="P179" i="1"/>
  <c r="P195" i="1" s="1"/>
  <c r="H137" i="1"/>
  <c r="O179" i="1"/>
  <c r="O195" i="1" s="1"/>
  <c r="P173" i="1"/>
  <c r="P189" i="1" s="1"/>
  <c r="C190" i="11"/>
  <c r="S163" i="1"/>
  <c r="S179" i="1"/>
  <c r="S195" i="1" s="1"/>
  <c r="K114" i="1"/>
  <c r="K173" i="1"/>
  <c r="K189" i="1" s="1"/>
  <c r="K159" i="1"/>
  <c r="R114" i="1"/>
  <c r="R173" i="1"/>
  <c r="R189" i="1" s="1"/>
  <c r="K163" i="1"/>
  <c r="L179" i="1"/>
  <c r="L195" i="1" s="1"/>
  <c r="J163" i="1"/>
  <c r="J179" i="1"/>
  <c r="J195" i="1" s="1"/>
  <c r="L163" i="1"/>
  <c r="K137" i="1"/>
  <c r="G114" i="1"/>
  <c r="H173" i="1"/>
  <c r="H189" i="1" s="1"/>
  <c r="O114" i="1"/>
  <c r="P159" i="1"/>
  <c r="J137" i="1"/>
  <c r="H159" i="1"/>
  <c r="I46" i="5"/>
  <c r="I48" i="5" s="1"/>
  <c r="P114" i="1"/>
  <c r="O60" i="5"/>
  <c r="O65" i="5" s="1"/>
  <c r="Q137" i="1"/>
  <c r="Q163" i="1"/>
  <c r="N163" i="1"/>
  <c r="N137" i="1"/>
  <c r="Q114" i="1"/>
  <c r="Q159" i="1"/>
  <c r="O163" i="1"/>
  <c r="O137" i="1"/>
  <c r="R163" i="1"/>
  <c r="R137" i="1"/>
  <c r="J114" i="1"/>
  <c r="J159" i="1"/>
  <c r="R159" i="1"/>
  <c r="M163" i="1"/>
  <c r="M137" i="1"/>
  <c r="P137" i="1"/>
  <c r="P163" i="1"/>
  <c r="I137" i="1"/>
  <c r="I163" i="1"/>
  <c r="H60" i="5"/>
  <c r="I60" i="5" s="1"/>
  <c r="D10" i="15" l="1"/>
  <c r="K20" i="5" s="1"/>
  <c r="M39" i="13"/>
  <c r="N40" i="13"/>
  <c r="C43" i="13"/>
  <c r="C44" i="13" s="1"/>
  <c r="K44" i="5"/>
  <c r="L44" i="5" s="1"/>
  <c r="I65" i="5"/>
  <c r="H65" i="5"/>
  <c r="M44" i="13" l="1"/>
  <c r="N39" i="13"/>
  <c r="N44" i="13" s="1"/>
  <c r="M41" i="13"/>
  <c r="M42" i="13" s="1"/>
  <c r="K33" i="5"/>
  <c r="L33" i="5" s="1"/>
  <c r="M33" i="5" s="1"/>
  <c r="L27" i="5"/>
  <c r="M44" i="5"/>
  <c r="N41" i="13" l="1"/>
  <c r="N42" i="13" s="1"/>
  <c r="K41" i="5"/>
  <c r="L41" i="5" s="1"/>
  <c r="K25" i="5"/>
  <c r="L25" i="5" s="1"/>
  <c r="M25" i="5" s="1"/>
  <c r="S25" i="5" s="1"/>
  <c r="K31" i="5"/>
  <c r="L31" i="5" s="1"/>
  <c r="K37" i="5"/>
  <c r="L37" i="5" s="1"/>
  <c r="M37" i="5" s="1"/>
  <c r="S37" i="5" s="1"/>
  <c r="K38" i="5"/>
  <c r="L38" i="5" s="1"/>
  <c r="M38" i="5" s="1"/>
  <c r="S38" i="5" s="1"/>
  <c r="L20" i="5"/>
  <c r="K36" i="5"/>
  <c r="L36" i="5" s="1"/>
  <c r="M36" i="5" s="1"/>
  <c r="M27" i="5"/>
  <c r="S27" i="5" s="1"/>
  <c r="S44" i="5"/>
  <c r="S28" i="5" l="1"/>
  <c r="M31" i="5"/>
  <c r="S31" i="5" s="1"/>
  <c r="L34" i="5"/>
  <c r="M20" i="5"/>
  <c r="L22" i="5"/>
  <c r="M41" i="5"/>
  <c r="M45" i="5" s="1"/>
  <c r="L45" i="5"/>
  <c r="L28" i="5"/>
  <c r="M28" i="5"/>
  <c r="L46" i="5" l="1"/>
  <c r="L48" i="5" s="1"/>
  <c r="L60" i="5" s="1"/>
  <c r="M60" i="5" s="1"/>
  <c r="M22" i="5"/>
  <c r="S20" i="5"/>
  <c r="S22" i="5" s="1"/>
  <c r="M34" i="5"/>
  <c r="M46" i="5" l="1"/>
  <c r="M48" i="5" s="1"/>
  <c r="M65" i="5" s="1"/>
  <c r="L65" i="5"/>
  <c r="D139" i="11"/>
  <c r="D142" i="11" s="1"/>
  <c r="D145" i="11" s="1"/>
  <c r="D143" i="11"/>
  <c r="E139" i="11"/>
  <c r="E142" i="11"/>
  <c r="E143" i="11"/>
  <c r="C143" i="11" s="1"/>
  <c r="E145" i="11"/>
  <c r="H28" i="4" s="1"/>
  <c r="F252" i="11"/>
  <c r="F253" i="11" s="1"/>
  <c r="H252" i="11"/>
  <c r="I252" i="11"/>
  <c r="F143" i="11"/>
  <c r="G143" i="11"/>
  <c r="G145" i="11"/>
  <c r="H30" i="4" s="1"/>
  <c r="H18" i="4" s="1"/>
  <c r="H143" i="11"/>
  <c r="H145" i="11"/>
  <c r="H31" i="4" s="1"/>
  <c r="H23" i="4" s="1"/>
  <c r="I143" i="11"/>
  <c r="I145" i="11"/>
  <c r="I193" i="11" s="1"/>
  <c r="J143" i="11"/>
  <c r="J145" i="11"/>
  <c r="E167" i="11"/>
  <c r="E170" i="11" s="1"/>
  <c r="E191" i="11" s="1"/>
  <c r="E193" i="11"/>
  <c r="F167" i="11"/>
  <c r="F170" i="11"/>
  <c r="F191" i="11"/>
  <c r="F192" i="11" s="1"/>
  <c r="G167" i="11"/>
  <c r="G170" i="11" s="1"/>
  <c r="G191" i="11" s="1"/>
  <c r="G192" i="11" s="1"/>
  <c r="G195" i="11" s="1"/>
  <c r="G193" i="11"/>
  <c r="H167" i="11"/>
  <c r="H168" i="11"/>
  <c r="C168" i="11" s="1"/>
  <c r="H170" i="11"/>
  <c r="H191" i="11" s="1"/>
  <c r="H192" i="11" s="1"/>
  <c r="I167" i="11"/>
  <c r="I168" i="11"/>
  <c r="I170" i="11"/>
  <c r="I191" i="11"/>
  <c r="I192" i="11" s="1"/>
  <c r="I195" i="11" s="1"/>
  <c r="I196" i="11" s="1"/>
  <c r="J164" i="11"/>
  <c r="J167" i="11" s="1"/>
  <c r="J170" i="11" s="1"/>
  <c r="J191" i="11" s="1"/>
  <c r="J192" i="11" s="1"/>
  <c r="J195" i="11" s="1"/>
  <c r="J196" i="11" s="1"/>
  <c r="J168" i="11"/>
  <c r="J193" i="11"/>
  <c r="C164" i="11"/>
  <c r="E252" i="11"/>
  <c r="E253" i="11"/>
  <c r="E255" i="11"/>
  <c r="E257" i="11"/>
  <c r="E258" i="11" s="1"/>
  <c r="D257" i="11"/>
  <c r="G252" i="11"/>
  <c r="D193" i="11" l="1"/>
  <c r="H27" i="4"/>
  <c r="H15" i="4" s="1"/>
  <c r="G196" i="11"/>
  <c r="G276" i="11"/>
  <c r="C191" i="11"/>
  <c r="E192" i="11"/>
  <c r="G253" i="11"/>
  <c r="G257" i="11" s="1"/>
  <c r="G258" i="11" s="1"/>
  <c r="H253" i="11"/>
  <c r="F254" i="11"/>
  <c r="H193" i="11"/>
  <c r="H195" i="11" s="1"/>
  <c r="H32" i="4"/>
  <c r="H24" i="4" s="1"/>
  <c r="H25" i="4" s="1"/>
  <c r="C167" i="11"/>
  <c r="C170" i="11" s="1"/>
  <c r="H16" i="4"/>
  <c r="I23" i="4" l="1"/>
  <c r="J23" i="4" s="1"/>
  <c r="L23" i="4"/>
  <c r="M23" i="4" s="1"/>
  <c r="I21" i="4"/>
  <c r="I25" i="4" s="1"/>
  <c r="I24" i="4"/>
  <c r="J24" i="4" s="1"/>
  <c r="L24" i="4" s="1"/>
  <c r="M24" i="4" s="1"/>
  <c r="I22" i="4"/>
  <c r="J22" i="4" s="1"/>
  <c r="L22" i="4" s="1"/>
  <c r="M22" i="4" s="1"/>
  <c r="H276" i="11"/>
  <c r="H196" i="11"/>
  <c r="H254" i="11"/>
  <c r="I254" i="11" s="1"/>
  <c r="G254" i="11"/>
  <c r="E195" i="11"/>
  <c r="C192" i="11"/>
  <c r="D195" i="11"/>
  <c r="F255" i="11"/>
  <c r="I253" i="11"/>
  <c r="J21" i="4"/>
  <c r="G255" i="11" l="1"/>
  <c r="H255" i="11"/>
  <c r="E276" i="11"/>
  <c r="E196" i="11"/>
  <c r="D196" i="11"/>
  <c r="D276" i="11"/>
  <c r="J25" i="4"/>
  <c r="K13" i="5" s="1"/>
  <c r="P13" i="5" s="1"/>
  <c r="S13" i="5" s="1"/>
  <c r="L21" i="4"/>
  <c r="I255" i="11" l="1"/>
  <c r="I257" i="11" s="1"/>
  <c r="H257" i="11"/>
  <c r="M21" i="4"/>
  <c r="M25" i="4" s="1"/>
  <c r="L25" i="4"/>
  <c r="I258" i="11" l="1"/>
  <c r="F138" i="11" s="1"/>
  <c r="F139" i="11" s="1"/>
  <c r="F142" i="11" l="1"/>
  <c r="F145" i="11" s="1"/>
  <c r="C139" i="11"/>
  <c r="C142" i="11" s="1"/>
  <c r="C145" i="11" s="1"/>
  <c r="H29" i="4" l="1"/>
  <c r="F193" i="11"/>
  <c r="F195" i="11" l="1"/>
  <c r="C193" i="11"/>
  <c r="H17" i="4"/>
  <c r="H33" i="4"/>
  <c r="H19" i="4" l="1"/>
  <c r="F276" i="11"/>
  <c r="F196" i="11"/>
  <c r="C195" i="11"/>
  <c r="C196" i="11" s="1"/>
  <c r="I18" i="4" l="1"/>
  <c r="J18" i="4" s="1"/>
  <c r="I13" i="4"/>
  <c r="J13" i="4" s="1"/>
  <c r="L13" i="4" s="1"/>
  <c r="M13" i="4" s="1"/>
  <c r="I15" i="4"/>
  <c r="J15" i="4" s="1"/>
  <c r="L15" i="4" s="1"/>
  <c r="M15" i="4" s="1"/>
  <c r="I12" i="4"/>
  <c r="J12" i="4" s="1"/>
  <c r="L12" i="4" s="1"/>
  <c r="M12" i="4" s="1"/>
  <c r="L18" i="4"/>
  <c r="M18" i="4" s="1"/>
  <c r="I14" i="4"/>
  <c r="J14" i="4" s="1"/>
  <c r="L14" i="4" s="1"/>
  <c r="M14" i="4" s="1"/>
  <c r="I11" i="4"/>
  <c r="L16" i="4"/>
  <c r="M16" i="4" s="1"/>
  <c r="L17" i="4"/>
  <c r="M17" i="4" s="1"/>
  <c r="I16" i="4"/>
  <c r="J16" i="4" s="1"/>
  <c r="I17" i="4"/>
  <c r="J17" i="4" s="1"/>
  <c r="J11" i="4" l="1"/>
  <c r="I19" i="4"/>
  <c r="J19" i="4" l="1"/>
  <c r="K12" i="5" s="1"/>
  <c r="P12" i="5" s="1"/>
  <c r="L11" i="4"/>
  <c r="M11" i="4" l="1"/>
  <c r="M19" i="4" s="1"/>
  <c r="L19" i="4"/>
  <c r="P15" i="5"/>
  <c r="S12" i="5"/>
  <c r="P33" i="5"/>
  <c r="P41" i="5"/>
  <c r="P36" i="5"/>
  <c r="S36" i="5" s="1"/>
  <c r="S97" i="5" l="1"/>
  <c r="G13" i="9" s="1"/>
  <c r="T97" i="5"/>
  <c r="S15" i="5"/>
  <c r="P45" i="5"/>
  <c r="S41" i="5"/>
  <c r="S45" i="5" s="1"/>
  <c r="S33" i="5"/>
  <c r="S34" i="5" s="1"/>
  <c r="P34" i="5"/>
  <c r="S46" i="5" l="1"/>
  <c r="S48" i="5" s="1"/>
  <c r="P46" i="5"/>
  <c r="P48" i="5" s="1"/>
  <c r="H13" i="9"/>
  <c r="H17" i="9" s="1"/>
  <c r="G19" i="9"/>
  <c r="P60" i="5" l="1"/>
  <c r="S60" i="5" s="1"/>
  <c r="T65" i="5" s="1"/>
  <c r="P65" i="5"/>
  <c r="T88" i="5" l="1"/>
  <c r="T93" i="5"/>
  <c r="T94" i="5" s="1"/>
  <c r="T96" i="5" s="1"/>
  <c r="T98" i="5" s="1"/>
  <c r="F19" i="9"/>
  <c r="H19" i="9" s="1"/>
  <c r="S65" i="5"/>
  <c r="S93" i="5" s="1"/>
  <c r="S94" i="5" s="1"/>
  <c r="S96" i="5" s="1"/>
  <c r="S98" i="5" s="1"/>
  <c r="S88" i="5" l="1"/>
  <c r="H21" i="9"/>
  <c r="H23" i="9"/>
  <c r="H27" i="9" s="1"/>
  <c r="H33" i="9" l="1"/>
  <c r="H31" i="9"/>
  <c r="H39" i="9" s="1"/>
  <c r="H41" i="9" s="1"/>
  <c r="H45" i="9" s="1"/>
  <c r="H47" i="9" l="1"/>
  <c r="H49" i="9"/>
</calcChain>
</file>

<file path=xl/comments1.xml><?xml version="1.0" encoding="utf-8"?>
<comments xmlns="http://schemas.openxmlformats.org/spreadsheetml/2006/main">
  <authors>
    <author>gzhkw6</author>
  </authors>
  <commentList>
    <comment ref="I13" authorId="0" shapeId="0">
      <text>
        <r>
          <rPr>
            <b/>
            <sz val="9"/>
            <color indexed="81"/>
            <rFont val="Tahoma"/>
            <family val="2"/>
          </rPr>
          <t>gzhkw6:</t>
        </r>
        <r>
          <rPr>
            <sz val="9"/>
            <color indexed="81"/>
            <rFont val="Tahoma"/>
            <family val="2"/>
          </rPr>
          <t xml:space="preserve">
transportation revenue was overstated  and other revenue was understated in CB reports.  Corrected here.</t>
        </r>
      </text>
    </comment>
    <comment ref="L13" authorId="0" shapeId="0">
      <text>
        <r>
          <rPr>
            <b/>
            <sz val="9"/>
            <color indexed="81"/>
            <rFont val="Tahoma"/>
            <family val="2"/>
          </rPr>
          <t>gzhkw6:</t>
        </r>
        <r>
          <rPr>
            <sz val="9"/>
            <color indexed="81"/>
            <rFont val="Tahoma"/>
            <family val="2"/>
          </rPr>
          <t xml:space="preserve">
put special contract transportation revenue back in transportation revenue, increases other operating revenue same amount</t>
        </r>
      </text>
    </comment>
    <comment ref="R149" authorId="0" shapeId="0">
      <text>
        <r>
          <rPr>
            <b/>
            <sz val="9"/>
            <color indexed="81"/>
            <rFont val="Tahoma"/>
            <family val="2"/>
          </rPr>
          <t>gzhkw6:</t>
        </r>
        <r>
          <rPr>
            <sz val="9"/>
            <color indexed="81"/>
            <rFont val="Tahoma"/>
            <family val="2"/>
          </rPr>
          <t xml:space="preserve">
Reflects dramatic increase in sale of recycled materials which is captured in 06.2013 test year.</t>
        </r>
      </text>
    </comment>
  </commentList>
</comments>
</file>

<file path=xl/comments2.xml><?xml version="1.0" encoding="utf-8"?>
<comments xmlns="http://schemas.openxmlformats.org/spreadsheetml/2006/main">
  <authors>
    <author>KZX5DR</author>
    <author>Joe Miller</author>
  </authors>
  <commentList>
    <comment ref="J8" authorId="0" shapeId="0">
      <text>
        <r>
          <rPr>
            <sz val="9"/>
            <color indexed="81"/>
            <rFont val="Tahoma"/>
            <family val="2"/>
          </rPr>
          <t>WSU, 8 million annual minimum</t>
        </r>
      </text>
    </comment>
    <comment ref="J56" authorId="0" shapeId="0">
      <text>
        <r>
          <rPr>
            <sz val="9"/>
            <color indexed="81"/>
            <rFont val="Tahoma"/>
            <family val="2"/>
          </rPr>
          <t>WSU
Fixed Charge - $200/mo.
Capital Charge - $26,132/mo.
Total - $26,332/mo.
Collected over 20 yrs; effective 8/1/2003</t>
        </r>
      </text>
    </comment>
    <comment ref="J59" authorId="1" shapeId="0">
      <text>
        <r>
          <rPr>
            <b/>
            <sz val="8"/>
            <color indexed="81"/>
            <rFont val="Tahoma"/>
            <family val="2"/>
          </rPr>
          <t>Joe Miller:</t>
        </r>
        <r>
          <rPr>
            <sz val="8"/>
            <color indexed="81"/>
            <rFont val="Tahoma"/>
            <family val="2"/>
          </rPr>
          <t xml:space="preserve">
$.01 for first 10 million therms/year; $.005 for all therms over 10 million</t>
        </r>
      </text>
    </comment>
    <comment ref="B90" authorId="1" shapeId="0">
      <text>
        <r>
          <rPr>
            <b/>
            <sz val="8"/>
            <color indexed="81"/>
            <rFont val="Tahoma"/>
            <family val="2"/>
          </rPr>
          <t>Joe Miller:</t>
        </r>
        <r>
          <rPr>
            <sz val="8"/>
            <color indexed="81"/>
            <rFont val="Tahoma"/>
            <family val="2"/>
          </rPr>
          <t xml:space="preserve">
Rate dependent upon prior year usage</t>
        </r>
      </text>
    </comment>
  </commentList>
</comments>
</file>

<file path=xl/comments3.xml><?xml version="1.0" encoding="utf-8"?>
<comments xmlns="http://schemas.openxmlformats.org/spreadsheetml/2006/main">
  <authors>
    <author>gzhkw6</author>
  </authors>
  <commentList>
    <comment ref="T61" authorId="0" shapeId="0">
      <text>
        <r>
          <rPr>
            <b/>
            <sz val="9"/>
            <color indexed="81"/>
            <rFont val="Tahoma"/>
            <family val="2"/>
          </rPr>
          <t>gzhkw6:</t>
        </r>
        <r>
          <rPr>
            <sz val="9"/>
            <color indexed="81"/>
            <rFont val="Tahoma"/>
            <family val="2"/>
          </rPr>
          <t xml:space="preserve">
eliminated in rev norm adj, not changed for cb</t>
        </r>
      </text>
    </comment>
  </commentList>
</comments>
</file>

<file path=xl/comments4.xml><?xml version="1.0" encoding="utf-8"?>
<comments xmlns="http://schemas.openxmlformats.org/spreadsheetml/2006/main">
  <authors>
    <author>gzhkw6</author>
  </authors>
  <commentList>
    <comment ref="R22" authorId="0" shapeId="0">
      <text>
        <r>
          <rPr>
            <b/>
            <sz val="9"/>
            <color indexed="81"/>
            <rFont val="Tahoma"/>
            <family val="2"/>
          </rPr>
          <t>gzhkw6:</t>
        </r>
        <r>
          <rPr>
            <sz val="9"/>
            <color indexed="81"/>
            <rFont val="Tahoma"/>
            <family val="2"/>
          </rPr>
          <t xml:space="preserve">
Eliminate Adder Schedules Adjustment removed the decoupling rebate amortization from CB results</t>
        </r>
      </text>
    </comment>
  </commentList>
</comments>
</file>

<file path=xl/sharedStrings.xml><?xml version="1.0" encoding="utf-8"?>
<sst xmlns="http://schemas.openxmlformats.org/spreadsheetml/2006/main" count="1338" uniqueCount="596">
  <si>
    <t>Line</t>
  </si>
  <si>
    <t>Restated</t>
  </si>
  <si>
    <t>No.</t>
  </si>
  <si>
    <t>DESCRIPTION</t>
  </si>
  <si>
    <t>Taxes</t>
  </si>
  <si>
    <t>Total</t>
  </si>
  <si>
    <t>REVENUES</t>
  </si>
  <si>
    <t>Total General Business</t>
  </si>
  <si>
    <t>Total Transportation</t>
  </si>
  <si>
    <t>Other Revenues</t>
  </si>
  <si>
    <t>Total Gas Revenues</t>
  </si>
  <si>
    <t>EXPENSES</t>
  </si>
  <si>
    <t>City Gate Purchases</t>
  </si>
  <si>
    <t>Purchased Gas Expense</t>
  </si>
  <si>
    <t>Net Nat Gas Storage Trans</t>
  </si>
  <si>
    <t>Total Production</t>
  </si>
  <si>
    <t>Underground Storage</t>
  </si>
  <si>
    <t>Operating Expenses</t>
  </si>
  <si>
    <t>Total Underground Storage</t>
  </si>
  <si>
    <t>Distribution</t>
  </si>
  <si>
    <t>Total Distribution</t>
  </si>
  <si>
    <t>Customer Accounting</t>
  </si>
  <si>
    <t>Customer Service &amp; Information</t>
  </si>
  <si>
    <t>Sales Expenses</t>
  </si>
  <si>
    <t>Administrative &amp; General</t>
  </si>
  <si>
    <t>Total Admin. &amp; General</t>
  </si>
  <si>
    <t>Total Gas Expense</t>
  </si>
  <si>
    <t>OPERATING INCOME BEFORE FIT</t>
  </si>
  <si>
    <t>FEDERAL INCOME TAX</t>
  </si>
  <si>
    <t>Current Accrual</t>
  </si>
  <si>
    <t>Deferred FIT</t>
  </si>
  <si>
    <t>Amort ITC</t>
  </si>
  <si>
    <t>NET OPERATING INCOME</t>
  </si>
  <si>
    <t>Distribution Plant</t>
  </si>
  <si>
    <t>General Plant</t>
  </si>
  <si>
    <t>Total Plant in Service</t>
  </si>
  <si>
    <t>GAS INVENTORY</t>
  </si>
  <si>
    <t>GAIN ON SALE OF BUILDING</t>
  </si>
  <si>
    <t>TOTAL RATE BASE</t>
  </si>
  <si>
    <t xml:space="preserve">(000'S OF DOLLARS)   </t>
  </si>
  <si>
    <t>RATE BASE</t>
  </si>
  <si>
    <t>PLANT IN SERVICE</t>
  </si>
  <si>
    <t>DEFERRED TAXES</t>
  </si>
  <si>
    <t>AVISTA UTILITIES</t>
  </si>
  <si>
    <t>NET PLANT</t>
  </si>
  <si>
    <t xml:space="preserve">WORKING CAPITAL </t>
  </si>
  <si>
    <t>Debt Interest</t>
  </si>
  <si>
    <t>Depreciation/Amortization</t>
  </si>
  <si>
    <t xml:space="preserve">WASHINGTON NATURAL GAS RESULTS </t>
  </si>
  <si>
    <t>ACCUMULATED DEPRECIATION/AMORT</t>
  </si>
  <si>
    <t>Net Plant After DFIT</t>
  </si>
  <si>
    <t>Production Expenses</t>
  </si>
  <si>
    <t>Regulatory Amortizations</t>
  </si>
  <si>
    <t>Total Accumulated Depreciation/Amortization</t>
  </si>
  <si>
    <t>OTHER</t>
  </si>
  <si>
    <t>COMMISSION BASIS REPORTS INPUT</t>
  </si>
  <si>
    <t>(Note 1)</t>
  </si>
  <si>
    <t>Remove</t>
  </si>
  <si>
    <t>DSM</t>
  </si>
  <si>
    <t>Amort.</t>
  </si>
  <si>
    <t xml:space="preserve">       2011       </t>
  </si>
  <si>
    <t>Decoup.</t>
  </si>
  <si>
    <t xml:space="preserve">       2010       </t>
  </si>
  <si>
    <t xml:space="preserve">       2009       </t>
  </si>
  <si>
    <t xml:space="preserve">       2008       </t>
  </si>
  <si>
    <t xml:space="preserve">       2007       </t>
  </si>
  <si>
    <t>Operating expenses excluding production</t>
  </si>
  <si>
    <t>Adjusted taxes other than income</t>
  </si>
  <si>
    <t>2004*</t>
  </si>
  <si>
    <t>2006*</t>
  </si>
  <si>
    <t xml:space="preserve">* </t>
  </si>
  <si>
    <t>In the 2004 and 2006 CBR's the DSM was removed in the revenue normalization adjustment.</t>
  </si>
  <si>
    <t>Rate base</t>
  </si>
  <si>
    <t>Annual Growth Rates</t>
  </si>
  <si>
    <t>2001-2002</t>
  </si>
  <si>
    <t>2002-2003</t>
  </si>
  <si>
    <t>2003-2004</t>
  </si>
  <si>
    <t>2004-2005</t>
  </si>
  <si>
    <t>2005-2006</t>
  </si>
  <si>
    <t>2006-2007</t>
  </si>
  <si>
    <t>2007-2008</t>
  </si>
  <si>
    <t>2008-2009</t>
  </si>
  <si>
    <t>2009-2010</t>
  </si>
  <si>
    <t>2010-2011</t>
  </si>
  <si>
    <t xml:space="preserve">WASHINGTON NATURAL GAS </t>
  </si>
  <si>
    <t>BILLING DETERMINANT INDEX</t>
  </si>
  <si>
    <t>General Svc</t>
  </si>
  <si>
    <t>Lrg Gen Svc</t>
  </si>
  <si>
    <t>Description</t>
  </si>
  <si>
    <t>Schedule</t>
  </si>
  <si>
    <t>Ex Lrg Gen Svc</t>
  </si>
  <si>
    <t>111/112</t>
  </si>
  <si>
    <t>121/122</t>
  </si>
  <si>
    <t>Interruptible Svc</t>
  </si>
  <si>
    <t>131/132</t>
  </si>
  <si>
    <t>Transportation Svc</t>
  </si>
  <si>
    <t>Special Contract</t>
  </si>
  <si>
    <t>Billing</t>
  </si>
  <si>
    <t>Determinant</t>
  </si>
  <si>
    <t>Volumes</t>
  </si>
  <si>
    <t>Revenue</t>
  </si>
  <si>
    <t>Model</t>
  </si>
  <si>
    <t>Forecast</t>
  </si>
  <si>
    <t>Growth</t>
  </si>
  <si>
    <t>Basic/Min</t>
  </si>
  <si>
    <t>Total Revenue</t>
  </si>
  <si>
    <t xml:space="preserve">   Total</t>
  </si>
  <si>
    <t>Weight</t>
  </si>
  <si>
    <t>Weighted</t>
  </si>
  <si>
    <t>A</t>
  </si>
  <si>
    <t>B</t>
  </si>
  <si>
    <t>C</t>
  </si>
  <si>
    <t>D</t>
  </si>
  <si>
    <t>E</t>
  </si>
  <si>
    <t>F=(E-D)/D</t>
  </si>
  <si>
    <t>G</t>
  </si>
  <si>
    <t>H=G/SUM G</t>
  </si>
  <si>
    <t>I=FxH</t>
  </si>
  <si>
    <t>ANNUAL AND COMPOUND GROWTH RATES</t>
  </si>
  <si>
    <t>Increase</t>
  </si>
  <si>
    <t>(Decrease)</t>
  </si>
  <si>
    <t>Gas Costs</t>
  </si>
  <si>
    <t>Per Therm</t>
  </si>
  <si>
    <t>Change in Purchased Gas Cost</t>
  </si>
  <si>
    <t>ATTRITION ADJUSTED REVENUE REQUIREMENT</t>
  </si>
  <si>
    <t>Proposed Rate of Return</t>
  </si>
  <si>
    <t>Net Operating Income Requirement</t>
  </si>
  <si>
    <t>Net Operating Income per Above</t>
  </si>
  <si>
    <t>Net Operating Income Deficiency</t>
  </si>
  <si>
    <t>Conversion Factor</t>
  </si>
  <si>
    <t>Revenue Requirement</t>
  </si>
  <si>
    <t>Revenue Growth Factor</t>
  </si>
  <si>
    <t>Attrition Adjusted Revenue Requirement</t>
  </si>
  <si>
    <t>2011-2012</t>
  </si>
  <si>
    <t xml:space="preserve">       2012       </t>
  </si>
  <si>
    <t xml:space="preserve">AVISTA UTILITIES  </t>
  </si>
  <si>
    <t xml:space="preserve">(000'S OF DOLLARS)  </t>
  </si>
  <si>
    <t>Check Total</t>
  </si>
  <si>
    <t>Regulatory Deferrals &amp; Amorts Excluding Revenue</t>
  </si>
  <si>
    <t>Deferred Debits and Credits</t>
  </si>
  <si>
    <t>Other</t>
  </si>
  <si>
    <t>ADFIT on Gain on Sale of Office Bldg</t>
  </si>
  <si>
    <t>ADFIT</t>
  </si>
  <si>
    <t>Customer Advances</t>
  </si>
  <si>
    <t>Dist Plant</t>
  </si>
  <si>
    <t>Customer Deposits</t>
  </si>
  <si>
    <t xml:space="preserve">WASHINGTON NATURAL GAS RESULTS  </t>
  </si>
  <si>
    <t>Administration and General as filed</t>
  </si>
  <si>
    <t>Depreciation Expense - General Plant</t>
  </si>
  <si>
    <t>Amortization Expense - Intangible Plant</t>
  </si>
  <si>
    <t>Amortization Expense - Leasehold Improvements</t>
  </si>
  <si>
    <t>Total Plant Related Depreciation/Amortization</t>
  </si>
  <si>
    <t>DSM Investment</t>
  </si>
  <si>
    <t>WA GRC JP O&amp;M Deferral</t>
  </si>
  <si>
    <t>WA Decoupling Deferral</t>
  </si>
  <si>
    <t>WA Decoupling Amortization</t>
  </si>
  <si>
    <t>Hamilton Street Bridge Amortization</t>
  </si>
  <si>
    <t>Gas Cost</t>
  </si>
  <si>
    <t>Sales For Resale Revenue</t>
  </si>
  <si>
    <t>Non PGA Gas Expense</t>
  </si>
  <si>
    <t>check</t>
  </si>
  <si>
    <t>Add Non PGA production O&amp;M expenses</t>
  </si>
  <si>
    <t>Factor</t>
  </si>
  <si>
    <t>Cost</t>
  </si>
  <si>
    <t>Escalate Non-Energy Cost</t>
  </si>
  <si>
    <t>Adjusted Other Revenue</t>
  </si>
  <si>
    <t>RATE OF RETURN</t>
  </si>
  <si>
    <t>Transp</t>
  </si>
  <si>
    <t>Spec Cont Trans</t>
  </si>
  <si>
    <t>WA101</t>
  </si>
  <si>
    <t>WA111</t>
  </si>
  <si>
    <t>WA121</t>
  </si>
  <si>
    <t>WA132</t>
  </si>
  <si>
    <t>WA146</t>
  </si>
  <si>
    <t>WA148</t>
  </si>
  <si>
    <t>ID101</t>
  </si>
  <si>
    <t>ID111</t>
  </si>
  <si>
    <t>ID132</t>
  </si>
  <si>
    <t>ID146</t>
  </si>
  <si>
    <t>ID147</t>
  </si>
  <si>
    <t>ID159</t>
  </si>
  <si>
    <t>OR410</t>
  </si>
  <si>
    <t>OR420</t>
  </si>
  <si>
    <t>OR424</t>
  </si>
  <si>
    <t>OR440</t>
  </si>
  <si>
    <t>OR444</t>
  </si>
  <si>
    <t>OR447</t>
  </si>
  <si>
    <t>OR456</t>
  </si>
  <si>
    <t>WA</t>
  </si>
  <si>
    <t>ID</t>
  </si>
  <si>
    <t>OR</t>
  </si>
  <si>
    <t>Grand Total</t>
  </si>
  <si>
    <t>Load</t>
  </si>
  <si>
    <t>Total by Rate Sched:</t>
  </si>
  <si>
    <t>Total by State:</t>
  </si>
  <si>
    <t>avg Customers</t>
  </si>
  <si>
    <t>bills</t>
  </si>
  <si>
    <t>Bill Determ Tab</t>
  </si>
  <si>
    <t>Escalation Factor</t>
  </si>
  <si>
    <t>2.5 year</t>
  </si>
  <si>
    <t>2 year</t>
  </si>
  <si>
    <t>Revenue Conversion Factor</t>
  </si>
  <si>
    <t xml:space="preserve"> Cap Structure</t>
  </si>
  <si>
    <t>ProForma</t>
  </si>
  <si>
    <t xml:space="preserve">Line </t>
  </si>
  <si>
    <t>Capital</t>
  </si>
  <si>
    <t>Component</t>
  </si>
  <si>
    <t>Structure</t>
  </si>
  <si>
    <t>Revenues</t>
  </si>
  <si>
    <t>Total Debt</t>
  </si>
  <si>
    <t>Expense:</t>
  </si>
  <si>
    <t>Common</t>
  </si>
  <si>
    <t xml:space="preserve">  Uncollectibles</t>
  </si>
  <si>
    <t xml:space="preserve">  Commission Fees</t>
  </si>
  <si>
    <t xml:space="preserve">  Washington Excise Tax</t>
  </si>
  <si>
    <t xml:space="preserve">    Total Expense</t>
  </si>
  <si>
    <t>Net Operating Income Before FIT</t>
  </si>
  <si>
    <t xml:space="preserve"> Proposed Cap Structure</t>
  </si>
  <si>
    <t xml:space="preserve">  Federal Income Tax @ 35%</t>
  </si>
  <si>
    <t>Washington - Natural Gas System</t>
  </si>
  <si>
    <t>$000s</t>
  </si>
  <si>
    <t>CBR</t>
  </si>
  <si>
    <t>Commission Basis Results of Operations</t>
  </si>
  <si>
    <t>Note: The Other (Deferred Debits and Credits) Category has been restated in prior years to reflect consistency with the current reporting format.</t>
  </si>
  <si>
    <t>CBR Line 9</t>
  </si>
  <si>
    <t xml:space="preserve">Customer Service and Information </t>
  </si>
  <si>
    <t>Sales</t>
  </si>
  <si>
    <t>Administrative and General</t>
  </si>
  <si>
    <t>CBR Line 13</t>
  </si>
  <si>
    <t>CBR Line 17</t>
  </si>
  <si>
    <t>CBR Line 18</t>
  </si>
  <si>
    <t>CBR Line 19</t>
  </si>
  <si>
    <t>CBR Line 20</t>
  </si>
  <si>
    <t>(000's of Dollars)</t>
  </si>
  <si>
    <t>(a)</t>
  </si>
  <si>
    <t>(b)</t>
  </si>
  <si>
    <t xml:space="preserve">(c) </t>
  </si>
  <si>
    <t>Attrition</t>
  </si>
  <si>
    <t xml:space="preserve">Revenue </t>
  </si>
  <si>
    <t>Balances</t>
  </si>
  <si>
    <t>Growth Factor</t>
  </si>
  <si>
    <t>Natural Gas Data for Escalators</t>
  </si>
  <si>
    <t>Natural Gas Growth  Rate Analysis and Escalation Factor Calculation</t>
  </si>
  <si>
    <t>7A</t>
  </si>
  <si>
    <t>14A</t>
  </si>
  <si>
    <t>Other Cost &amp; Revenue Adjustments</t>
  </si>
  <si>
    <t>Determine Base Cost and Revenue to Escalate</t>
  </si>
  <si>
    <t>[A]</t>
  </si>
  <si>
    <t>[B]</t>
  </si>
  <si>
    <t>[C]</t>
  </si>
  <si>
    <t>[D]</t>
  </si>
  <si>
    <t>[E]</t>
  </si>
  <si>
    <t>[F]</t>
  </si>
  <si>
    <t>[G]</t>
  </si>
  <si>
    <t>[H]</t>
  </si>
  <si>
    <t>[I]</t>
  </si>
  <si>
    <t>[J]</t>
  </si>
  <si>
    <t>[K]</t>
  </si>
  <si>
    <t>Line No.</t>
  </si>
  <si>
    <t>Total Depreciation/Amortization</t>
  </si>
  <si>
    <t>Annual Percentage Change</t>
  </si>
  <si>
    <t>CBR Line 10</t>
  </si>
  <si>
    <t>CBR Line 14</t>
  </si>
  <si>
    <t>CBR Line 21</t>
  </si>
  <si>
    <t>CBR Line 22</t>
  </si>
  <si>
    <t>Note: The Regulatory Amortizations Category has been restated in prior years to reflect consistency with the current reporting format.</t>
  </si>
  <si>
    <t>Total Regulatory Amortizations</t>
  </si>
  <si>
    <t>Exclude Adder Schedule amortizations (Decoupling Surcharge/Rebate) from Regulatory Amortizations</t>
  </si>
  <si>
    <t>Adjusted Regulatory Amortizations</t>
  </si>
  <si>
    <t>Adjusted Operating Expenses</t>
  </si>
  <si>
    <t>Deduct Gas Cost Rev Related Expenses</t>
  </si>
  <si>
    <t>Deduct DSM Tariff Rider Expenses</t>
  </si>
  <si>
    <t>Deduct Decoupling Surcharge/Rebate Expenses</t>
  </si>
  <si>
    <t>Exclude Gas Cost and Adder Schedule Expenses (DSM Tariff Rider, Decoupling Surcharge/Rebate) from O&amp;M</t>
  </si>
  <si>
    <t>Exclude Gas Cost and Adder Schedule excise taxes (DSM Tariff Rider, Decoupling Surcharge/Rebate) from Taxes Other Than Income Tax</t>
  </si>
  <si>
    <t>Adjusted Taxes Other Than Income</t>
  </si>
  <si>
    <t>CBR Line 11</t>
  </si>
  <si>
    <t>CBR Line 15</t>
  </si>
  <si>
    <t>CBR Line 23</t>
  </si>
  <si>
    <t>Total Taxes Other Than Income</t>
  </si>
  <si>
    <t>Deduct DSM Tariff Rider Excise Tax</t>
  </si>
  <si>
    <t>Deduct Gas Cost Excise Tax</t>
  </si>
  <si>
    <t>Deduct Decoupling Surcharge/Rebate Excise Tax</t>
  </si>
  <si>
    <t>Net Plant After Deferred Income Tax</t>
  </si>
  <si>
    <t>CBR Line 42</t>
  </si>
  <si>
    <t>Total Rate Base</t>
  </si>
  <si>
    <t>CBR Line 47</t>
  </si>
  <si>
    <t>CBR Line 3</t>
  </si>
  <si>
    <t>Deduct Gas Cost Deferral related revenues</t>
  </si>
  <si>
    <t>Exclude Gas Cost Deferral related and JP Storage non-recurring revenues from Other Operating Revenue</t>
  </si>
  <si>
    <t>Adjusted Other Operating Revenue</t>
  </si>
  <si>
    <t>Other Operating Revenue</t>
  </si>
  <si>
    <t>Deduct JP Storage allocated revenue (ended 2007)</t>
  </si>
  <si>
    <t>Exclude Normalized Gas Costs and Revenue</t>
  </si>
  <si>
    <t>(plus) Revenue Growth</t>
  </si>
  <si>
    <t>Not used due to deminimus values that resulted in extraordinary variablility</t>
  </si>
  <si>
    <t>TRANSPORT</t>
  </si>
  <si>
    <t>SCH 148 - WSU/</t>
  </si>
  <si>
    <t>WORK PAPER</t>
  </si>
  <si>
    <t xml:space="preserve"> </t>
  </si>
  <si>
    <t>GEN SERVICE</t>
  </si>
  <si>
    <t>LRG GEN SVC</t>
  </si>
  <si>
    <t>EX LRG GEN SVC</t>
  </si>
  <si>
    <t>INTERRUPTIBLE</t>
  </si>
  <si>
    <t>BF GOODRICH</t>
  </si>
  <si>
    <t>REFERENCE</t>
  </si>
  <si>
    <t>TOTAL</t>
  </si>
  <si>
    <t>SCHEDULE 101</t>
  </si>
  <si>
    <t>SCH. 111&amp;112</t>
  </si>
  <si>
    <t>SCH. 121&amp;122</t>
  </si>
  <si>
    <t>SCH. 131&amp;132</t>
  </si>
  <si>
    <t>SCHEDULE 146</t>
  </si>
  <si>
    <t>SCHEDULE 148</t>
  </si>
  <si>
    <t>ANN. MINIMUM</t>
  </si>
  <si>
    <t>PRESENT BILL DETERMINANTS</t>
  </si>
  <si>
    <t>THERMS</t>
  </si>
  <si>
    <t>BLOCK 1</t>
  </si>
  <si>
    <t>BLOCK 2</t>
  </si>
  <si>
    <t>BLOCK 3</t>
  </si>
  <si>
    <t>BLOCK 4</t>
  </si>
  <si>
    <t>BLOCK 5</t>
  </si>
  <si>
    <t>SUBTOTAL</t>
  </si>
  <si>
    <t>LOAD ADJUSTMENT</t>
  </si>
  <si>
    <t>ADJUSTMENT TO ACTUAL</t>
  </si>
  <si>
    <t>TOTAL BEFORE ADJUSTMENT</t>
  </si>
  <si>
    <t>PDE-G-3</t>
  </si>
  <si>
    <t>WEATHER &amp; UNBILLED REV. ADJ.</t>
  </si>
  <si>
    <t>TOTAL PROFORMA THERMS</t>
  </si>
  <si>
    <t>TOTAL BILLS</t>
  </si>
  <si>
    <t>TOTAL MINIMUM BILLS</t>
  </si>
  <si>
    <t>PROPOSED BILL DETERMINANTS</t>
  </si>
  <si>
    <t>NET SHIFTING ADJUSTMENT</t>
  </si>
  <si>
    <t>SCHEDULE 111</t>
  </si>
  <si>
    <t>SCHEDULE 121</t>
  </si>
  <si>
    <t>SCHEDULE 131</t>
  </si>
  <si>
    <t>PRESENT RATES</t>
  </si>
  <si>
    <t>BASIC CHARGE</t>
  </si>
  <si>
    <t>MONTHLY MINIMUM</t>
  </si>
  <si>
    <t>BLOCK 1 PER THERM</t>
  </si>
  <si>
    <t>BLOCK 2 PER THERM</t>
  </si>
  <si>
    <t>BLOCK 3 PER THERM</t>
  </si>
  <si>
    <t>BLOCK 4 PER THERM</t>
  </si>
  <si>
    <t>BLOCK 5 PER THERM</t>
  </si>
  <si>
    <t>ADJUST TO ACTUAL PER THERM</t>
  </si>
  <si>
    <t>PROPOSED RATES</t>
  </si>
  <si>
    <t>Block 5 - Avista Electric generating facilities billed at 2.091 cents/therm (Sch. 148 floor)</t>
  </si>
  <si>
    <t>PRESENT REVENUE</t>
  </si>
  <si>
    <t>BASE TARIFF REVENUE</t>
  </si>
  <si>
    <t>ANNUAL MINIMUM</t>
  </si>
  <si>
    <t>ADJUST TO ACTUAL</t>
  </si>
  <si>
    <t>TOTAL BASE TARIFF REVENUE</t>
  </si>
  <si>
    <t>ADJUSTMENT REVENUE</t>
  </si>
  <si>
    <t>UNBILLED REVENUE ADJUSTMENT</t>
  </si>
  <si>
    <t>PDE-G-14</t>
  </si>
  <si>
    <t>UNBILLED LOAD THERMS</t>
  </si>
  <si>
    <t>PDE-G-2/5</t>
  </si>
  <si>
    <t>UNBILLED LOAD RATE</t>
  </si>
  <si>
    <t>UNBILLED LOAD REVENUE</t>
  </si>
  <si>
    <t>WEATHER-SENSITIVE THERMS</t>
  </si>
  <si>
    <t>WEATHER-SENSITIVE RATE</t>
  </si>
  <si>
    <t>WEATHER-SENSITIVE REVENUE</t>
  </si>
  <si>
    <t>TOTAL UNBILLED THERM ADJ</t>
  </si>
  <si>
    <t>TOTAL UNBILLED REVENUE ADJ</t>
  </si>
  <si>
    <t>WEATHER NORMALIZATION ADJ</t>
  </si>
  <si>
    <t>OTHER ADJUSTMENTS</t>
  </si>
  <si>
    <t>TOTAL ADJUSTMENT REVENUE</t>
  </si>
  <si>
    <t>TOTAL PRESENT REVENUE</t>
  </si>
  <si>
    <t>PROPOSED REVENUE</t>
  </si>
  <si>
    <t>BASE LOAD THERMS</t>
  </si>
  <si>
    <t>BASE LOAD RATE</t>
  </si>
  <si>
    <t>BASE LOAD REVENUE</t>
  </si>
  <si>
    <t>TOTAL PROPOSED REVENUE</t>
  </si>
  <si>
    <t>TOTAL INCREASED REVENUE</t>
  </si>
  <si>
    <t>PERCENT REVENUE INCREASE</t>
  </si>
  <si>
    <t>BASE LOAD</t>
  </si>
  <si>
    <t>WTHR-SENS.</t>
  </si>
  <si>
    <t>RATES</t>
  </si>
  <si>
    <t>REVENUE</t>
  </si>
  <si>
    <t>THERMS(1)</t>
  </si>
  <si>
    <t>PRESENT BASELOAD AND WEATHER-SENSITIVE RATE</t>
  </si>
  <si>
    <t>0-70 THERMS</t>
  </si>
  <si>
    <t>OVER 70 THERMS</t>
  </si>
  <si>
    <t>AVERAGE RATE</t>
  </si>
  <si>
    <t>PROPOSED BASELOAD AND WEATHER-SENSITIVE RATE</t>
  </si>
  <si>
    <t>0-200 THERMS</t>
  </si>
  <si>
    <t>201-1,000 THERMS</t>
  </si>
  <si>
    <t>OVER 1,000 THERMS</t>
  </si>
  <si>
    <t>0-500 THERMS</t>
  </si>
  <si>
    <t>501-1,000 THERMS</t>
  </si>
  <si>
    <t>1001-10,000 THERMS</t>
  </si>
  <si>
    <t>10,001-25,000 THERMS</t>
  </si>
  <si>
    <t>OVER 25,000 THERMS</t>
  </si>
  <si>
    <t>2012-2013</t>
  </si>
  <si>
    <t>Actual Cost of Capital</t>
  </si>
  <si>
    <t xml:space="preserve">       2013  **     </t>
  </si>
  <si>
    <t>**</t>
  </si>
  <si>
    <t xml:space="preserve">2013 Commission Basis Report included Eliminate Adder Schedule adjustment that removed the DSM Tariff Rider and the Decoupling Rebate revenues and expenses, also consolidated all PGA related gas costs into "City Gate Purchases" </t>
  </si>
  <si>
    <t>Note 1:  Washington gas 12ME December 2013 conversion factor amounts.</t>
  </si>
  <si>
    <t>Pro Forma Revenue Normalization Adjustment</t>
  </si>
  <si>
    <t>Print Header for all printed pages on this worksheet:</t>
  </si>
  <si>
    <t>Calculate all revenue exhibits using  ____ rates:</t>
  </si>
  <si>
    <t>1)</t>
  </si>
  <si>
    <t>BASE TARIFF</t>
  </si>
  <si>
    <t>PDE-G-8</t>
  </si>
  <si>
    <t>or</t>
  </si>
  <si>
    <t>2)</t>
  </si>
  <si>
    <t>BILLING</t>
  </si>
  <si>
    <t>- range name where Present Rates table can be found</t>
  </si>
  <si>
    <t>PDE-G-13/14</t>
  </si>
  <si>
    <t>- range name where Proposed Rates table can be found</t>
  </si>
  <si>
    <t>MONTHLY/ANNUAL MINIMUM</t>
  </si>
  <si>
    <t>(1) Block 1 - Kaiser-Trentwood - workpaper PDE-G-19</t>
  </si>
  <si>
    <t>Block 2 - Lamb-Weston - workpaper PDE-G-21</t>
  </si>
  <si>
    <t>Block 3 - Mutual Materials - workpaper PDE-G-25</t>
  </si>
  <si>
    <t>Block 4 - Washington Potato - workpaper PDE-G-23</t>
  </si>
  <si>
    <t>(2) Monthly minimum / rate per therm - workpaper PDE-G-27</t>
  </si>
  <si>
    <t>PDE-G-15</t>
  </si>
  <si>
    <t>PDE-G-2/5/6</t>
  </si>
  <si>
    <t>PDE-G-17</t>
  </si>
  <si>
    <t>(1) Base load per bill for Schedule 101 is shown on workpaper PDE-G-18 multiplied by total billings from PDE-G-1, or</t>
  </si>
  <si>
    <t>(1) Base load per bill for Schedule 111 is shown on workpaper PDE-G-18 multiplied by total billings from PDE-G-1, or</t>
  </si>
  <si>
    <t>(1) Base load per bill for Schedule 121 is shown on workpaper PDE-G-18 multiplied by total billings from PDE-G-1, or</t>
  </si>
  <si>
    <t>09.2014 TO 2016 WEIGHTED REVENUE GROWTH</t>
  </si>
  <si>
    <t>Sept 2014</t>
  </si>
  <si>
    <t>GSFM v3 05 11 02 Nov Mid Month (Pricing 11-14-2014).xlsm</t>
  </si>
  <si>
    <t>CC219</t>
  </si>
  <si>
    <t>CC220</t>
  </si>
  <si>
    <t>CC221</t>
  </si>
  <si>
    <t>CC222</t>
  </si>
  <si>
    <t>CC223</t>
  </si>
  <si>
    <t>CC224</t>
  </si>
  <si>
    <t>CC225</t>
  </si>
  <si>
    <t>CC226</t>
  </si>
  <si>
    <t>CC227</t>
  </si>
  <si>
    <t>CC228</t>
  </si>
  <si>
    <t>CC229</t>
  </si>
  <si>
    <t>CC230</t>
  </si>
  <si>
    <t>CC231</t>
  </si>
  <si>
    <t>CC232</t>
  </si>
  <si>
    <t>CC233</t>
  </si>
  <si>
    <t>CC234</t>
  </si>
  <si>
    <t>CC235</t>
  </si>
  <si>
    <t>CC236</t>
  </si>
  <si>
    <t>CC237</t>
  </si>
  <si>
    <t>CC240</t>
  </si>
  <si>
    <t>CC241</t>
  </si>
  <si>
    <t>CC242</t>
  </si>
  <si>
    <t>CC244</t>
  </si>
  <si>
    <t>Net of Gas Costs</t>
  </si>
  <si>
    <t>CC66</t>
  </si>
  <si>
    <t>CC67</t>
  </si>
  <si>
    <t>CC68</t>
  </si>
  <si>
    <t>CC69</t>
  </si>
  <si>
    <t>CC70</t>
  </si>
  <si>
    <t>CC71</t>
  </si>
  <si>
    <t>CC72</t>
  </si>
  <si>
    <t>CC73</t>
  </si>
  <si>
    <t>CC74</t>
  </si>
  <si>
    <t>CC75</t>
  </si>
  <si>
    <t>CC76</t>
  </si>
  <si>
    <t>CC77</t>
  </si>
  <si>
    <t>CC78</t>
  </si>
  <si>
    <t>CC79</t>
  </si>
  <si>
    <t>CC80</t>
  </si>
  <si>
    <t>CC81</t>
  </si>
  <si>
    <t>CC82</t>
  </si>
  <si>
    <t>CC83</t>
  </si>
  <si>
    <t>CC84</t>
  </si>
  <si>
    <t>CC87</t>
  </si>
  <si>
    <t>CC88</t>
  </si>
  <si>
    <t>CC89</t>
  </si>
  <si>
    <t>CC91</t>
  </si>
  <si>
    <r>
      <t xml:space="preserve">Escalation Amount      </t>
    </r>
    <r>
      <rPr>
        <sz val="8"/>
        <color theme="1"/>
        <rFont val="Times New Roman"/>
        <family val="1"/>
      </rPr>
      <t>[E] *[F]=[G]</t>
    </r>
  </si>
  <si>
    <r>
      <t xml:space="preserve">Trended 2016 Non-Energy Cost </t>
    </r>
    <r>
      <rPr>
        <sz val="8"/>
        <color theme="1"/>
        <rFont val="Times New Roman"/>
        <family val="1"/>
      </rPr>
      <t>[E]+[G]=[H]</t>
    </r>
  </si>
  <si>
    <t>*Per 09.2014 Commission Basis Report data, See page 5, line 42</t>
  </si>
  <si>
    <t>**Per Pro Forma Cross Check Study - See Exhibit No. _(JSS-3)</t>
  </si>
  <si>
    <t>Adjusted Depreciation/Amortization</t>
  </si>
  <si>
    <t>Net Plant After Deferred Income Taxes</t>
  </si>
  <si>
    <t>Adjusted Taxes Other than Income</t>
  </si>
  <si>
    <t>Adopted Operating Expense</t>
  </si>
  <si>
    <t>(plus) 12.2014 Pro-Formed Gas Cost/Revenue</t>
  </si>
  <si>
    <t>Twelve Months Ended December 31, 2014</t>
  </si>
  <si>
    <t xml:space="preserve">       2014  **     </t>
  </si>
  <si>
    <t>TWELVE MONTHS ENDED DECEMBER 31, 2000 - 2014</t>
  </si>
  <si>
    <t>2012-2014</t>
  </si>
  <si>
    <t>2013-2014</t>
  </si>
  <si>
    <t>2001-2014</t>
  </si>
  <si>
    <t>2002-2014</t>
  </si>
  <si>
    <t>2003-2014</t>
  </si>
  <si>
    <t>2004-2014</t>
  </si>
  <si>
    <t>2005-2014</t>
  </si>
  <si>
    <t>2006-2014</t>
  </si>
  <si>
    <t>2007-2014</t>
  </si>
  <si>
    <t>2008-2014</t>
  </si>
  <si>
    <t>2009-2014</t>
  </si>
  <si>
    <t>2010-2014</t>
  </si>
  <si>
    <t>2011-2014</t>
  </si>
  <si>
    <t>2 years</t>
  </si>
  <si>
    <t>ADDED</t>
  </si>
  <si>
    <t>Regulatory Amorts Adjs</t>
  </si>
  <si>
    <t>December 2014 Escalation Base</t>
  </si>
  <si>
    <t>Multiparty Settlement -  Cost of Capital</t>
  </si>
  <si>
    <t>ACCUMULATED DEP/AMORT</t>
  </si>
  <si>
    <t>Gross-up Conversion Factor</t>
  </si>
  <si>
    <t>2016 Rate Base</t>
  </si>
  <si>
    <t>Settlement Rate of Return</t>
  </si>
  <si>
    <t>Taxes (other than income)</t>
  </si>
  <si>
    <t>Adj. Operating Expense (2012)</t>
  </si>
  <si>
    <t>Adj. Operating Expense (2013-2014)</t>
  </si>
  <si>
    <t>Slope</t>
  </si>
  <si>
    <t>Rate (1yr)</t>
  </si>
  <si>
    <t>Escalation</t>
  </si>
  <si>
    <t>Rate (2013-2014, linear)</t>
  </si>
  <si>
    <t>Average</t>
  </si>
  <si>
    <t>Adj. Other Revenue</t>
  </si>
  <si>
    <t>slope</t>
  </si>
  <si>
    <t>rate (1-yr)</t>
  </si>
  <si>
    <t>rate (2-yr)</t>
  </si>
  <si>
    <t>Avista-proposed Operating Expense</t>
  </si>
  <si>
    <t>2-year Growth Rate (Linear)</t>
  </si>
  <si>
    <t>NATURAL GAS COST AND REVENUE TREND CALCULATIONS 2001-2014</t>
  </si>
  <si>
    <t>Compound Growth Rates to 2014</t>
  </si>
  <si>
    <t>Escalation Factor not used due to irregular growth</t>
  </si>
  <si>
    <t>Company-proposed (2007-2014, linear)</t>
  </si>
  <si>
    <t>x = 5 (2014 is year 5)</t>
  </si>
  <si>
    <t>rate (1-year)</t>
  </si>
  <si>
    <t>x</t>
  </si>
  <si>
    <t>rate (2-year)</t>
  </si>
  <si>
    <t>Sum (x and C)</t>
  </si>
  <si>
    <t>Escalation factor (to 2016)</t>
  </si>
  <si>
    <t>Derivative of Quadratic (below)</t>
  </si>
  <si>
    <t xml:space="preserve">Net Plant after DFIT </t>
  </si>
  <si>
    <t>2016 NATURAL GAS ATTRITION REVENUE REQUIREMENT</t>
  </si>
  <si>
    <t>After Attrition Adj - Project Compass</t>
  </si>
  <si>
    <t>Total Accumulated Depr/Amort</t>
  </si>
  <si>
    <t>ACCUMULATED DEPR/AMORT</t>
  </si>
  <si>
    <t xml:space="preserve">*Note: Adjustment in Column [B] includes the Regulatory Amortization associated with the deferral of the Natural Gas portion of the Project Compass Customer Information System (CIS) project as this amount is not inluded in the 12.2014 Commission Basis. This amount is not escalated as shown in column [F]. </t>
  </si>
  <si>
    <t>After Attrition Adj - Atmos Testing</t>
  </si>
  <si>
    <t>2016 Net Operating Income (at 2015 rates)</t>
  </si>
  <si>
    <t>2016 Rate of Return (at 2015 rates)</t>
  </si>
  <si>
    <t>2016 Net Operating Income Deficiency (Surplus)</t>
  </si>
  <si>
    <t>2016 Attrition Revenue Deficiency (Surplus)</t>
  </si>
  <si>
    <t>2016 Total General Business Revenues (at 2015 rates)</t>
  </si>
  <si>
    <t>Attrition-based 2016 revenue requirement</t>
  </si>
  <si>
    <t>Percent Revenue Requirement Change (vs. 2015)</t>
  </si>
  <si>
    <t>[L]</t>
  </si>
  <si>
    <t>[M]</t>
  </si>
  <si>
    <t>Attrition Study</t>
  </si>
  <si>
    <t>Results</t>
  </si>
  <si>
    <t>Adj. Operating Expense (2009-2014, excl. 2012)</t>
  </si>
  <si>
    <t>Exact</t>
  </si>
  <si>
    <t>Linear Aprox</t>
  </si>
  <si>
    <t>b</t>
  </si>
  <si>
    <t>delta X</t>
  </si>
  <si>
    <t>x = 5</t>
  </si>
  <si>
    <t>x = 6</t>
  </si>
  <si>
    <t>1-yr Rate</t>
  </si>
  <si>
    <t>2-yr Rate</t>
  </si>
  <si>
    <t>x = 7 (2014 is year 7)</t>
  </si>
  <si>
    <t xml:space="preserve">Impute forecasted load change from Staff % Growth </t>
  </si>
  <si>
    <t xml:space="preserve">Accept Staff's proposed growth in load, </t>
  </si>
  <si>
    <t>reflected for increased growth.</t>
  </si>
  <si>
    <t>Staff Proposed</t>
  </si>
  <si>
    <t>Avista Corrections</t>
  </si>
  <si>
    <t>X</t>
  </si>
  <si>
    <t>Avista Proposed Based on Staff Methodology for 2007-2014</t>
  </si>
  <si>
    <t>As Proposed by Staff per CRM-3</t>
  </si>
  <si>
    <t xml:space="preserve">The grey highlighted areas on pages 4 and 5 represent changes Avista made to Staff witness Mr. McGuire's Natural Gas Attrition model. For example, corrections to Staff's model were made in columns [J], [K] and [L].  Avista's proposed growth escalations were used in column [F] page 4 &amp; 5 (rows 10, 11 and 32) to reflect Staff's linear regression calculation, however, using years 2007-2014 data. These calculations can be seen on page 9-11. Avista accepted Staff's O&amp;M escalation growth rate as filed.  Lastly, in column [K], the Company has included total Project Compass costs, rather than the discounted balances proposed by Staff.    </t>
  </si>
  <si>
    <t>2016 WASHINGTON NATURAL GAS ATTRITION STUDY</t>
  </si>
  <si>
    <r>
      <t>12.2014 Commission Basis Report Restated Totals</t>
    </r>
    <r>
      <rPr>
        <vertAlign val="superscript"/>
        <sz val="9"/>
        <color theme="1"/>
        <rFont val="Times New Roman"/>
        <family val="1"/>
      </rPr>
      <t>1</t>
    </r>
  </si>
  <si>
    <r>
      <t>2016 Revenue and Cost</t>
    </r>
    <r>
      <rPr>
        <sz val="8"/>
        <color theme="1"/>
        <rFont val="Times New Roman"/>
        <family val="1"/>
      </rPr>
      <t xml:space="preserve"> [H]+[I]+[J]+ [K]+[L] = [M]</t>
    </r>
  </si>
  <si>
    <r>
      <rPr>
        <vertAlign val="superscript"/>
        <sz val="9"/>
        <color theme="1"/>
        <rFont val="Times New Roman"/>
        <family val="1"/>
      </rPr>
      <t>1</t>
    </r>
    <r>
      <rPr>
        <sz val="9"/>
        <color theme="1"/>
        <rFont val="Times New Roman"/>
        <family val="1"/>
      </rPr>
      <t>Workpapers for 12.2014 Commission Basis Reports provided with Avista's Response to Staff_DR_130.</t>
    </r>
  </si>
  <si>
    <t>Avista accepts UTC Staff’s proposed 2.17% for natural gas operations, because that is a reasonable expectation of increases in costs for natural gas given the expectations in the 2016 rate year, and the overall operations of the natural gas business.  Use of an average based on actual 2007-2014 linear trend plus revised 2013-2014 linear trend (removing impact of benefits) consistant with electric, would result in a significant increase in O&amp;M expenses above 2014 levels.</t>
  </si>
  <si>
    <t xml:space="preserve">however, gas costs must also be </t>
  </si>
  <si>
    <t xml:space="preserve">Changed annual rate to </t>
  </si>
  <si>
    <t>2.42% per Order 05</t>
  </si>
  <si>
    <t>Changed to zero per Remand</t>
  </si>
  <si>
    <t>REMAND</t>
  </si>
  <si>
    <t>[N]</t>
  </si>
  <si>
    <t>REMAND CALCULATIONS</t>
  </si>
  <si>
    <t>Attrition Study Revenue Deficiency (sufficiency)</t>
  </si>
  <si>
    <t>Attrition Allowance - REVISED PER REMAND</t>
  </si>
  <si>
    <t>Attrition Allowance - PER ORDER 05</t>
  </si>
  <si>
    <t>Difference (annual) - Owed back to Customers</t>
  </si>
  <si>
    <t>12 months</t>
  </si>
  <si>
    <t>Pro Forma Revenue Deficiency (Sufficiency) - from Order 05, Table A2</t>
  </si>
  <si>
    <t>11 months</t>
  </si>
  <si>
    <t>2.3 years</t>
  </si>
  <si>
    <t>STAFF RECALCULATION ON REMAND</t>
  </si>
  <si>
    <t>Edited from Avista Exhibit EMA-7</t>
  </si>
  <si>
    <t>EMA-7 was produced by Avista on Rebuttal, and edited from Staff Exhibit CRM-3</t>
  </si>
  <si>
    <t>OP INCOME BEFORE FIT</t>
  </si>
  <si>
    <t>PF Rate Base</t>
  </si>
  <si>
    <t>No RB escal.</t>
  </si>
  <si>
    <t>Washington - Natural Gas (System)</t>
  </si>
  <si>
    <t>REVENUE CONV FACTOR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</si>
</sst>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quot;#,##0"/>
    <numFmt numFmtId="166" formatCode="&quot;$&quot;#,##0.00000"/>
    <numFmt numFmtId="167" formatCode="_(* #,##0_);_(* \(#,##0\);_(* &quot;-&quot;??_);_(@_)"/>
    <numFmt numFmtId="168" formatCode="0.0000"/>
    <numFmt numFmtId="169" formatCode="0.000000"/>
    <numFmt numFmtId="170" formatCode="0.000%"/>
    <numFmt numFmtId="171" formatCode="0.00000"/>
    <numFmt numFmtId="172" formatCode="#,##0_);\(#,##0\);"/>
    <numFmt numFmtId="173" formatCode=";;;"/>
    <numFmt numFmtId="174" formatCode="0_);\(0\)"/>
    <numFmt numFmtId="175" formatCode="&quot;$&quot;#,##0.00;\-&quot;$&quot;#,##0.00;"/>
    <numFmt numFmtId="176" formatCode="#,##0.000\¢\ ;\(#,##0.000\¢\);"/>
    <numFmt numFmtId="177" formatCode="#,##0.000\¢\ ;\(#,##0.000\¢\)"/>
    <numFmt numFmtId="178" formatCode="&quot;$&quot;#,##0_);\(&quot;$&quot;#,##0\);"/>
    <numFmt numFmtId="179" formatCode="#,##0.000"/>
    <numFmt numFmtId="180" formatCode="&quot;$&quot;#,##0.0;\-&quot;$&quot;#,##0;"/>
    <numFmt numFmtId="181" formatCode="[$-409]mmm\-yy;@"/>
    <numFmt numFmtId="182" formatCode="0.0%"/>
    <numFmt numFmtId="183" formatCode="[$-F800]dddd\,\ mmmm\ dd\,\ yyyy"/>
    <numFmt numFmtId="184" formatCode="mmmm\ d\,\ yyyy"/>
    <numFmt numFmtId="185" formatCode="[$-409]mmmm\-yy;@"/>
    <numFmt numFmtId="186" formatCode="#,##0_%_);\(#,##0\)_%;#,##0_%_);@_%_)"/>
    <numFmt numFmtId="187" formatCode="_._.* #,##0.0_)_%;_._.* \(#,##0.0\)_%"/>
    <numFmt numFmtId="188" formatCode="_._.* #,##0.00_)_%;_._.* \(#,##0.00\)_%"/>
    <numFmt numFmtId="189" formatCode="_._.* #,##0.000_)_%;_._.* \(#,##0.000\)_%"/>
    <numFmt numFmtId="190" formatCode="_(* #,##0.00_);_(* \(\ #,##0.00\ \);_(* &quot;-&quot;??_);_(\ @_ \)"/>
    <numFmt numFmtId="191" formatCode="_._.* #,##0_)_%;_._.* #,##0_)_%;_._.* 0_)_%;_._.@_)_%"/>
    <numFmt numFmtId="192" formatCode="_._.&quot;$&quot;* #,##0.0_)_%;_._.&quot;$&quot;* \(#,##0.0\)_%"/>
    <numFmt numFmtId="193" formatCode="_._.&quot;$&quot;* #,##0.00_)_%;_._.&quot;$&quot;* \(#,##0.00\)_%"/>
    <numFmt numFmtId="194" formatCode="_._.&quot;$&quot;* #,##0.000_)_%;_._.&quot;$&quot;* \(#,##0.000\)_%"/>
    <numFmt numFmtId="195" formatCode="_._.&quot;$&quot;* #,###_)_%;_._.&quot;$&quot;* #,###_)_%;_._.&quot;$&quot;* 0_)_%;_._.@_)_%"/>
    <numFmt numFmtId="196" formatCode="#,###,##0.00;\(#,###,##0.00\)"/>
    <numFmt numFmtId="197" formatCode="#,###,##0;\(#,###,##0\)"/>
    <numFmt numFmtId="198" formatCode="0.0"/>
    <numFmt numFmtId="199" formatCode="_(&quot;$&quot;* #,##0.0_);_(&quot;$&quot;* \(#,##0.0\);_(&quot;$&quot;* &quot;-&quot;??_);_(@_)"/>
    <numFmt numFmtId="200" formatCode="&quot;$&quot;#,###,##0.00;\(&quot;$&quot;#,###,##0.00\)"/>
    <numFmt numFmtId="201" formatCode="&quot;$&quot;#,###,##0;\(&quot;$&quot;#,###,##0\)"/>
    <numFmt numFmtId="202" formatCode="#,##0.00%;\(#,##0.00%\)"/>
    <numFmt numFmtId="203" formatCode="_(0_)%;\(0\)%"/>
    <numFmt numFmtId="204" formatCode="_._._(* 0_)%;_._.* \(0\)%"/>
    <numFmt numFmtId="205" formatCode="_(0.0_)%;\(0.0\)%"/>
    <numFmt numFmtId="206" formatCode="_._._(* 0.0_)%;_._.* \(0.0\)%"/>
    <numFmt numFmtId="207" formatCode="_(0.00_)%;\(0.00\)%"/>
    <numFmt numFmtId="208" formatCode="_._._(* 0.00_)%;_._.* \(0.00\)%"/>
    <numFmt numFmtId="209" formatCode="_(0.000_)%;\(0.000\)%"/>
    <numFmt numFmtId="210" formatCode="_._._(* 0.000_)%;_._.* \(0.000\)%"/>
    <numFmt numFmtId="211" formatCode="_(0.0000_)%;\(0.0000\)%"/>
    <numFmt numFmtId="212" formatCode="_._._(* 0.0000_)%;_._.* \(0.0000\)%"/>
    <numFmt numFmtId="213" formatCode="_(* #,##0_);_(* \(#,##0\);_(* 0_);_(@_)"/>
    <numFmt numFmtId="214" formatCode="_(* #,##0.0_);_(* \(#,##0.0\)"/>
    <numFmt numFmtId="215" formatCode="_(* #,##0.00_);_(* \(#,##0.00\)"/>
    <numFmt numFmtId="216" formatCode="_(* #,##0.000_);_(* \(#,##0.000\)"/>
    <numFmt numFmtId="217" formatCode="_(&quot;$&quot;* #,##0_);_(&quot;$&quot;* \(#,##0\);_(&quot;$&quot;* 0_);_(@_)"/>
    <numFmt numFmtId="218" formatCode="_(&quot;$&quot;* #,##0.0_);_(&quot;$&quot;* \(#,##0.0\)"/>
    <numFmt numFmtId="219" formatCode="_(&quot;$&quot;* #,##0.00_);_(&quot;$&quot;* \(#,##0.00\)"/>
    <numFmt numFmtId="220" formatCode="_(&quot;$&quot;* #,##0.000_);_(&quot;$&quot;* \(#,##0.000\)"/>
    <numFmt numFmtId="221" formatCode="#,##0.0_x_x"/>
    <numFmt numFmtId="222" formatCode="&quot;$&quot;#,##0\ ;\(&quot;$&quot;#,##0\)"/>
    <numFmt numFmtId="223" formatCode="_(* #,##0.00000_);_(* \(#,##0.00000\);_(* &quot;-&quot;??_);_(@_)"/>
    <numFmt numFmtId="224" formatCode="#,##0.00;[Red]\(#,##0.00\)"/>
    <numFmt numFmtId="225" formatCode="#,##0.0"/>
    <numFmt numFmtId="226" formatCode="_(* #,##0.000000_);_(* \(#,##0.000000\);_(* &quot;-&quot;?????_);_(@_)"/>
    <numFmt numFmtId="227" formatCode="_(&quot;$&quot;* #,##0_);_(&quot;$&quot;* \(#,##0\);_(&quot;$&quot;* &quot;-&quot;??_);_(@_)"/>
  </numFmts>
  <fonts count="16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ont>
    <font>
      <sz val="9"/>
      <name val="Times New Roman"/>
      <family val="1"/>
    </font>
    <font>
      <sz val="12"/>
      <name val="Times New Roman"/>
      <family val="1"/>
    </font>
    <font>
      <u/>
      <sz val="10"/>
      <color theme="0"/>
      <name val="Arial"/>
      <family val="2"/>
    </font>
    <font>
      <u/>
      <sz val="7.5"/>
      <color theme="0"/>
      <name val="Arial"/>
      <family val="2"/>
    </font>
    <font>
      <sz val="9"/>
      <color theme="1"/>
      <name val="Times New Roman"/>
      <family val="1"/>
    </font>
    <font>
      <b/>
      <sz val="9"/>
      <color theme="1"/>
      <name val="Times New Roman"/>
      <family val="1"/>
    </font>
    <font>
      <sz val="12"/>
      <color indexed="10"/>
      <name val="Times New Roman"/>
      <family val="1"/>
    </font>
    <font>
      <u/>
      <sz val="10"/>
      <name val="Arial"/>
      <family val="2"/>
    </font>
    <font>
      <b/>
      <sz val="9"/>
      <name val="Times New Roman"/>
      <family val="1"/>
    </font>
    <font>
      <b/>
      <sz val="10"/>
      <name val="Times New Roman"/>
      <family val="1"/>
    </font>
    <font>
      <u/>
      <sz val="9"/>
      <color theme="1"/>
      <name val="Times New Roman"/>
      <family val="1"/>
    </font>
    <font>
      <sz val="10"/>
      <name val="Arial"/>
      <family val="2"/>
    </font>
    <font>
      <sz val="10"/>
      <color theme="1"/>
      <name val="Arial"/>
      <family val="2"/>
    </font>
    <font>
      <b/>
      <sz val="10"/>
      <name val="Arial"/>
      <family val="2"/>
    </font>
    <font>
      <sz val="9"/>
      <color indexed="81"/>
      <name val="Tahoma"/>
      <family val="2"/>
    </font>
    <font>
      <b/>
      <sz val="9"/>
      <color indexed="81"/>
      <name val="Tahoma"/>
      <family val="2"/>
    </font>
    <font>
      <sz val="10"/>
      <name val="Arial"/>
      <family val="2"/>
    </font>
    <font>
      <b/>
      <i/>
      <sz val="10"/>
      <name val="Times New Roman"/>
      <family val="1"/>
    </font>
    <font>
      <sz val="10"/>
      <name val="Times New Roman"/>
      <family val="1"/>
    </font>
    <font>
      <i/>
      <sz val="10"/>
      <name val="Times New Roman"/>
      <family val="1"/>
    </font>
    <font>
      <sz val="10"/>
      <color indexed="12"/>
      <name val="Times New Roman"/>
      <family val="1"/>
    </font>
    <font>
      <sz val="11"/>
      <color indexed="8"/>
      <name val="Calibri"/>
      <family val="2"/>
    </font>
    <font>
      <sz val="10"/>
      <color indexed="48"/>
      <name val="Times New Roman"/>
      <family val="1"/>
    </font>
    <font>
      <b/>
      <sz val="16"/>
      <name val="Times New Roman"/>
      <family val="1"/>
    </font>
    <font>
      <b/>
      <sz val="12"/>
      <name val="Times New Roman"/>
      <family val="1"/>
    </font>
    <font>
      <u/>
      <sz val="7.5"/>
      <color indexed="9"/>
      <name val="Arial"/>
      <family val="2"/>
    </font>
    <font>
      <sz val="12"/>
      <name val="Arial"/>
      <family val="2"/>
    </font>
    <font>
      <sz val="8"/>
      <color indexed="56"/>
      <name val="Arial"/>
      <family val="2"/>
    </font>
    <font>
      <sz val="10"/>
      <name val="MS Sans Serif"/>
      <family val="2"/>
    </font>
    <font>
      <b/>
      <sz val="10"/>
      <name val="MS Sans Serif"/>
      <family val="2"/>
    </font>
    <font>
      <sz val="10"/>
      <color theme="1"/>
      <name val="Times New Roman"/>
      <family val="1"/>
    </font>
    <font>
      <b/>
      <sz val="14"/>
      <name val="Times New Roman"/>
      <family val="1"/>
    </font>
    <font>
      <b/>
      <sz val="11"/>
      <name val="Times New Roman"/>
      <family val="1"/>
    </font>
    <font>
      <sz val="11"/>
      <name val="Arial"/>
      <family val="2"/>
    </font>
    <font>
      <b/>
      <sz val="10"/>
      <color theme="1"/>
      <name val="Times New Roman"/>
      <family val="1"/>
    </font>
    <font>
      <sz val="8"/>
      <name val="Arial"/>
      <family val="2"/>
    </font>
    <font>
      <sz val="8"/>
      <name val="Geneva"/>
    </font>
    <font>
      <b/>
      <sz val="8"/>
      <name val="Courier"/>
      <family val="3"/>
    </font>
    <font>
      <sz val="8"/>
      <name val="Arial Narrow"/>
      <family val="2"/>
    </font>
    <font>
      <sz val="8"/>
      <color rgb="FF0000FF"/>
      <name val="Arial"/>
      <family val="2"/>
    </font>
    <font>
      <b/>
      <sz val="8"/>
      <name val="Arial"/>
      <family val="2"/>
    </font>
    <font>
      <u/>
      <sz val="8"/>
      <name val="Arial"/>
      <family val="2"/>
    </font>
    <font>
      <b/>
      <sz val="9"/>
      <name val="Arial"/>
      <family val="2"/>
    </font>
    <font>
      <u/>
      <sz val="8"/>
      <name val="Geneva"/>
    </font>
    <font>
      <b/>
      <sz val="8"/>
      <color indexed="12"/>
      <name val="Geneva"/>
    </font>
    <font>
      <b/>
      <sz val="8"/>
      <name val="Geneva"/>
    </font>
    <font>
      <sz val="8"/>
      <color indexed="12"/>
      <name val="Geneva"/>
    </font>
    <font>
      <sz val="8"/>
      <color indexed="12"/>
      <name val="Arial"/>
      <family val="2"/>
    </font>
    <font>
      <b/>
      <sz val="8"/>
      <color indexed="81"/>
      <name val="Tahoma"/>
      <family val="2"/>
    </font>
    <font>
      <sz val="8"/>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10"/>
      <color indexed="8"/>
      <name val="Arial"/>
      <family val="2"/>
    </font>
    <font>
      <sz val="10"/>
      <color indexed="8"/>
      <name val="Arial"/>
      <family val="2"/>
    </font>
    <font>
      <b/>
      <sz val="8"/>
      <color indexed="8"/>
      <name val="Arial"/>
      <family val="2"/>
    </font>
    <font>
      <b/>
      <sz val="8"/>
      <color indexed="8"/>
      <name val="Courier New"/>
      <family val="3"/>
    </font>
    <font>
      <u/>
      <sz val="10"/>
      <color indexed="12"/>
      <name val="Arial"/>
      <family val="2"/>
    </font>
    <font>
      <sz val="11"/>
      <color indexed="8"/>
      <name val="Times New Roman"/>
      <family val="1"/>
    </font>
    <font>
      <b/>
      <sz val="12"/>
      <color indexed="8"/>
      <name val="Arial"/>
      <family val="2"/>
    </font>
    <font>
      <sz val="8"/>
      <color indexed="8"/>
      <name val="Arial"/>
      <family val="2"/>
    </font>
    <font>
      <sz val="8"/>
      <color indexed="8"/>
      <name val="Wingdings"/>
      <charset val="2"/>
    </font>
    <font>
      <sz val="11"/>
      <color indexed="9"/>
      <name val="Calibri"/>
      <family val="2"/>
    </font>
    <font>
      <sz val="10"/>
      <color indexed="9"/>
      <name val="Arial"/>
      <family val="2"/>
    </font>
    <font>
      <sz val="10"/>
      <color indexed="12"/>
      <name val="Arial"/>
      <family val="2"/>
    </font>
    <font>
      <sz val="11"/>
      <color indexed="20"/>
      <name val="Calibri"/>
      <family val="2"/>
      <scheme val="minor"/>
    </font>
    <font>
      <sz val="11"/>
      <color indexed="20"/>
      <name val="Calibri"/>
      <family val="2"/>
    </font>
    <font>
      <b/>
      <sz val="11"/>
      <color indexed="52"/>
      <name val="Calibri"/>
      <family val="2"/>
    </font>
    <font>
      <b/>
      <sz val="11"/>
      <color indexed="9"/>
      <name val="Calibri"/>
      <family val="2"/>
    </font>
    <font>
      <b/>
      <sz val="9.75"/>
      <name val="Abadi MT Condensed"/>
      <family val="2"/>
    </font>
    <font>
      <sz val="8"/>
      <name val="Palatino"/>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i/>
      <sz val="11"/>
      <color indexed="23"/>
      <name val="Calibri"/>
      <family val="2"/>
    </font>
    <font>
      <sz val="10"/>
      <color indexed="0"/>
      <name val="Arial"/>
      <family val="2"/>
    </font>
    <font>
      <sz val="11"/>
      <color indexed="17"/>
      <name val="Calibri"/>
      <family val="2"/>
    </font>
    <font>
      <b/>
      <sz val="15"/>
      <color indexed="56"/>
      <name val="Calibri"/>
      <family val="2"/>
      <scheme val="minor"/>
    </font>
    <font>
      <b/>
      <sz val="15"/>
      <color indexed="56"/>
      <name val="Calibri"/>
      <family val="2"/>
    </font>
    <font>
      <b/>
      <sz val="13"/>
      <color indexed="56"/>
      <name val="Calibri"/>
      <family val="2"/>
      <scheme val="minor"/>
    </font>
    <font>
      <b/>
      <sz val="13"/>
      <color indexed="56"/>
      <name val="Calibri"/>
      <family val="2"/>
    </font>
    <font>
      <b/>
      <sz val="11"/>
      <color indexed="56"/>
      <name val="Calibri"/>
      <family val="2"/>
      <scheme val="minor"/>
    </font>
    <font>
      <b/>
      <sz val="11"/>
      <color indexed="56"/>
      <name val="Calibri"/>
      <family val="2"/>
    </font>
    <font>
      <u/>
      <sz val="10"/>
      <color indexed="12"/>
      <name val="Arial Black"/>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b/>
      <sz val="18"/>
      <color indexed="56"/>
      <name val="Cambria"/>
      <family val="2"/>
    </font>
    <font>
      <b/>
      <sz val="11"/>
      <color indexed="8"/>
      <name val="Calibri"/>
      <family val="2"/>
    </font>
    <font>
      <sz val="11"/>
      <color indexed="10"/>
      <name val="Calibri"/>
      <family val="2"/>
    </font>
    <font>
      <sz val="10"/>
      <name val="Helv"/>
    </font>
    <font>
      <sz val="11"/>
      <color theme="1"/>
      <name val="Calibri"/>
      <family val="2"/>
    </font>
    <font>
      <sz val="8"/>
      <color theme="1"/>
      <name val="Times New Roman"/>
      <family val="1"/>
    </font>
    <font>
      <sz val="9"/>
      <name val="Arial"/>
      <family val="2"/>
    </font>
    <font>
      <sz val="10"/>
      <color indexed="8"/>
      <name val="Times New Roman"/>
      <family val="1"/>
    </font>
    <font>
      <sz val="12"/>
      <color theme="1"/>
      <name val="Times New Roman"/>
      <family val="2"/>
    </font>
    <font>
      <sz val="10"/>
      <color theme="1"/>
      <name val="Tahoma"/>
      <family val="2"/>
    </font>
    <font>
      <sz val="10"/>
      <color indexed="60"/>
      <name val="Arial"/>
      <family val="2"/>
    </font>
    <font>
      <sz val="9"/>
      <name val="Courier"/>
      <family val="3"/>
    </font>
    <font>
      <sz val="12"/>
      <color theme="1"/>
      <name val="Arial"/>
      <family val="2"/>
    </font>
    <font>
      <u/>
      <sz val="12"/>
      <color theme="10"/>
      <name val="Courier"/>
      <family val="3"/>
    </font>
    <font>
      <b/>
      <sz val="10"/>
      <color indexed="9"/>
      <name val="Times New Roman"/>
      <family val="1"/>
    </font>
    <font>
      <b/>
      <sz val="10"/>
      <color theme="1"/>
      <name val="Arial"/>
      <family val="2"/>
    </font>
    <font>
      <sz val="8"/>
      <name val="Times New Roman"/>
      <family val="1"/>
    </font>
    <font>
      <b/>
      <u/>
      <sz val="10"/>
      <name val="Arial"/>
      <family val="2"/>
    </font>
    <font>
      <vertAlign val="superscript"/>
      <sz val="9"/>
      <color theme="1"/>
      <name val="Times New Roman"/>
      <family val="1"/>
    </font>
    <font>
      <sz val="10"/>
      <name val="Arial"/>
      <family val="2"/>
    </font>
    <font>
      <sz val="11"/>
      <name val="Times New Roman"/>
      <family val="1"/>
    </font>
  </fonts>
  <fills count="7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mediumGray">
        <fgColor indexed="22"/>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9"/>
      </patternFill>
    </fill>
    <fill>
      <patternFill patternType="solid">
        <fgColor indexed="2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0"/>
        <bgColor indexed="64"/>
      </patternFill>
    </fill>
    <fill>
      <patternFill patternType="solid">
        <fgColor indexed="13"/>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BFBFBF"/>
        <bgColor indexed="64"/>
      </patternFill>
    </fill>
    <fill>
      <patternFill patternType="solid">
        <fgColor indexed="8"/>
      </patternFill>
    </fill>
    <fill>
      <patternFill patternType="solid">
        <fgColor indexed="22"/>
        <bgColor indexed="64"/>
      </patternFill>
    </fill>
    <fill>
      <patternFill patternType="solid">
        <fgColor indexed="51"/>
        <bgColor indexed="64"/>
      </patternFill>
    </fill>
    <fill>
      <patternFill patternType="solid">
        <fgColor indexed="9"/>
        <bgColor indexed="9"/>
      </patternFill>
    </fill>
    <fill>
      <patternFill patternType="solid">
        <fgColor indexed="17"/>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34998626667073579"/>
        <bgColor indexed="64"/>
      </patternFill>
    </fill>
  </fills>
  <borders count="6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auto="1"/>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s>
  <cellStyleXfs count="42085">
    <xf numFmtId="0" fontId="0" fillId="0" borderId="0"/>
    <xf numFmtId="0" fontId="9" fillId="0" borderId="0"/>
    <xf numFmtId="0" fontId="9"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 fillId="0" borderId="0"/>
    <xf numFmtId="44" fontId="8" fillId="0" borderId="0" applyFont="0" applyFill="0" applyBorder="0" applyAlignment="0" applyProtection="0"/>
    <xf numFmtId="0" fontId="16" fillId="2" borderId="0"/>
    <xf numFmtId="0" fontId="11" fillId="0" borderId="0"/>
    <xf numFmtId="0" fontId="8" fillId="0" borderId="0"/>
    <xf numFmtId="0" fontId="8" fillId="0" borderId="0"/>
    <xf numFmtId="9" fontId="8" fillId="0" borderId="0" applyFont="0" applyFill="0" applyBorder="0" applyAlignment="0" applyProtection="0"/>
    <xf numFmtId="43" fontId="21" fillId="0" borderId="0" applyFont="0" applyFill="0" applyBorder="0" applyAlignment="0" applyProtection="0"/>
    <xf numFmtId="0" fontId="22" fillId="0" borderId="0"/>
    <xf numFmtId="9" fontId="26" fillId="0" borderId="0" applyFont="0" applyFill="0" applyBorder="0" applyAlignment="0" applyProtection="0"/>
    <xf numFmtId="0" fontId="7" fillId="0" borderId="0"/>
    <xf numFmtId="9" fontId="31" fillId="0" borderId="0" applyFont="0" applyFill="0" applyBorder="0" applyAlignment="0" applyProtection="0"/>
    <xf numFmtId="43" fontId="31" fillId="0" borderId="0" applyFont="0" applyFill="0" applyBorder="0" applyAlignment="0" applyProtection="0"/>
    <xf numFmtId="0" fontId="9" fillId="0" borderId="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8" fillId="0" borderId="0" applyFont="0" applyFill="0" applyBorder="0" applyAlignment="0" applyProtection="0"/>
    <xf numFmtId="44" fontId="31" fillId="0" borderId="0" applyFont="0" applyFill="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xf numFmtId="0" fontId="6" fillId="0" borderId="0"/>
    <xf numFmtId="0" fontId="8" fillId="0" borderId="0">
      <alignment readingOrder="1"/>
    </xf>
    <xf numFmtId="0" fontId="6" fillId="0" borderId="0"/>
    <xf numFmtId="0" fontId="8" fillId="0" borderId="0"/>
    <xf numFmtId="0" fontId="8" fillId="0" borderId="0">
      <alignment readingOrder="1"/>
    </xf>
    <xf numFmtId="0" fontId="8" fillId="0" borderId="0"/>
    <xf numFmtId="0" fontId="8" fillId="0" borderId="0">
      <alignment readingOrder="1"/>
    </xf>
    <xf numFmtId="0" fontId="9"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9" fontId="8"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36"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0" fontId="28" fillId="0" borderId="0"/>
    <xf numFmtId="9" fontId="11" fillId="0" borderId="0" applyFont="0" applyFill="0" applyBorder="0" applyAlignment="0" applyProtection="0"/>
    <xf numFmtId="9" fontId="28" fillId="0" borderId="0" applyFont="0" applyFill="0" applyBorder="0" applyAlignment="0" applyProtection="0"/>
    <xf numFmtId="38" fontId="37" fillId="0" borderId="0" applyNumberFormat="0" applyFont="0" applyFill="0" applyBorder="0">
      <alignment horizontal="left" indent="4"/>
      <protection locked="0"/>
    </xf>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39" fillId="0" borderId="27">
      <alignment horizontal="center"/>
    </xf>
    <xf numFmtId="3" fontId="38" fillId="0" borderId="0" applyFont="0" applyFill="0" applyBorder="0" applyAlignment="0" applyProtection="0"/>
    <xf numFmtId="0" fontId="38" fillId="4" borderId="0" applyNumberFormat="0" applyFont="0" applyBorder="0" applyAlignment="0" applyProtection="0"/>
    <xf numFmtId="167" fontId="36" fillId="3" borderId="0" applyFont="0" applyFill="0" applyBorder="0" applyAlignment="0" applyProtection="0">
      <alignment wrapText="1"/>
    </xf>
    <xf numFmtId="0" fontId="8" fillId="5" borderId="0" applyNumberFormat="0" applyFont="0" applyFill="0" applyBorder="0" applyAlignment="0" applyProtection="0"/>
    <xf numFmtId="0" fontId="6" fillId="0" borderId="0"/>
    <xf numFmtId="3" fontId="22" fillId="0" borderId="0"/>
    <xf numFmtId="3" fontId="22" fillId="0" borderId="0"/>
    <xf numFmtId="0" fontId="8" fillId="0" borderId="0"/>
    <xf numFmtId="43" fontId="8" fillId="0" borderId="0" applyFont="0" applyFill="0" applyBorder="0" applyAlignment="0" applyProtection="0"/>
    <xf numFmtId="0" fontId="5"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43" fontId="8"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1" fillId="0" borderId="0"/>
    <xf numFmtId="0" fontId="5" fillId="0" borderId="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22" fillId="0" borderId="0"/>
    <xf numFmtId="3" fontId="22" fillId="0" borderId="0"/>
    <xf numFmtId="0" fontId="76" fillId="0" borderId="31" applyNumberFormat="0" applyFill="0" applyAlignment="0" applyProtection="0"/>
    <xf numFmtId="3" fontId="22" fillId="0" borderId="0"/>
    <xf numFmtId="3" fontId="22" fillId="0" borderId="0"/>
    <xf numFmtId="3" fontId="22" fillId="0" borderId="0"/>
    <xf numFmtId="9" fontId="22" fillId="0" borderId="0" applyFont="0" applyFill="0" applyBorder="0" applyAlignment="0" applyProtection="0"/>
    <xf numFmtId="44" fontId="22" fillId="0" borderId="0" applyFont="0" applyFill="0" applyBorder="0" applyAlignment="0" applyProtection="0"/>
    <xf numFmtId="0" fontId="77" fillId="0" borderId="0" applyNumberFormat="0" applyFill="0" applyBorder="0" applyAlignment="0" applyProtection="0">
      <alignment vertical="top"/>
      <protection locked="0"/>
    </xf>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0" fontId="78" fillId="0" borderId="0" applyBorder="0">
      <alignment horizontal="centerContinuous"/>
    </xf>
    <xf numFmtId="0" fontId="79" fillId="0" borderId="0" applyBorder="0">
      <alignment horizontal="centerContinuous"/>
    </xf>
    <xf numFmtId="0" fontId="80" fillId="39" borderId="0">
      <alignment horizontal="right"/>
    </xf>
    <xf numFmtId="0" fontId="79" fillId="39" borderId="7"/>
    <xf numFmtId="9" fontId="22" fillId="0" borderId="0" applyFont="0" applyFill="0" applyBorder="0" applyAlignment="0" applyProtection="0"/>
    <xf numFmtId="42" fontId="8" fillId="0" borderId="0" applyFont="0" applyFill="0" applyBorder="0" applyAlignment="0" applyProtection="0"/>
    <xf numFmtId="0" fontId="81" fillId="40" borderId="0">
      <alignment horizontal="left"/>
    </xf>
    <xf numFmtId="0" fontId="83" fillId="40" borderId="0">
      <alignment horizontal="right"/>
    </xf>
    <xf numFmtId="0" fontId="83" fillId="40" borderId="0">
      <alignment horizontal="center"/>
    </xf>
    <xf numFmtId="0" fontId="83" fillId="40" borderId="0">
      <alignment horizontal="right"/>
    </xf>
    <xf numFmtId="0" fontId="84" fillId="40" borderId="0">
      <alignment horizontal="left"/>
    </xf>
    <xf numFmtId="41"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2"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1" fillId="40" borderId="0">
      <alignment horizontal="left"/>
    </xf>
    <xf numFmtId="0" fontId="81" fillId="40" borderId="0">
      <alignment horizontal="left"/>
    </xf>
    <xf numFmtId="44"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0" fontId="86" fillId="39" borderId="0">
      <alignment horizontal="right"/>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81" fillId="40" borderId="0">
      <alignment horizontal="center"/>
    </xf>
    <xf numFmtId="49" fontId="87" fillId="40" borderId="0">
      <alignment horizontal="center"/>
    </xf>
    <xf numFmtId="0" fontId="83" fillId="40" borderId="0">
      <alignment horizontal="center"/>
    </xf>
    <xf numFmtId="0" fontId="83" fillId="40" borderId="0">
      <alignment horizontal="centerContinuous"/>
    </xf>
    <xf numFmtId="0" fontId="88" fillId="40" borderId="0">
      <alignment horizontal="left"/>
    </xf>
    <xf numFmtId="49" fontId="88" fillId="40" borderId="0">
      <alignment horizontal="center"/>
    </xf>
    <xf numFmtId="0" fontId="81" fillId="40" borderId="0">
      <alignment horizontal="left"/>
    </xf>
    <xf numFmtId="49" fontId="88" fillId="40" borderId="0">
      <alignment horizontal="left"/>
    </xf>
    <xf numFmtId="0" fontId="81" fillId="40" borderId="0">
      <alignment horizontal="centerContinuous"/>
    </xf>
    <xf numFmtId="0" fontId="81" fillId="40" borderId="0">
      <alignment horizontal="right"/>
    </xf>
    <xf numFmtId="49" fontId="81" fillId="40" borderId="0">
      <alignment horizontal="left"/>
    </xf>
    <xf numFmtId="0" fontId="83" fillId="40" borderId="0">
      <alignment horizontal="right"/>
    </xf>
    <xf numFmtId="0" fontId="88" fillId="41" borderId="0">
      <alignment horizontal="center"/>
    </xf>
    <xf numFmtId="0" fontId="57" fillId="41" borderId="0">
      <alignment horizontal="center"/>
    </xf>
    <xf numFmtId="0" fontId="89" fillId="40" borderId="0">
      <alignment horizontal="center"/>
    </xf>
    <xf numFmtId="0" fontId="8"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63" fillId="0" borderId="31" applyNumberFormat="0" applyFill="0" applyAlignment="0" applyProtection="0"/>
    <xf numFmtId="43" fontId="3" fillId="0" borderId="0" applyFont="0" applyFill="0" applyBorder="0" applyAlignment="0" applyProtection="0"/>
    <xf numFmtId="181" fontId="28" fillId="42" borderId="0" applyFont="0" applyFill="0" applyBorder="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1" fillId="0" borderId="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3" fillId="0" borderId="0"/>
    <xf numFmtId="0" fontId="82" fillId="0" borderId="0">
      <alignment vertical="top"/>
    </xf>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1"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1"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1"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1"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47"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4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1"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1" fillId="5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1"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1" fillId="4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0" fontId="31" fillId="52"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53" borderId="0" applyNumberFormat="0" applyBorder="0" applyAlignment="0" applyProtection="0"/>
    <xf numFmtId="0" fontId="90" fillId="53"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90" fillId="50"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51" borderId="0" applyNumberFormat="0" applyBorder="0" applyAlignment="0" applyProtection="0"/>
    <xf numFmtId="0" fontId="90" fillId="51"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54" borderId="0" applyNumberFormat="0" applyBorder="0" applyAlignment="0" applyProtection="0"/>
    <xf numFmtId="0" fontId="90" fillId="5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90" fillId="55"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56" borderId="0" applyNumberFormat="0" applyBorder="0" applyAlignment="0" applyProtection="0"/>
    <xf numFmtId="0" fontId="90" fillId="56"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57" borderId="0" applyNumberFormat="0" applyBorder="0" applyAlignment="0" applyProtection="0"/>
    <xf numFmtId="0" fontId="90" fillId="57"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58" borderId="0" applyNumberFormat="0" applyBorder="0" applyAlignment="0" applyProtection="0"/>
    <xf numFmtId="0" fontId="90" fillId="58"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59" borderId="0" applyNumberFormat="0" applyBorder="0" applyAlignment="0" applyProtection="0"/>
    <xf numFmtId="0" fontId="90" fillId="59"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54" borderId="0" applyNumberFormat="0" applyBorder="0" applyAlignment="0" applyProtection="0"/>
    <xf numFmtId="0" fontId="90" fillId="54"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90" fillId="5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90" fillId="60" borderId="0" applyNumberFormat="0" applyBorder="0" applyAlignment="0" applyProtection="0"/>
    <xf numFmtId="185" fontId="91" fillId="61" borderId="0" applyNumberFormat="0" applyBorder="0" applyAlignment="0" applyProtection="0"/>
    <xf numFmtId="185" fontId="92" fillId="62" borderId="0" applyNumberFormat="0" applyBorder="0" applyAlignment="0" applyProtection="0"/>
    <xf numFmtId="185" fontId="92" fillId="62"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93" fillId="9" borderId="0" applyNumberFormat="0" applyBorder="0" applyAlignment="0" applyProtection="0"/>
    <xf numFmtId="0" fontId="94" fillId="44" borderId="0" applyNumberFormat="0" applyBorder="0" applyAlignment="0" applyProtection="0"/>
    <xf numFmtId="0" fontId="28" fillId="0" borderId="0" applyFill="0" applyBorder="0" applyAlignment="0" applyProtection="0"/>
    <xf numFmtId="0" fontId="69" fillId="12" borderId="32" applyNumberFormat="0" applyAlignment="0" applyProtection="0"/>
    <xf numFmtId="0" fontId="69" fillId="12" borderId="32" applyNumberFormat="0" applyAlignment="0" applyProtection="0"/>
    <xf numFmtId="0" fontId="69" fillId="12" borderId="32" applyNumberFormat="0" applyAlignment="0" applyProtection="0"/>
    <xf numFmtId="0" fontId="69" fillId="63" borderId="32" applyNumberFormat="0" applyAlignment="0" applyProtection="0"/>
    <xf numFmtId="0" fontId="95" fillId="63" borderId="38" applyNumberFormat="0" applyAlignment="0" applyProtection="0"/>
    <xf numFmtId="0" fontId="50" fillId="0" borderId="0" applyFill="0" applyBorder="0" applyProtection="0">
      <alignment horizontal="center" vertical="center"/>
    </xf>
    <xf numFmtId="0" fontId="52" fillId="0" borderId="0" applyFill="0" applyBorder="0" applyProtection="0">
      <alignment horizontal="center"/>
      <protection locked="0"/>
    </xf>
    <xf numFmtId="0" fontId="50" fillId="0" borderId="0" applyFill="0" applyBorder="0" applyProtection="0">
      <alignment horizontal="center" vertical="center"/>
    </xf>
    <xf numFmtId="0" fontId="71" fillId="13" borderId="35" applyNumberFormat="0" applyAlignment="0" applyProtection="0"/>
    <xf numFmtId="0" fontId="71" fillId="13" borderId="35" applyNumberFormat="0" applyAlignment="0" applyProtection="0"/>
    <xf numFmtId="0" fontId="71" fillId="13" borderId="35" applyNumberFormat="0" applyAlignment="0" applyProtection="0"/>
    <xf numFmtId="0" fontId="96" fillId="64" borderId="39" applyNumberFormat="0" applyAlignment="0" applyProtection="0"/>
    <xf numFmtId="0" fontId="97" fillId="0" borderId="27">
      <alignment horizontal="center"/>
    </xf>
    <xf numFmtId="186" fontId="98" fillId="0" borderId="0" applyFont="0" applyFill="0" applyBorder="0" applyAlignment="0" applyProtection="0">
      <alignment horizontal="right"/>
    </xf>
    <xf numFmtId="187" fontId="10" fillId="0" borderId="0" applyFont="0" applyFill="0" applyBorder="0" applyAlignment="0" applyProtection="0"/>
    <xf numFmtId="188" fontId="99" fillId="0" borderId="0" applyFont="0" applyFill="0" applyBorder="0" applyAlignment="0" applyProtection="0"/>
    <xf numFmtId="189" fontId="9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1" fillId="0" borderId="0" applyFont="0" applyFill="0" applyBorder="0" applyAlignment="0" applyProtection="0"/>
    <xf numFmtId="43" fontId="8" fillId="0" borderId="0" applyFont="0" applyFill="0" applyBorder="0" applyAlignment="0" applyProtection="0"/>
    <xf numFmtId="43" fontId="10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2"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0" fontId="10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0" fontId="103"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0"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2"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2"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1" fontId="10" fillId="0" borderId="0">
      <protection locked="0"/>
    </xf>
    <xf numFmtId="0" fontId="104" fillId="0" borderId="0" applyFill="0" applyBorder="0" applyAlignment="0" applyProtection="0"/>
    <xf numFmtId="0" fontId="105" fillId="0" borderId="0" applyFill="0" applyBorder="0" applyAlignment="0" applyProtection="0">
      <protection locked="0"/>
    </xf>
    <xf numFmtId="0" fontId="104" fillId="0" borderId="0" applyFill="0" applyBorder="0" applyAlignment="0" applyProtection="0"/>
    <xf numFmtId="192" fontId="99" fillId="0" borderId="0" applyFont="0" applyFill="0" applyBorder="0" applyAlignment="0" applyProtection="0"/>
    <xf numFmtId="193" fontId="99" fillId="0" borderId="0" applyFont="0" applyFill="0" applyBorder="0" applyAlignment="0" applyProtection="0"/>
    <xf numFmtId="194" fontId="9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01"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95" fontId="10" fillId="0" borderId="0">
      <protection locked="0"/>
    </xf>
    <xf numFmtId="184" fontId="106" fillId="0" borderId="0" applyFont="0" applyFill="0" applyBorder="0" applyAlignment="0" applyProtection="0"/>
    <xf numFmtId="185" fontId="107" fillId="0"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08" fillId="0" borderId="0" applyNumberFormat="0" applyFill="0" applyBorder="0" applyAlignment="0" applyProtection="0"/>
    <xf numFmtId="196" fontId="109" fillId="0" borderId="0"/>
    <xf numFmtId="197" fontId="109" fillId="0" borderId="0"/>
    <xf numFmtId="167" fontId="109" fillId="0" borderId="0"/>
    <xf numFmtId="197" fontId="109" fillId="0" borderId="0"/>
    <xf numFmtId="198" fontId="109" fillId="0" borderId="0"/>
    <xf numFmtId="198" fontId="109" fillId="0" borderId="0"/>
    <xf numFmtId="196" fontId="109" fillId="0" borderId="0"/>
    <xf numFmtId="199" fontId="109" fillId="0" borderId="0"/>
    <xf numFmtId="200" fontId="109" fillId="0" borderId="0"/>
    <xf numFmtId="201" fontId="109" fillId="0" borderId="0"/>
    <xf numFmtId="202" fontId="109" fillId="0" borderId="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110" fillId="45" borderId="0" applyNumberFormat="0" applyBorder="0" applyAlignment="0" applyProtection="0"/>
    <xf numFmtId="0" fontId="61" fillId="0" borderId="29" applyNumberFormat="0" applyFill="0" applyAlignment="0" applyProtection="0"/>
    <xf numFmtId="0" fontId="61" fillId="0" borderId="29" applyNumberFormat="0" applyFill="0" applyAlignment="0" applyProtection="0"/>
    <xf numFmtId="0" fontId="61" fillId="0" borderId="29" applyNumberFormat="0" applyFill="0" applyAlignment="0" applyProtection="0"/>
    <xf numFmtId="0" fontId="111" fillId="0" borderId="40" applyNumberFormat="0" applyFill="0" applyAlignment="0" applyProtection="0"/>
    <xf numFmtId="0" fontId="112" fillId="0" borderId="40"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113" fillId="0" borderId="30" applyNumberFormat="0" applyFill="0" applyAlignment="0" applyProtection="0"/>
    <xf numFmtId="0" fontId="114" fillId="0" borderId="41" applyNumberFormat="0" applyFill="0" applyAlignment="0" applyProtection="0"/>
    <xf numFmtId="0" fontId="63" fillId="0" borderId="31" applyNumberFormat="0" applyFill="0" applyAlignment="0" applyProtection="0"/>
    <xf numFmtId="0" fontId="63" fillId="0" borderId="31" applyNumberFormat="0" applyFill="0" applyAlignment="0" applyProtection="0"/>
    <xf numFmtId="0" fontId="115" fillId="0" borderId="42" applyNumberFormat="0" applyFill="0" applyAlignment="0" applyProtection="0"/>
    <xf numFmtId="0" fontId="116" fillId="0" borderId="42"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23" fillId="0" borderId="0" applyFill="0" applyAlignment="0" applyProtection="0"/>
    <xf numFmtId="0" fontId="52" fillId="0" borderId="0" applyFill="0" applyAlignment="0" applyProtection="0">
      <protection locked="0"/>
    </xf>
    <xf numFmtId="0" fontId="23" fillId="0" borderId="0" applyFill="0" applyAlignment="0" applyProtection="0"/>
    <xf numFmtId="0" fontId="23" fillId="0" borderId="10" applyFill="0" applyAlignment="0" applyProtection="0"/>
    <xf numFmtId="0" fontId="52" fillId="0" borderId="10" applyFill="0" applyAlignment="0" applyProtection="0">
      <protection locked="0"/>
    </xf>
    <xf numFmtId="0" fontId="23" fillId="0" borderId="10" applyFill="0" applyAlignment="0" applyProtection="0"/>
    <xf numFmtId="0" fontId="52" fillId="0" borderId="0" applyFill="0" applyAlignment="0" applyProtection="0"/>
    <xf numFmtId="185" fontId="117" fillId="39" borderId="0" applyNumberFormat="0" applyBorder="0" applyAlignment="0" applyProtection="0"/>
    <xf numFmtId="0" fontId="67" fillId="11" borderId="32" applyNumberFormat="0" applyAlignment="0" applyProtection="0"/>
    <xf numFmtId="0" fontId="67" fillId="11" borderId="32" applyNumberFormat="0" applyAlignment="0" applyProtection="0"/>
    <xf numFmtId="0" fontId="67" fillId="11" borderId="32" applyNumberFormat="0" applyAlignment="0" applyProtection="0"/>
    <xf numFmtId="0" fontId="118" fillId="48" borderId="38" applyNumberFormat="0" applyAlignment="0" applyProtection="0"/>
    <xf numFmtId="185" fontId="92" fillId="3" borderId="0" applyNumberFormat="0" applyBorder="0" applyAlignment="0" applyProtection="0"/>
    <xf numFmtId="185" fontId="92" fillId="3" borderId="0" applyNumberFormat="0" applyBorder="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119" fillId="0" borderId="43" applyNumberFormat="0" applyFill="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120" fillId="65" borderId="0" applyNumberFormat="0" applyBorder="0" applyAlignment="0" applyProtection="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8" fillId="0" borderId="0"/>
    <xf numFmtId="0" fontId="3" fillId="0" borderId="0"/>
    <xf numFmtId="185" fontId="22" fillId="0" borderId="0"/>
    <xf numFmtId="185" fontId="22" fillId="0" borderId="0"/>
    <xf numFmtId="185" fontId="22" fillId="0" borderId="0"/>
    <xf numFmtId="185" fontId="22"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185" fontId="22" fillId="0" borderId="0"/>
    <xf numFmtId="185" fontId="22" fillId="0" borderId="0"/>
    <xf numFmtId="185" fontId="22" fillId="0" borderId="0"/>
    <xf numFmtId="185" fontId="22"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0" fontId="3" fillId="0" borderId="0"/>
    <xf numFmtId="0" fontId="3" fillId="0" borderId="0"/>
    <xf numFmtId="0" fontId="3" fillId="0" borderId="0"/>
    <xf numFmtId="185" fontId="22" fillId="0" borderId="0"/>
    <xf numFmtId="185" fontId="22" fillId="0" borderId="0"/>
    <xf numFmtId="185" fontId="22" fillId="0" borderId="0"/>
    <xf numFmtId="185" fontId="22" fillId="0" borderId="0"/>
    <xf numFmtId="0" fontId="3" fillId="0" borderId="0"/>
    <xf numFmtId="0" fontId="3" fillId="0" borderId="0"/>
    <xf numFmtId="183" fontId="22" fillId="0" borderId="0"/>
    <xf numFmtId="183" fontId="22" fillId="0" borderId="0"/>
    <xf numFmtId="183" fontId="22" fillId="0" borderId="0"/>
    <xf numFmtId="183" fontId="22"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00" fillId="0" borderId="0"/>
    <xf numFmtId="185" fontId="8" fillId="0" borderId="0"/>
    <xf numFmtId="0" fontId="100" fillId="0" borderId="0"/>
    <xf numFmtId="0" fontId="3" fillId="0" borderId="0"/>
    <xf numFmtId="0" fontId="100" fillId="0" borderId="0"/>
    <xf numFmtId="0" fontId="3" fillId="0" borderId="0"/>
    <xf numFmtId="0" fontId="3" fillId="0" borderId="0"/>
    <xf numFmtId="0" fontId="3" fillId="0" borderId="0"/>
    <xf numFmtId="0" fontId="3" fillId="0" borderId="0"/>
    <xf numFmtId="0" fontId="100" fillId="0" borderId="0"/>
    <xf numFmtId="0" fontId="8" fillId="0" borderId="0"/>
    <xf numFmtId="0" fontId="3" fillId="0" borderId="0"/>
    <xf numFmtId="0" fontId="3" fillId="0" borderId="0"/>
    <xf numFmtId="185" fontId="8"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8" fillId="0" borderId="0"/>
    <xf numFmtId="0" fontId="8" fillId="0" borderId="0"/>
    <xf numFmtId="0" fontId="2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0" borderId="0"/>
    <xf numFmtId="0" fontId="8" fillId="0" borderId="0"/>
    <xf numFmtId="0" fontId="82" fillId="0" borderId="0">
      <alignment vertical="top"/>
    </xf>
    <xf numFmtId="0" fontId="8" fillId="0" borderId="0"/>
    <xf numFmtId="0" fontId="8" fillId="0" borderId="0"/>
    <xf numFmtId="185" fontId="8" fillId="0" borderId="0"/>
    <xf numFmtId="0" fontId="3" fillId="0" borderId="0"/>
    <xf numFmtId="0" fontId="3" fillId="0" borderId="0"/>
    <xf numFmtId="0" fontId="3" fillId="0" borderId="0"/>
    <xf numFmtId="185"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2" fillId="0" borderId="0">
      <alignment vertical="top"/>
    </xf>
    <xf numFmtId="0" fontId="8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82" fillId="0" borderId="0">
      <alignment vertical="top"/>
    </xf>
    <xf numFmtId="0" fontId="8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28" fillId="0" borderId="0"/>
    <xf numFmtId="0" fontId="8" fillId="0" borderId="0"/>
    <xf numFmtId="0" fontId="28" fillId="0" borderId="0"/>
    <xf numFmtId="185" fontId="22" fillId="0" borderId="0"/>
    <xf numFmtId="185" fontId="22" fillId="0" borderId="0"/>
    <xf numFmtId="185" fontId="22" fillId="0" borderId="0"/>
    <xf numFmtId="185" fontId="22" fillId="0" borderId="0"/>
    <xf numFmtId="0" fontId="10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xf numFmtId="183" fontId="22" fillId="0" borderId="0"/>
    <xf numFmtId="183" fontId="22" fillId="0" borderId="0"/>
    <xf numFmtId="183" fontId="22" fillId="0" borderId="0"/>
    <xf numFmtId="183"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xf numFmtId="0" fontId="3" fillId="0" borderId="0"/>
    <xf numFmtId="0" fontId="3" fillId="0" borderId="0"/>
    <xf numFmtId="0" fontId="3" fillId="0" borderId="0"/>
    <xf numFmtId="0" fontId="3" fillId="0" borderId="0"/>
    <xf numFmtId="183" fontId="8" fillId="0" borderId="0"/>
    <xf numFmtId="0" fontId="82" fillId="0" borderId="0">
      <alignment vertical="top"/>
    </xf>
    <xf numFmtId="0" fontId="82" fillId="0" borderId="0">
      <alignment vertical="top"/>
    </xf>
    <xf numFmtId="0" fontId="22" fillId="0" borderId="0"/>
    <xf numFmtId="0" fontId="3" fillId="0" borderId="0"/>
    <xf numFmtId="0" fontId="22" fillId="0" borderId="0"/>
    <xf numFmtId="0" fontId="22" fillId="0" borderId="0"/>
    <xf numFmtId="0" fontId="22" fillId="0" borderId="0"/>
    <xf numFmtId="185" fontId="22" fillId="0" borderId="0"/>
    <xf numFmtId="185" fontId="22" fillId="0" borderId="0"/>
    <xf numFmtId="0" fontId="82" fillId="0" borderId="0">
      <alignment vertical="top"/>
    </xf>
    <xf numFmtId="185" fontId="22" fillId="0" borderId="0"/>
    <xf numFmtId="185" fontId="22" fillId="0" borderId="0"/>
    <xf numFmtId="0" fontId="8" fillId="0" borderId="0"/>
    <xf numFmtId="0" fontId="3" fillId="0" borderId="0"/>
    <xf numFmtId="0" fontId="22" fillId="0" borderId="0"/>
    <xf numFmtId="0" fontId="82" fillId="0" borderId="0">
      <alignment vertical="top"/>
    </xf>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3" fillId="0" borderId="0"/>
    <xf numFmtId="185" fontId="22" fillId="0" borderId="0"/>
    <xf numFmtId="185" fontId="22" fillId="0" borderId="0"/>
    <xf numFmtId="185" fontId="22" fillId="0" borderId="0"/>
    <xf numFmtId="185" fontId="22"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28" fillId="0" borderId="0"/>
    <xf numFmtId="0" fontId="8"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185" fontId="10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1" fillId="14" borderId="36" applyNumberFormat="0" applyFont="0" applyAlignment="0" applyProtection="0"/>
    <xf numFmtId="0" fontId="8" fillId="66" borderId="44" applyNumberFormat="0" applyFont="0" applyAlignment="0" applyProtection="0"/>
    <xf numFmtId="0" fontId="3" fillId="14" borderId="36" applyNumberFormat="0" applyFont="0" applyAlignment="0" applyProtection="0"/>
    <xf numFmtId="0" fontId="68" fillId="12" borderId="33" applyNumberFormat="0" applyAlignment="0" applyProtection="0"/>
    <xf numFmtId="0" fontId="68" fillId="12" borderId="33" applyNumberFormat="0" applyAlignment="0" applyProtection="0"/>
    <xf numFmtId="0" fontId="68" fillId="12" borderId="33" applyNumberFormat="0" applyAlignment="0" applyProtection="0"/>
    <xf numFmtId="0" fontId="68" fillId="63" borderId="33" applyNumberFormat="0" applyAlignment="0" applyProtection="0"/>
    <xf numFmtId="0" fontId="122" fillId="63" borderId="45" applyNumberFormat="0" applyAlignment="0" applyProtection="0"/>
    <xf numFmtId="185" fontId="8" fillId="42" borderId="0" applyNumberFormat="0" applyBorder="0" applyAlignment="0" applyProtection="0"/>
    <xf numFmtId="185" fontId="8" fillId="42" borderId="0" applyNumberFormat="0" applyBorder="0" applyAlignment="0" applyProtection="0"/>
    <xf numFmtId="203" fontId="99" fillId="0" borderId="0" applyFont="0" applyFill="0" applyBorder="0" applyAlignment="0" applyProtection="0"/>
    <xf numFmtId="204" fontId="10" fillId="0" borderId="0" applyFont="0" applyFill="0" applyBorder="0" applyAlignment="0" applyProtection="0"/>
    <xf numFmtId="205" fontId="99" fillId="0" borderId="0" applyFont="0" applyFill="0" applyBorder="0" applyAlignment="0" applyProtection="0"/>
    <xf numFmtId="206" fontId="10" fillId="0" borderId="0" applyFont="0" applyFill="0" applyBorder="0" applyAlignment="0" applyProtection="0"/>
    <xf numFmtId="207" fontId="99" fillId="0" borderId="0" applyFont="0" applyFill="0" applyBorder="0" applyAlignment="0" applyProtection="0"/>
    <xf numFmtId="208" fontId="10" fillId="0" borderId="0" applyFont="0" applyFill="0" applyBorder="0" applyAlignment="0" applyProtection="0"/>
    <xf numFmtId="209" fontId="99" fillId="0" borderId="0" applyFont="0" applyFill="0" applyBorder="0" applyAlignment="0" applyProtection="0"/>
    <xf numFmtId="210" fontId="10" fillId="0" borderId="0" applyFont="0" applyFill="0" applyBorder="0" applyAlignment="0" applyProtection="0"/>
    <xf numFmtId="211" fontId="10" fillId="0" borderId="0" applyFont="0" applyFill="0" applyBorder="0" applyAlignment="0" applyProtection="0"/>
    <xf numFmtId="212"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 fillId="0" borderId="0" applyFont="0" applyFill="0" applyBorder="0" applyAlignment="0" applyProtection="0"/>
    <xf numFmtId="9" fontId="101"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5" fontId="91" fillId="61" borderId="0" applyNumberFormat="0" applyBorder="0" applyAlignment="0" applyProtection="0"/>
    <xf numFmtId="0" fontId="123" fillId="0" borderId="0">
      <alignment horizontal="right"/>
    </xf>
    <xf numFmtId="0" fontId="124" fillId="0" borderId="0">
      <alignment horizontal="right"/>
    </xf>
    <xf numFmtId="0" fontId="109" fillId="0" borderId="0"/>
    <xf numFmtId="0" fontId="125" fillId="0" borderId="0" applyNumberFormat="0" applyBorder="0" applyAlignment="0"/>
    <xf numFmtId="0" fontId="125" fillId="0" borderId="0" applyNumberFormat="0" applyBorder="0" applyAlignment="0"/>
    <xf numFmtId="0" fontId="82" fillId="0" borderId="0" applyNumberFormat="0" applyBorder="0" applyAlignment="0"/>
    <xf numFmtId="185" fontId="82" fillId="0" borderId="0" applyNumberFormat="0" applyBorder="0" applyAlignment="0"/>
    <xf numFmtId="0" fontId="109" fillId="0" borderId="0"/>
    <xf numFmtId="185" fontId="82" fillId="0" borderId="0" applyNumberFormat="0" applyBorder="0" applyAlignment="0"/>
    <xf numFmtId="0" fontId="126" fillId="0" borderId="0"/>
    <xf numFmtId="0" fontId="127" fillId="0" borderId="0" applyNumberFormat="0" applyBorder="0" applyAlignment="0"/>
    <xf numFmtId="0" fontId="127" fillId="0" borderId="0" applyNumberFormat="0" applyBorder="0" applyAlignment="0"/>
    <xf numFmtId="0" fontId="126" fillId="0" borderId="0"/>
    <xf numFmtId="0" fontId="128" fillId="0" borderId="0"/>
    <xf numFmtId="185" fontId="129" fillId="0" borderId="0"/>
    <xf numFmtId="0" fontId="130" fillId="0" borderId="0"/>
    <xf numFmtId="0" fontId="131" fillId="0" borderId="0" applyNumberFormat="0" applyBorder="0" applyAlignment="0"/>
    <xf numFmtId="0" fontId="131" fillId="0" borderId="0" applyNumberFormat="0" applyBorder="0" applyAlignment="0"/>
    <xf numFmtId="0" fontId="130" fillId="0" borderId="0"/>
    <xf numFmtId="0" fontId="132" fillId="0" borderId="0" applyNumberFormat="0" applyBorder="0" applyAlignment="0"/>
    <xf numFmtId="0" fontId="133" fillId="0" borderId="0"/>
    <xf numFmtId="185" fontId="134" fillId="0" borderId="0"/>
    <xf numFmtId="0" fontId="135" fillId="0" borderId="0"/>
    <xf numFmtId="0" fontId="131" fillId="67" borderId="0" applyNumberFormat="0" applyBorder="0" applyAlignment="0"/>
    <xf numFmtId="0" fontId="136" fillId="0" borderId="0"/>
    <xf numFmtId="0" fontId="137" fillId="0" borderId="0"/>
    <xf numFmtId="0" fontId="138" fillId="0" borderId="0"/>
    <xf numFmtId="0" fontId="137" fillId="68" borderId="0"/>
    <xf numFmtId="0" fontId="60" fillId="0" borderId="0" applyNumberFormat="0" applyFill="0" applyBorder="0" applyAlignment="0" applyProtection="0"/>
    <xf numFmtId="0" fontId="139" fillId="69" borderId="46" applyNumberFormat="0">
      <alignment horizontal="left"/>
    </xf>
    <xf numFmtId="0" fontId="60" fillId="0" borderId="0" applyNumberFormat="0" applyFill="0" applyBorder="0" applyAlignment="0" applyProtection="0"/>
    <xf numFmtId="0" fontId="60"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39" fillId="69" borderId="47">
      <alignment horizontal="left"/>
    </xf>
    <xf numFmtId="0" fontId="74" fillId="0" borderId="37" applyNumberFormat="0" applyFill="0" applyAlignment="0" applyProtection="0"/>
    <xf numFmtId="0" fontId="74" fillId="0" borderId="37" applyNumberFormat="0" applyFill="0" applyAlignment="0" applyProtection="0"/>
    <xf numFmtId="0" fontId="74" fillId="0" borderId="37" applyNumberFormat="0" applyFill="0" applyAlignment="0" applyProtection="0"/>
    <xf numFmtId="0" fontId="74" fillId="0" borderId="48" applyNumberFormat="0" applyFill="0" applyAlignment="0" applyProtection="0"/>
    <xf numFmtId="0" fontId="142" fillId="0" borderId="48"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3" fillId="0" borderId="0" applyNumberFormat="0" applyFill="0" applyBorder="0" applyAlignment="0" applyProtection="0"/>
    <xf numFmtId="185" fontId="23" fillId="70" borderId="0" applyNumberFormat="0" applyBorder="0" applyAlignment="0" applyProtection="0"/>
    <xf numFmtId="213" fontId="10" fillId="0" borderId="0" applyFont="0" applyFill="0" applyBorder="0" applyAlignment="0" applyProtection="0"/>
    <xf numFmtId="214" fontId="10" fillId="0" borderId="0" applyFont="0" applyFill="0" applyBorder="0" applyAlignment="0" applyProtection="0"/>
    <xf numFmtId="215" fontId="10" fillId="0" borderId="0" applyFont="0" applyFill="0" applyBorder="0" applyAlignment="0" applyProtection="0"/>
    <xf numFmtId="216" fontId="10" fillId="0" borderId="0" applyFont="0" applyFill="0" applyBorder="0" applyAlignment="0" applyProtection="0"/>
    <xf numFmtId="217" fontId="10" fillId="0" borderId="0" applyFont="0" applyFill="0" applyBorder="0" applyAlignment="0" applyProtection="0"/>
    <xf numFmtId="218" fontId="10" fillId="0" borderId="0" applyFont="0" applyFill="0" applyBorder="0" applyAlignment="0" applyProtection="0"/>
    <xf numFmtId="219" fontId="10" fillId="0" borderId="0" applyFont="0" applyFill="0" applyBorder="0" applyAlignment="0" applyProtection="0"/>
    <xf numFmtId="220" fontId="10" fillId="0" borderId="0" applyFont="0" applyFill="0" applyBorder="0" applyAlignment="0" applyProtection="0"/>
    <xf numFmtId="221" fontId="28" fillId="0" borderId="0" applyFont="0" applyFill="0" applyBorder="0" applyAlignment="0" applyProtection="0">
      <alignment horizontal="right"/>
    </xf>
    <xf numFmtId="3" fontId="22" fillId="0" borderId="0"/>
    <xf numFmtId="0" fontId="76" fillId="0" borderId="31" applyNumberFormat="0" applyFill="0" applyAlignment="0" applyProtection="0"/>
    <xf numFmtId="3" fontId="22" fillId="0" borderId="0"/>
    <xf numFmtId="3" fontId="22" fillId="0" borderId="0"/>
    <xf numFmtId="3" fontId="22" fillId="0" borderId="0"/>
    <xf numFmtId="3" fontId="22" fillId="0" borderId="0"/>
    <xf numFmtId="3" fontId="22" fillId="0" borderId="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2"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0" fontId="85"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8"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76" fillId="0" borderId="31" applyNumberFormat="0" applyFill="0" applyAlignment="0" applyProtection="0"/>
    <xf numFmtId="0" fontId="22"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22" fillId="63" borderId="45" applyNumberFormat="0" applyAlignment="0" applyProtection="0"/>
    <xf numFmtId="0" fontId="95" fillId="63" borderId="38" applyNumberFormat="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0" fontId="95" fillId="63" borderId="38" applyNumberFormat="0" applyAlignment="0" applyProtection="0"/>
    <xf numFmtId="43" fontId="22" fillId="0" borderId="0" applyFont="0" applyFill="0" applyBorder="0" applyAlignment="0" applyProtection="0"/>
    <xf numFmtId="0" fontId="8" fillId="66" borderId="44" applyNumberFormat="0" applyFont="0" applyAlignment="0" applyProtection="0"/>
    <xf numFmtId="9" fontId="22" fillId="0" borderId="0" applyFont="0" applyFill="0" applyBorder="0" applyAlignment="0" applyProtection="0"/>
    <xf numFmtId="0" fontId="142" fillId="0" borderId="48" applyNumberFormat="0" applyFill="0" applyAlignment="0" applyProtection="0"/>
    <xf numFmtId="43"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0" fontId="142" fillId="0" borderId="48"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0" fontId="95" fillId="63" borderId="38" applyNumberFormat="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18" fillId="48" borderId="38" applyNumberFormat="0" applyAlignment="0" applyProtection="0"/>
    <xf numFmtId="0" fontId="118" fillId="48" borderId="38" applyNumberFormat="0" applyAlignment="0" applyProtection="0"/>
    <xf numFmtId="0" fontId="118" fillId="48" borderId="38" applyNumberFormat="0" applyAlignment="0" applyProtection="0"/>
    <xf numFmtId="0" fontId="8" fillId="66" borderId="44" applyNumberFormat="0" applyFont="0" applyAlignment="0" applyProtection="0"/>
    <xf numFmtId="0" fontId="74" fillId="0" borderId="48" applyNumberFormat="0" applyFill="0" applyAlignment="0" applyProtection="0"/>
    <xf numFmtId="43"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44" fontId="22" fillId="0" borderId="0" applyFont="0" applyFill="0" applyBorder="0" applyAlignment="0" applyProtection="0"/>
    <xf numFmtId="0" fontId="74"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0" fontId="142" fillId="0" borderId="48" applyNumberFormat="0" applyFill="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0" fontId="95" fillId="63" borderId="38" applyNumberFormat="0" applyAlignment="0" applyProtection="0"/>
    <xf numFmtId="9" fontId="22" fillId="0" borderId="0" applyFont="0" applyFill="0" applyBorder="0" applyAlignment="0" applyProtection="0"/>
    <xf numFmtId="0" fontId="122" fillId="63" borderId="45" applyNumberFormat="0" applyAlignment="0" applyProtection="0"/>
    <xf numFmtId="0" fontId="74"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74" fillId="0" borderId="48" applyNumberFormat="0" applyFill="0" applyAlignment="0" applyProtection="0"/>
    <xf numFmtId="0" fontId="142"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18" fillId="48" borderId="38" applyNumberFormat="0" applyAlignment="0" applyProtection="0"/>
    <xf numFmtId="0" fontId="3" fillId="0" borderId="0"/>
    <xf numFmtId="43" fontId="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4" fillId="0" borderId="48" applyNumberFormat="0" applyFill="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42"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5" fillId="63" borderId="38" applyNumberFormat="0" applyAlignment="0" applyProtection="0"/>
    <xf numFmtId="0" fontId="142" fillId="0" borderId="48" applyNumberFormat="0" applyFill="0" applyAlignment="0" applyProtection="0"/>
    <xf numFmtId="0" fontId="142" fillId="0" borderId="48" applyNumberFormat="0" applyFill="0" applyAlignment="0" applyProtection="0"/>
    <xf numFmtId="0" fontId="95" fillId="63"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8" fillId="48"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0" fontId="95" fillId="63"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2"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8" fillId="48"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8" fillId="66" borderId="44"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4" fillId="0" borderId="48" applyNumberFormat="0" applyFill="0" applyAlignment="0" applyProtection="0"/>
    <xf numFmtId="0" fontId="122" fillId="63" borderId="45" applyNumberFormat="0" applyAlignment="0" applyProtection="0"/>
    <xf numFmtId="0" fontId="122" fillId="63" borderId="45" applyNumberFormat="0" applyAlignment="0" applyProtection="0"/>
    <xf numFmtId="0" fontId="142" fillId="0" borderId="48" applyNumberFormat="0" applyFill="0" applyAlignment="0" applyProtection="0"/>
    <xf numFmtId="0" fontId="74" fillId="0" borderId="48" applyNumberFormat="0" applyFill="0" applyAlignment="0" applyProtection="0"/>
    <xf numFmtId="0" fontId="122" fillId="63" borderId="45" applyNumberFormat="0" applyAlignment="0" applyProtection="0"/>
    <xf numFmtId="0" fontId="118" fillId="48" borderId="38" applyNumberFormat="0" applyAlignment="0" applyProtection="0"/>
    <xf numFmtId="0" fontId="118" fillId="48" borderId="38" applyNumberFormat="0" applyAlignment="0" applyProtection="0"/>
    <xf numFmtId="0" fontId="95" fillId="63" borderId="38" applyNumberFormat="0" applyAlignment="0" applyProtection="0"/>
    <xf numFmtId="0" fontId="122" fillId="63" borderId="45" applyNumberFormat="0" applyAlignment="0" applyProtection="0"/>
    <xf numFmtId="0" fontId="118" fillId="48" borderId="38" applyNumberFormat="0" applyAlignment="0" applyProtection="0"/>
    <xf numFmtId="0" fontId="95" fillId="63" borderId="38" applyNumberFormat="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39" fontId="144" fillId="0" borderId="0"/>
    <xf numFmtId="40" fontId="9" fillId="0" borderId="0" applyFont="0" applyFill="0" applyBorder="0" applyAlignment="0" applyProtection="0"/>
    <xf numFmtId="8" fontId="9" fillId="0" borderId="0" applyFont="0" applyFill="0" applyBorder="0" applyAlignment="0" applyProtection="0"/>
    <xf numFmtId="9" fontId="9" fillId="0" borderId="0" applyFont="0" applyFill="0" applyBorder="0" applyAlignment="0" applyProtection="0"/>
    <xf numFmtId="0" fontId="145" fillId="0" borderId="0"/>
    <xf numFmtId="44" fontId="145" fillId="0" borderId="0" applyFont="0" applyFill="0" applyBorder="0" applyAlignment="0" applyProtection="0"/>
    <xf numFmtId="43" fontId="145" fillId="0" borderId="0" applyFont="0" applyFill="0" applyBorder="0" applyAlignment="0" applyProtection="0"/>
    <xf numFmtId="43" fontId="3" fillId="0" borderId="0" applyFont="0" applyFill="0" applyBorder="0" applyAlignment="0" applyProtection="0"/>
    <xf numFmtId="3" fontId="45"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22" fontId="45" fillId="0" borderId="0" applyFont="0" applyFill="0" applyBorder="0" applyAlignment="0" applyProtection="0"/>
    <xf numFmtId="0" fontId="45" fillId="0" borderId="0" applyFont="0" applyFill="0" applyBorder="0" applyAlignment="0" applyProtection="0"/>
    <xf numFmtId="2" fontId="45" fillId="0" borderId="0" applyFont="0" applyFill="0" applyBorder="0" applyAlignment="0" applyProtection="0"/>
    <xf numFmtId="0" fontId="45" fillId="0" borderId="0"/>
    <xf numFmtId="0" fontId="22" fillId="0" borderId="0"/>
    <xf numFmtId="0" fontId="3" fillId="0" borderId="0"/>
    <xf numFmtId="10"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 fillId="0" borderId="0"/>
    <xf numFmtId="0" fontId="9"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xf numFmtId="43"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0" fontId="22" fillId="0" borderId="0"/>
    <xf numFmtId="9" fontId="22"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3" fillId="0" borderId="0"/>
    <xf numFmtId="43" fontId="3" fillId="0" borderId="0" applyFont="0" applyFill="0" applyBorder="0" applyAlignment="0" applyProtection="0"/>
    <xf numFmtId="44" fontId="145" fillId="0" borderId="0" applyFont="0" applyFill="0" applyBorder="0" applyAlignment="0" applyProtection="0"/>
    <xf numFmtId="9" fontId="145" fillId="0" borderId="0" applyFont="0" applyFill="0" applyBorder="0" applyAlignment="0" applyProtection="0"/>
    <xf numFmtId="43" fontId="3" fillId="0" borderId="0" applyFont="0" applyFill="0" applyBorder="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60" fillId="0" borderId="0" applyNumberFormat="0" applyFill="0" applyBorder="0" applyAlignment="0" applyProtection="0"/>
    <xf numFmtId="0" fontId="61" fillId="0" borderId="29" applyNumberFormat="0" applyFill="0" applyAlignment="0" applyProtection="0"/>
    <xf numFmtId="0" fontId="62" fillId="0" borderId="30" applyNumberFormat="0" applyFill="0" applyAlignment="0" applyProtection="0"/>
    <xf numFmtId="0" fontId="63" fillId="0" borderId="31" applyNumberFormat="0" applyFill="0" applyAlignment="0" applyProtection="0"/>
    <xf numFmtId="0" fontId="63" fillId="0" borderId="0" applyNumberFormat="0" applyFill="0" applyBorder="0" applyAlignment="0" applyProtection="0"/>
    <xf numFmtId="0" fontId="64" fillId="8" borderId="0" applyNumberFormat="0" applyBorder="0" applyAlignment="0" applyProtection="0"/>
    <xf numFmtId="0" fontId="65" fillId="9" borderId="0" applyNumberFormat="0" applyBorder="0" applyAlignment="0" applyProtection="0"/>
    <xf numFmtId="0" fontId="66" fillId="10" borderId="0" applyNumberFormat="0" applyBorder="0" applyAlignment="0" applyProtection="0"/>
    <xf numFmtId="0" fontId="67" fillId="11" borderId="32" applyNumberFormat="0" applyAlignment="0" applyProtection="0"/>
    <xf numFmtId="0" fontId="68" fillId="12" borderId="33" applyNumberFormat="0" applyAlignment="0" applyProtection="0"/>
    <xf numFmtId="0" fontId="69" fillId="12" borderId="32" applyNumberFormat="0" applyAlignment="0" applyProtection="0"/>
    <xf numFmtId="0" fontId="70" fillId="0" borderId="34" applyNumberFormat="0" applyFill="0" applyAlignment="0" applyProtection="0"/>
    <xf numFmtId="0" fontId="71" fillId="13" borderId="3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37" applyNumberFormat="0" applyFill="0" applyAlignment="0" applyProtection="0"/>
    <xf numFmtId="0" fontId="7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75" fillId="38"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8"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03" fillId="0" borderId="0" applyFont="0" applyFill="0" applyBorder="0" applyAlignment="0" applyProtection="0"/>
    <xf numFmtId="40" fontId="9" fillId="0" borderId="0" applyFont="0" applyFill="0" applyBorder="0" applyAlignment="0" applyProtection="0"/>
    <xf numFmtId="8" fontId="9" fillId="0" borderId="0" applyFont="0" applyFill="0" applyBorder="0" applyAlignment="0" applyProtection="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8" fillId="0" borderId="0"/>
    <xf numFmtId="9" fontId="28" fillId="0" borderId="0" applyFont="0" applyFill="0" applyBorder="0" applyAlignment="0" applyProtection="0"/>
    <xf numFmtId="0" fontId="36" fillId="0" borderId="0"/>
    <xf numFmtId="0" fontId="28" fillId="0" borderId="0"/>
    <xf numFmtId="0" fontId="36" fillId="0" borderId="0"/>
    <xf numFmtId="0" fontId="8" fillId="0" borderId="0"/>
    <xf numFmtId="0" fontId="149" fillId="0" borderId="0"/>
    <xf numFmtId="0" fontId="8" fillId="0" borderId="0"/>
    <xf numFmtId="9" fontId="36"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50" fillId="0" borderId="0"/>
    <xf numFmtId="43" fontId="36" fillId="0" borderId="0" applyFont="0" applyFill="0" applyBorder="0" applyAlignment="0" applyProtection="0"/>
    <xf numFmtId="44" fontId="36" fillId="0" borderId="0" applyFont="0" applyFill="0" applyBorder="0" applyAlignment="0" applyProtection="0"/>
    <xf numFmtId="9" fontId="2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8"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9" fontId="8"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2" fillId="0" borderId="0"/>
    <xf numFmtId="43" fontId="8" fillId="0" borderId="0" applyFont="0" applyFill="0" applyBorder="0" applyAlignment="0" applyProtection="0"/>
    <xf numFmtId="0" fontId="28" fillId="0" borderId="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3" fontId="8" fillId="71" borderId="0" applyFont="0" applyFill="0" applyBorder="0" applyAlignment="0" applyProtection="0"/>
    <xf numFmtId="5" fontId="8" fillId="71" borderId="0" applyFont="0" applyFill="0" applyBorder="0" applyAlignment="0" applyProtection="0"/>
    <xf numFmtId="0" fontId="8" fillId="71" borderId="0" applyFont="0" applyFill="0" applyBorder="0" applyAlignment="0" applyProtection="0"/>
    <xf numFmtId="2" fontId="8" fillId="71" borderId="0" applyFont="0" applyFill="0" applyBorder="0" applyAlignment="0" applyProtection="0"/>
    <xf numFmtId="41" fontId="151" fillId="3" borderId="53">
      <alignment horizontal="left"/>
      <protection locked="0"/>
    </xf>
    <xf numFmtId="0" fontId="28" fillId="0" borderId="0"/>
    <xf numFmtId="44" fontId="28"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43" fontId="9" fillId="0" borderId="0" applyFont="0" applyFill="0" applyBorder="0" applyAlignment="0" applyProtection="0"/>
    <xf numFmtId="0" fontId="22" fillId="0" borderId="0"/>
    <xf numFmtId="9" fontId="2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2" fillId="0" borderId="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9" fontId="28" fillId="0" borderId="0" applyFont="0" applyFill="0" applyBorder="0" applyAlignment="0" applyProtection="0"/>
    <xf numFmtId="0" fontId="9" fillId="0" borderId="0"/>
    <xf numFmtId="9" fontId="28" fillId="0" borderId="0" applyFont="0" applyFill="0" applyBorder="0" applyAlignment="0" applyProtection="0"/>
    <xf numFmtId="43" fontId="8" fillId="0" borderId="0" applyFont="0" applyFill="0" applyBorder="0" applyAlignment="0" applyProtection="0"/>
    <xf numFmtId="9" fontId="22" fillId="0" borderId="0" applyFont="0" applyFill="0" applyBorder="0" applyAlignment="0" applyProtection="0"/>
    <xf numFmtId="0" fontId="28" fillId="0" borderId="0"/>
    <xf numFmtId="9"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22" fillId="0" borderId="0"/>
    <xf numFmtId="43" fontId="28"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9" fillId="0" borderId="0" applyFont="0" applyFill="0" applyBorder="0" applyAlignment="0" applyProtection="0"/>
    <xf numFmtId="9" fontId="22"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8" fillId="0" borderId="0"/>
    <xf numFmtId="44" fontId="28" fillId="0" borderId="0" applyFont="0" applyFill="0" applyBorder="0" applyAlignment="0" applyProtection="0"/>
    <xf numFmtId="0" fontId="22" fillId="0" borderId="0"/>
    <xf numFmtId="9" fontId="9" fillId="0" borderId="0" applyFont="0" applyFill="0" applyBorder="0" applyAlignment="0" applyProtection="0"/>
    <xf numFmtId="0" fontId="9" fillId="0" borderId="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2" fillId="0" borderId="0"/>
    <xf numFmtId="0" fontId="22" fillId="0" borderId="0"/>
    <xf numFmtId="0" fontId="22" fillId="0" borderId="0"/>
    <xf numFmtId="0" fontId="2" fillId="0" borderId="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44" fontId="28" fillId="0" borderId="0" applyFont="0" applyFill="0" applyBorder="0" applyAlignment="0" applyProtection="0"/>
    <xf numFmtId="0" fontId="22" fillId="0" borderId="0"/>
    <xf numFmtId="9" fontId="22" fillId="0" borderId="0" applyFont="0" applyFill="0" applyBorder="0" applyAlignment="0" applyProtection="0"/>
    <xf numFmtId="9" fontId="9" fillId="0" borderId="0" applyFont="0" applyFill="0" applyBorder="0" applyAlignment="0" applyProtection="0"/>
    <xf numFmtId="0" fontId="2" fillId="0" borderId="0"/>
    <xf numFmtId="9" fontId="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9" fontId="28" fillId="0" borderId="0" applyFont="0" applyFill="0" applyBorder="0" applyAlignment="0" applyProtection="0"/>
    <xf numFmtId="0" fontId="22" fillId="0" borderId="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0" fontId="22" fillId="0" borderId="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9" fillId="0" borderId="0"/>
    <xf numFmtId="43" fontId="28" fillId="0" borderId="0" applyFont="0" applyFill="0" applyBorder="0" applyAlignment="0" applyProtection="0"/>
    <xf numFmtId="0" fontId="28" fillId="0" borderId="0"/>
    <xf numFmtId="43" fontId="9"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8" fillId="0" borderId="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0" fontId="22" fillId="0" borderId="0"/>
    <xf numFmtId="43"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8"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2" fillId="0" borderId="0"/>
    <xf numFmtId="9" fontId="22" fillId="0" borderId="0" applyFont="0" applyFill="0" applyBorder="0" applyAlignment="0" applyProtection="0"/>
    <xf numFmtId="43" fontId="8" fillId="0" borderId="0" applyFont="0" applyFill="0" applyBorder="0" applyAlignment="0" applyProtection="0"/>
    <xf numFmtId="0" fontId="28" fillId="0" borderId="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8" fillId="0" borderId="0"/>
    <xf numFmtId="9" fontId="8"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22"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0" fontId="22"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9" fillId="0" borderId="0"/>
    <xf numFmtId="43" fontId="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9" fillId="0" borderId="0" applyFont="0" applyFill="0" applyBorder="0" applyAlignment="0" applyProtection="0"/>
    <xf numFmtId="0" fontId="28" fillId="0" borderId="0"/>
    <xf numFmtId="0" fontId="2" fillId="24" borderId="0" applyNumberFormat="0" applyBorder="0" applyAlignment="0" applyProtection="0"/>
    <xf numFmtId="0" fontId="2" fillId="25" borderId="0" applyNumberFormat="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9" fontId="8" fillId="0" borderId="0" applyFont="0" applyFill="0" applyBorder="0" applyAlignment="0" applyProtection="0"/>
    <xf numFmtId="0" fontId="9" fillId="0" borderId="0"/>
    <xf numFmtId="0" fontId="2" fillId="32" borderId="0" applyNumberFormat="0" applyBorder="0" applyAlignment="0" applyProtection="0"/>
    <xf numFmtId="0" fontId="2" fillId="33" borderId="0" applyNumberFormat="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9" fontId="2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2"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9" fontId="9" fillId="0" borderId="0" applyFont="0" applyFill="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9" fontId="8"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9"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9" fillId="0" borderId="0"/>
    <xf numFmtId="0" fontId="22" fillId="0" borderId="0"/>
    <xf numFmtId="0" fontId="2" fillId="16" borderId="0" applyNumberFormat="0" applyBorder="0" applyAlignment="0" applyProtection="0"/>
    <xf numFmtId="0" fontId="2" fillId="17" borderId="0" applyNumberFormat="0" applyBorder="0" applyAlignment="0" applyProtection="0"/>
    <xf numFmtId="9" fontId="9"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43"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9" fillId="0" borderId="0"/>
    <xf numFmtId="0" fontId="28" fillId="0" borderId="0"/>
    <xf numFmtId="0" fontId="2" fillId="32" borderId="0" applyNumberFormat="0" applyBorder="0" applyAlignment="0" applyProtection="0"/>
    <xf numFmtId="0" fontId="2" fillId="33" borderId="0" applyNumberFormat="0" applyBorder="0" applyAlignment="0" applyProtection="0"/>
    <xf numFmtId="0" fontId="9" fillId="0" borderId="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0" fontId="2" fillId="16" borderId="0" applyNumberFormat="0" applyBorder="0" applyAlignment="0" applyProtection="0"/>
    <xf numFmtId="0" fontId="2" fillId="17" borderId="0" applyNumberFormat="0" applyBorder="0" applyAlignment="0" applyProtection="0"/>
    <xf numFmtId="43" fontId="9"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8" fillId="0" borderId="0"/>
    <xf numFmtId="0" fontId="2" fillId="24" borderId="0" applyNumberFormat="0" applyBorder="0" applyAlignment="0" applyProtection="0"/>
    <xf numFmtId="0" fontId="2" fillId="25" borderId="0" applyNumberFormat="0" applyBorder="0" applyAlignment="0" applyProtection="0"/>
    <xf numFmtId="0" fontId="9" fillId="0" borderId="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8" fillId="0" borderId="0" applyFont="0" applyFill="0" applyBorder="0" applyAlignment="0" applyProtection="0"/>
    <xf numFmtId="9" fontId="2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8" fillId="0" borderId="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9" fontId="9" fillId="0" borderId="0" applyFont="0" applyFill="0" applyBorder="0" applyAlignment="0" applyProtection="0"/>
    <xf numFmtId="9" fontId="2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2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2" fillId="0" borderId="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9" fillId="0" borderId="0"/>
    <xf numFmtId="44" fontId="28"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2" fillId="0" borderId="0"/>
    <xf numFmtId="44" fontId="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9" fillId="0" borderId="0"/>
    <xf numFmtId="43"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9" fillId="0" borderId="0" applyFont="0" applyFill="0" applyBorder="0" applyAlignment="0" applyProtection="0"/>
    <xf numFmtId="0" fontId="28" fillId="0" borderId="0"/>
    <xf numFmtId="0" fontId="2" fillId="32" borderId="0" applyNumberFormat="0" applyBorder="0" applyAlignment="0" applyProtection="0"/>
    <xf numFmtId="0" fontId="2" fillId="33" borderId="0" applyNumberFormat="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9" fontId="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9" fillId="0" borderId="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9" fontId="2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52" fillId="0" borderId="0"/>
    <xf numFmtId="44" fontId="8" fillId="0" borderId="0" applyFont="0" applyFill="0" applyBorder="0" applyAlignment="0" applyProtection="0"/>
    <xf numFmtId="0" fontId="2" fillId="33"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8" fillId="0" borderId="0">
      <alignment readingOrder="1"/>
    </xf>
    <xf numFmtId="43" fontId="8" fillId="0" borderId="0" applyFont="0" applyFill="0" applyBorder="0" applyAlignment="0" applyProtection="0"/>
    <xf numFmtId="43" fontId="8" fillId="0" borderId="0" applyFont="0" applyFill="0" applyBorder="0" applyAlignment="0" applyProtection="0"/>
    <xf numFmtId="3" fontId="22"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22" fillId="0" borderId="0"/>
    <xf numFmtId="3" fontId="2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0" fontId="2" fillId="21" borderId="0" applyNumberFormat="0" applyBorder="0" applyAlignment="0" applyProtection="0"/>
    <xf numFmtId="44" fontId="2"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82" fillId="0" borderId="0">
      <alignment vertical="top"/>
    </xf>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31"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31"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31"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31"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1" fillId="4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1"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31"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1" fillId="50"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31"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31"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1" fillId="49"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0" fontId="31" fillId="52" borderId="0" applyNumberFormat="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2" fillId="0" borderId="0" applyFont="0" applyFill="0" applyBorder="0" applyAlignment="0" applyProtection="0"/>
    <xf numFmtId="43" fontId="8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2" fillId="0" borderId="0" applyFont="0" applyFill="0" applyBorder="0" applyAlignment="0" applyProtection="0"/>
    <xf numFmtId="190" fontId="103"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182"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4" fontId="106" fillId="0" borderId="0" applyFont="0" applyFill="0" applyBorder="0" applyAlignment="0" applyProtection="0"/>
    <xf numFmtId="185" fontId="22" fillId="0" borderId="0"/>
    <xf numFmtId="185"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2" fillId="0" borderId="0"/>
    <xf numFmtId="185"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8"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1" fillId="0" borderId="0"/>
    <xf numFmtId="0" fontId="8" fillId="0" borderId="0"/>
    <xf numFmtId="185"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5" fontId="22" fillId="0" borderId="0"/>
    <xf numFmtId="185" fontId="22" fillId="0" borderId="0"/>
    <xf numFmtId="0" fontId="10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8"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185" fontId="22" fillId="0" borderId="0"/>
    <xf numFmtId="185" fontId="22" fillId="0" borderId="0"/>
    <xf numFmtId="185" fontId="22" fillId="0" borderId="0"/>
    <xf numFmtId="185" fontId="22"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3" fontId="22" fillId="0" borderId="0"/>
    <xf numFmtId="3" fontId="22" fillId="0" borderId="0"/>
    <xf numFmtId="3" fontId="22" fillId="0" borderId="0"/>
    <xf numFmtId="43" fontId="11" fillId="0" borderId="0" applyFont="0" applyFill="0" applyBorder="0" applyAlignment="0" applyProtection="0"/>
    <xf numFmtId="44" fontId="2"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1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145" fillId="0" borderId="0" applyFont="0" applyFill="0" applyBorder="0" applyAlignment="0" applyProtection="0"/>
    <xf numFmtId="43" fontId="145" fillId="0" borderId="0" applyFont="0" applyFill="0" applyBorder="0" applyAlignment="0" applyProtection="0"/>
    <xf numFmtId="43" fontId="2" fillId="0" borderId="0" applyFont="0" applyFill="0" applyBorder="0" applyAlignment="0" applyProtection="0"/>
    <xf numFmtId="3" fontId="45"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22" fontId="45" fillId="0" borderId="0" applyFont="0" applyFill="0" applyBorder="0" applyAlignment="0" applyProtection="0"/>
    <xf numFmtId="2" fontId="45" fillId="0" borderId="0" applyFont="0" applyFill="0" applyBorder="0" applyAlignment="0" applyProtection="0"/>
    <xf numFmtId="0" fontId="45" fillId="0" borderId="0"/>
    <xf numFmtId="0" fontId="22" fillId="0" borderId="0"/>
    <xf numFmtId="0" fontId="2" fillId="0" borderId="0"/>
    <xf numFmtId="10" fontId="45"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 fillId="36" borderId="0" applyNumberFormat="0" applyBorder="0" applyAlignment="0" applyProtection="0"/>
    <xf numFmtId="0" fontId="2" fillId="36"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4" borderId="36" applyNumberFormat="0" applyFont="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0" borderId="0"/>
    <xf numFmtId="0" fontId="2" fillId="0" borderId="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4" borderId="36" applyNumberFormat="0" applyFont="0" applyAlignment="0" applyProtection="0"/>
    <xf numFmtId="0" fontId="2" fillId="29" borderId="0" applyNumberFormat="0" applyBorder="0" applyAlignment="0" applyProtection="0"/>
    <xf numFmtId="43" fontId="2" fillId="0" borderId="0" applyFont="0" applyFill="0" applyBorder="0" applyAlignment="0" applyProtection="0"/>
    <xf numFmtId="0" fontId="2" fillId="37"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0" fontId="2" fillId="2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1"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25" borderId="0" applyNumberFormat="0" applyBorder="0" applyAlignment="0" applyProtection="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5" borderId="0" applyNumberFormat="0" applyBorder="0" applyAlignment="0" applyProtection="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7" borderId="0" applyNumberFormat="0" applyBorder="0" applyAlignment="0" applyProtection="0"/>
    <xf numFmtId="0" fontId="2" fillId="14" borderId="36" applyNumberFormat="0" applyFont="0" applyAlignment="0" applyProtection="0"/>
    <xf numFmtId="43" fontId="2" fillId="0" borderId="0" applyFont="0" applyFill="0" applyBorder="0" applyAlignment="0" applyProtection="0"/>
    <xf numFmtId="0" fontId="2" fillId="14" borderId="36" applyNumberFormat="0" applyFont="0" applyAlignment="0" applyProtection="0"/>
    <xf numFmtId="0" fontId="2" fillId="24"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0" borderId="0"/>
    <xf numFmtId="0" fontId="2" fillId="29"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0" applyNumberFormat="0" applyBorder="0" applyAlignment="0" applyProtection="0"/>
    <xf numFmtId="0" fontId="2" fillId="29"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21"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0" borderId="0"/>
    <xf numFmtId="0" fontId="2" fillId="36" borderId="0" applyNumberFormat="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14" borderId="36" applyNumberFormat="0" applyFont="0" applyAlignment="0" applyProtection="0"/>
    <xf numFmtId="43" fontId="2" fillId="0" borderId="0" applyFont="0" applyFill="0" applyBorder="0" applyAlignment="0" applyProtection="0"/>
    <xf numFmtId="0" fontId="2" fillId="32"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14" borderId="36" applyNumberFormat="0" applyFont="0" applyAlignment="0" applyProtection="0"/>
    <xf numFmtId="0" fontId="2" fillId="25"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5"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9" fontId="2" fillId="0" borderId="0" applyFont="0" applyFill="0" applyBorder="0" applyAlignment="0" applyProtection="0"/>
    <xf numFmtId="0" fontId="2" fillId="14" borderId="36" applyNumberFormat="0" applyFont="0" applyAlignment="0" applyProtection="0"/>
    <xf numFmtId="0" fontId="2" fillId="0" borderId="0"/>
    <xf numFmtId="0" fontId="2" fillId="36"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7" borderId="0" applyNumberFormat="0" applyBorder="0" applyAlignment="0" applyProtection="0"/>
    <xf numFmtId="0" fontId="2" fillId="0" borderId="0"/>
    <xf numFmtId="0" fontId="2" fillId="3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3" borderId="0" applyNumberFormat="0" applyBorder="0" applyAlignment="0" applyProtection="0"/>
    <xf numFmtId="0" fontId="2" fillId="20" borderId="0" applyNumberFormat="0" applyBorder="0" applyAlignment="0" applyProtection="0"/>
    <xf numFmtId="43" fontId="2" fillId="0" borderId="0" applyFont="0" applyFill="0" applyBorder="0" applyAlignment="0" applyProtection="0"/>
    <xf numFmtId="0" fontId="2" fillId="0" borderId="0"/>
    <xf numFmtId="0" fontId="2" fillId="21"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4"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0" borderId="0"/>
    <xf numFmtId="0" fontId="2" fillId="33"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14" borderId="36" applyNumberFormat="0" applyFont="0" applyAlignment="0" applyProtection="0"/>
    <xf numFmtId="0" fontId="2" fillId="32" borderId="0" applyNumberFormat="0" applyBorder="0" applyAlignment="0" applyProtection="0"/>
    <xf numFmtId="0" fontId="2" fillId="21"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0" borderId="0"/>
    <xf numFmtId="0" fontId="2" fillId="3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43" fontId="2" fillId="0" borderId="0" applyFont="0" applyFill="0" applyBorder="0" applyAlignment="0" applyProtection="0"/>
    <xf numFmtId="0" fontId="2" fillId="1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03" fillId="0" borderId="0" applyFont="0" applyFill="0" applyBorder="0" applyAlignment="0" applyProtection="0"/>
    <xf numFmtId="0" fontId="8" fillId="0" borderId="0"/>
    <xf numFmtId="0" fontId="8" fillId="0" borderId="0"/>
    <xf numFmtId="43" fontId="1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8" fillId="0" borderId="0" applyFont="0" applyFill="0" applyBorder="0" applyAlignment="0" applyProtection="0"/>
    <xf numFmtId="43" fontId="10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0" fontId="154" fillId="0" borderId="0" applyNumberFormat="0" applyFill="0" applyBorder="0" applyAlignment="0" applyProtection="0">
      <alignment vertical="top"/>
      <protection locked="0"/>
    </xf>
    <xf numFmtId="0" fontId="150" fillId="0" borderId="0"/>
    <xf numFmtId="0" fontId="8"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0"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8" fillId="0" borderId="0"/>
    <xf numFmtId="0" fontId="8" fillId="0" borderId="0"/>
    <xf numFmtId="43" fontId="103" fillId="0" borderId="0" applyFont="0" applyFill="0" applyBorder="0" applyAlignment="0" applyProtection="0"/>
    <xf numFmtId="0" fontId="8" fillId="0" borderId="0"/>
    <xf numFmtId="0" fontId="2" fillId="0" borderId="0"/>
    <xf numFmtId="0" fontId="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82" fillId="0" borderId="0"/>
    <xf numFmtId="0" fontId="82" fillId="0" borderId="0"/>
    <xf numFmtId="0" fontId="8" fillId="0" borderId="0"/>
    <xf numFmtId="0" fontId="8" fillId="0" borderId="0"/>
    <xf numFmtId="0" fontId="82" fillId="0" borderId="0"/>
    <xf numFmtId="0" fontId="8"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150"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8"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224" fontId="148" fillId="40" borderId="0" applyBorder="0">
      <alignment horizontal="right"/>
    </xf>
    <xf numFmtId="0" fontId="155" fillId="72" borderId="0" applyBorder="0"/>
    <xf numFmtId="9" fontId="153" fillId="0" borderId="0" applyFont="0" applyFill="0" applyBorder="0" applyAlignment="0" applyProtection="0"/>
    <xf numFmtId="9" fontId="1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0"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82" fillId="0" borderId="0" applyFont="0" applyFill="0" applyBorder="0" applyAlignment="0" applyProtection="0"/>
    <xf numFmtId="0" fontId="1" fillId="0" borderId="0"/>
    <xf numFmtId="0" fontId="22" fillId="0" borderId="0"/>
    <xf numFmtId="0" fontId="1" fillId="0" borderId="0"/>
    <xf numFmtId="0" fontId="1" fillId="0" borderId="0"/>
    <xf numFmtId="0" fontId="1" fillId="0" borderId="0"/>
    <xf numFmtId="0" fontId="31" fillId="0" borderId="0"/>
    <xf numFmtId="0" fontId="1" fillId="0" borderId="0"/>
    <xf numFmtId="0" fontId="31" fillId="0" borderId="0"/>
    <xf numFmtId="0" fontId="31" fillId="0" borderId="0"/>
    <xf numFmtId="0" fontId="1" fillId="0" borderId="0"/>
    <xf numFmtId="43" fontId="1" fillId="0" borderId="0" applyFont="0" applyFill="0" applyBorder="0" applyAlignment="0" applyProtection="0"/>
    <xf numFmtId="44" fontId="160" fillId="0" borderId="0" applyFont="0" applyFill="0" applyBorder="0" applyAlignment="0" applyProtection="0"/>
  </cellStyleXfs>
  <cellXfs count="591">
    <xf numFmtId="0" fontId="0" fillId="0" borderId="0" xfId="0"/>
    <xf numFmtId="0" fontId="10" fillId="0" borderId="0" xfId="0" applyFont="1"/>
    <xf numFmtId="0" fontId="14" fillId="0" borderId="0" xfId="2" applyNumberFormat="1" applyFont="1" applyAlignment="1">
      <alignment horizontal="left"/>
    </xf>
    <xf numFmtId="0" fontId="14" fillId="0" borderId="0" xfId="2" applyFont="1"/>
    <xf numFmtId="3" fontId="15" fillId="0" borderId="0" xfId="2" applyNumberFormat="1" applyFont="1"/>
    <xf numFmtId="0" fontId="15" fillId="0" borderId="0" xfId="2" applyNumberFormat="1" applyFont="1" applyAlignment="1">
      <alignment horizontal="center"/>
    </xf>
    <xf numFmtId="0" fontId="15" fillId="0" borderId="0" xfId="2" applyFont="1" applyAlignment="1">
      <alignment horizontal="center"/>
    </xf>
    <xf numFmtId="3" fontId="15" fillId="0" borderId="0" xfId="2" applyNumberFormat="1" applyFont="1" applyAlignment="1">
      <alignment horizontal="center"/>
    </xf>
    <xf numFmtId="0" fontId="15" fillId="0" borderId="1" xfId="2" applyNumberFormat="1" applyFont="1" applyBorder="1" applyAlignment="1">
      <alignment horizontal="center"/>
    </xf>
    <xf numFmtId="0" fontId="15" fillId="0" borderId="2" xfId="2" applyFont="1" applyBorder="1" applyAlignment="1">
      <alignment horizontal="center"/>
    </xf>
    <xf numFmtId="0" fontId="15" fillId="0" borderId="3" xfId="2" applyFont="1" applyBorder="1" applyAlignment="1">
      <alignment horizontal="center"/>
    </xf>
    <xf numFmtId="0" fontId="14" fillId="0" borderId="4" xfId="2" applyFont="1" applyBorder="1"/>
    <xf numFmtId="0" fontId="15" fillId="0" borderId="5" xfId="2" applyNumberFormat="1" applyFont="1" applyBorder="1" applyAlignment="1">
      <alignment horizontal="center"/>
    </xf>
    <xf numFmtId="0" fontId="15" fillId="0" borderId="6" xfId="2" applyFont="1" applyBorder="1" applyAlignment="1">
      <alignment horizontal="center"/>
    </xf>
    <xf numFmtId="0" fontId="15" fillId="0" borderId="0" xfId="2" applyFont="1" applyBorder="1" applyAlignment="1">
      <alignment horizontal="center"/>
    </xf>
    <xf numFmtId="0" fontId="14" fillId="0" borderId="7" xfId="2" applyFont="1" applyBorder="1"/>
    <xf numFmtId="3" fontId="15" fillId="0" borderId="5" xfId="2" applyNumberFormat="1" applyFont="1" applyBorder="1" applyAlignment="1">
      <alignment horizontal="center"/>
    </xf>
    <xf numFmtId="0" fontId="15" fillId="0" borderId="8" xfId="2" applyNumberFormat="1" applyFont="1" applyBorder="1" applyAlignment="1">
      <alignment horizontal="center"/>
    </xf>
    <xf numFmtId="0" fontId="15" fillId="0" borderId="9" xfId="2" applyFont="1" applyBorder="1" applyAlignment="1">
      <alignment horizontal="center"/>
    </xf>
    <xf numFmtId="0" fontId="15" fillId="0" borderId="10" xfId="2" applyFont="1" applyBorder="1" applyAlignment="1">
      <alignment horizontal="center"/>
    </xf>
    <xf numFmtId="0" fontId="15" fillId="0" borderId="11" xfId="2" applyFont="1" applyBorder="1" applyAlignment="1">
      <alignment horizontal="center"/>
    </xf>
    <xf numFmtId="3" fontId="15" fillId="0" borderId="8" xfId="2" applyNumberFormat="1" applyFont="1" applyBorder="1" applyAlignment="1">
      <alignment horizontal="center"/>
    </xf>
    <xf numFmtId="0" fontId="14" fillId="0" borderId="0" xfId="2" applyNumberFormat="1" applyFont="1" applyAlignment="1">
      <alignment horizontal="center"/>
    </xf>
    <xf numFmtId="5" fontId="14" fillId="0" borderId="0" xfId="2" applyNumberFormat="1" applyFont="1"/>
    <xf numFmtId="37" fontId="14" fillId="0" borderId="0" xfId="2" applyNumberFormat="1" applyFont="1"/>
    <xf numFmtId="0" fontId="14" fillId="0" borderId="0" xfId="2" applyNumberFormat="1" applyFont="1" applyBorder="1" applyAlignment="1">
      <alignment horizontal="center"/>
    </xf>
    <xf numFmtId="37" fontId="14" fillId="0" borderId="0" xfId="2" applyNumberFormat="1" applyFont="1" applyBorder="1"/>
    <xf numFmtId="0" fontId="14" fillId="0" borderId="0" xfId="2" applyFont="1" applyBorder="1"/>
    <xf numFmtId="0" fontId="14" fillId="0" borderId="0" xfId="2" applyFont="1" applyFill="1"/>
    <xf numFmtId="3" fontId="15" fillId="0" borderId="0" xfId="2" applyNumberFormat="1" applyFont="1" applyFill="1"/>
    <xf numFmtId="0" fontId="14" fillId="0" borderId="0" xfId="2" applyNumberFormat="1" applyFont="1" applyFill="1" applyAlignment="1">
      <alignment horizontal="center"/>
    </xf>
    <xf numFmtId="0" fontId="14" fillId="0" borderId="0" xfId="1" applyFont="1" applyFill="1" applyAlignment="1">
      <alignment horizontal="right"/>
    </xf>
    <xf numFmtId="41" fontId="15" fillId="0" borderId="0" xfId="2" applyNumberFormat="1" applyFont="1"/>
    <xf numFmtId="41" fontId="15" fillId="0" borderId="10" xfId="2" applyNumberFormat="1" applyFont="1" applyBorder="1"/>
    <xf numFmtId="41" fontId="15" fillId="0" borderId="13" xfId="2" applyNumberFormat="1" applyFont="1" applyBorder="1"/>
    <xf numFmtId="41" fontId="15" fillId="0" borderId="0" xfId="2" applyNumberFormat="1" applyFont="1" applyBorder="1"/>
    <xf numFmtId="42" fontId="15" fillId="0" borderId="0" xfId="2" applyNumberFormat="1" applyFont="1"/>
    <xf numFmtId="5" fontId="15" fillId="0" borderId="0" xfId="2" applyNumberFormat="1" applyFont="1"/>
    <xf numFmtId="42" fontId="15" fillId="0" borderId="12" xfId="2" applyNumberFormat="1" applyFont="1" applyBorder="1"/>
    <xf numFmtId="1" fontId="15" fillId="0" borderId="1" xfId="2" applyNumberFormat="1" applyFont="1" applyBorder="1" applyAlignment="1">
      <alignment horizontal="center"/>
    </xf>
    <xf numFmtId="0" fontId="0" fillId="0" borderId="0" xfId="0" applyAlignment="1">
      <alignment horizontal="center"/>
    </xf>
    <xf numFmtId="0" fontId="8" fillId="0" borderId="0" xfId="0" applyFont="1" applyAlignment="1">
      <alignment horizontal="center"/>
    </xf>
    <xf numFmtId="0" fontId="0" fillId="0" borderId="0" xfId="0" applyAlignment="1">
      <alignment horizontal="centerContinuous"/>
    </xf>
    <xf numFmtId="0" fontId="17" fillId="0" borderId="0" xfId="0" applyFont="1" applyAlignment="1">
      <alignment horizontal="center"/>
    </xf>
    <xf numFmtId="3" fontId="0" fillId="0" borderId="0" xfId="0" applyNumberFormat="1"/>
    <xf numFmtId="3" fontId="0" fillId="0" borderId="10" xfId="0" applyNumberFormat="1" applyBorder="1"/>
    <xf numFmtId="3" fontId="0" fillId="0" borderId="13" xfId="0" applyNumberFormat="1" applyBorder="1"/>
    <xf numFmtId="0" fontId="0" fillId="0" borderId="6" xfId="0" applyBorder="1"/>
    <xf numFmtId="0" fontId="17" fillId="0" borderId="6" xfId="0" quotePrefix="1" applyFont="1" applyBorder="1" applyAlignment="1">
      <alignment horizontal="centerContinuous"/>
    </xf>
    <xf numFmtId="0" fontId="0" fillId="0" borderId="6" xfId="0" applyBorder="1" applyAlignment="1">
      <alignment horizontal="center"/>
    </xf>
    <xf numFmtId="0" fontId="8" fillId="0" borderId="6" xfId="0" applyFont="1" applyBorder="1" applyAlignment="1">
      <alignment horizontal="center"/>
    </xf>
    <xf numFmtId="0" fontId="17" fillId="0" borderId="6" xfId="0" applyFont="1" applyBorder="1" applyAlignment="1">
      <alignment horizontal="center"/>
    </xf>
    <xf numFmtId="3" fontId="0" fillId="0" borderId="6" xfId="0" applyNumberFormat="1" applyBorder="1"/>
    <xf numFmtId="3" fontId="0" fillId="0" borderId="9" xfId="0" applyNumberFormat="1" applyBorder="1"/>
    <xf numFmtId="3" fontId="0" fillId="0" borderId="14" xfId="0" applyNumberFormat="1" applyBorder="1"/>
    <xf numFmtId="0" fontId="0" fillId="0" borderId="7" xfId="0" applyBorder="1"/>
    <xf numFmtId="0" fontId="0" fillId="0" borderId="7" xfId="0" applyBorder="1" applyAlignment="1">
      <alignment horizontal="centerContinuous"/>
    </xf>
    <xf numFmtId="0" fontId="8" fillId="0" borderId="7" xfId="0" applyFont="1" applyBorder="1" applyAlignment="1">
      <alignment horizontal="center"/>
    </xf>
    <xf numFmtId="0" fontId="17" fillId="0" borderId="7" xfId="0" applyFont="1" applyBorder="1" applyAlignment="1">
      <alignment horizontal="center"/>
    </xf>
    <xf numFmtId="3" fontId="0" fillId="0" borderId="7" xfId="0" applyNumberFormat="1" applyBorder="1"/>
    <xf numFmtId="3" fontId="0" fillId="0" borderId="11" xfId="0" applyNumberFormat="1" applyBorder="1"/>
    <xf numFmtId="3" fontId="0" fillId="0" borderId="15" xfId="0" applyNumberFormat="1" applyBorder="1"/>
    <xf numFmtId="3" fontId="15" fillId="0" borderId="10" xfId="2" applyNumberFormat="1" applyFont="1" applyBorder="1"/>
    <xf numFmtId="3" fontId="15" fillId="0" borderId="16" xfId="2" applyNumberFormat="1" applyFont="1" applyFill="1" applyBorder="1"/>
    <xf numFmtId="3" fontId="15" fillId="0" borderId="16" xfId="2" applyNumberFormat="1" applyFont="1" applyBorder="1"/>
    <xf numFmtId="0" fontId="17" fillId="0" borderId="6" xfId="0" applyFont="1" applyBorder="1" applyAlignment="1">
      <alignment horizontal="centerContinuous"/>
    </xf>
    <xf numFmtId="0" fontId="15" fillId="0" borderId="0" xfId="2" applyFont="1" applyFill="1"/>
    <xf numFmtId="0" fontId="15" fillId="0" borderId="0" xfId="2" applyFont="1"/>
    <xf numFmtId="0" fontId="18" fillId="0" borderId="0" xfId="0" applyFont="1"/>
    <xf numFmtId="0" fontId="17" fillId="0" borderId="0" xfId="0" applyFont="1"/>
    <xf numFmtId="0" fontId="8" fillId="0" borderId="0" xfId="0" applyFont="1"/>
    <xf numFmtId="10" fontId="0" fillId="0" borderId="0" xfId="0" applyNumberFormat="1"/>
    <xf numFmtId="0" fontId="19" fillId="0" borderId="10" xfId="0" applyFont="1" applyBorder="1"/>
    <xf numFmtId="0" fontId="14" fillId="0" borderId="10" xfId="2" applyFont="1" applyBorder="1"/>
    <xf numFmtId="0" fontId="20" fillId="0" borderId="0" xfId="2" applyNumberFormat="1" applyFont="1" applyAlignment="1">
      <alignment horizontal="center"/>
    </xf>
    <xf numFmtId="0" fontId="14" fillId="0" borderId="0" xfId="2" applyFont="1" applyBorder="1" applyAlignment="1">
      <alignment horizontal="center"/>
    </xf>
    <xf numFmtId="0" fontId="14" fillId="0" borderId="0" xfId="2" applyFont="1" applyAlignment="1">
      <alignment horizontal="center"/>
    </xf>
    <xf numFmtId="42" fontId="14" fillId="0" borderId="0" xfId="2" applyNumberFormat="1" applyFont="1"/>
    <xf numFmtId="41" fontId="14" fillId="0" borderId="0" xfId="2" applyNumberFormat="1" applyFont="1"/>
    <xf numFmtId="41" fontId="14" fillId="0" borderId="10" xfId="2" applyNumberFormat="1" applyFont="1" applyBorder="1"/>
    <xf numFmtId="42" fontId="14" fillId="0" borderId="12" xfId="2" applyNumberFormat="1" applyFont="1" applyBorder="1"/>
    <xf numFmtId="41" fontId="14" fillId="0" borderId="13" xfId="2" applyNumberFormat="1" applyFont="1" applyBorder="1"/>
    <xf numFmtId="41" fontId="14" fillId="0" borderId="0" xfId="2" applyNumberFormat="1" applyFont="1" applyBorder="1"/>
    <xf numFmtId="3" fontId="14" fillId="0" borderId="0" xfId="2" applyNumberFormat="1" applyFont="1" applyFill="1"/>
    <xf numFmtId="10" fontId="14" fillId="0" borderId="0" xfId="2" applyNumberFormat="1" applyFont="1"/>
    <xf numFmtId="0" fontId="0" fillId="0" borderId="10" xfId="0" applyBorder="1" applyAlignment="1">
      <alignment horizontal="center"/>
    </xf>
    <xf numFmtId="0" fontId="8" fillId="0" borderId="10" xfId="0" applyFont="1" applyBorder="1"/>
    <xf numFmtId="0" fontId="0" fillId="0" borderId="10" xfId="0" applyBorder="1"/>
    <xf numFmtId="0" fontId="10" fillId="0" borderId="0" xfId="2" applyFont="1" applyAlignment="1">
      <alignment horizontal="right"/>
    </xf>
    <xf numFmtId="0" fontId="14" fillId="0" borderId="2" xfId="2" applyFont="1" applyBorder="1"/>
    <xf numFmtId="0" fontId="14" fillId="0" borderId="3" xfId="2" applyFont="1" applyBorder="1"/>
    <xf numFmtId="3" fontId="15" fillId="0" borderId="3" xfId="2" applyNumberFormat="1" applyFont="1" applyBorder="1"/>
    <xf numFmtId="0" fontId="14" fillId="0" borderId="6" xfId="2" applyFont="1" applyBorder="1"/>
    <xf numFmtId="3" fontId="15" fillId="0" borderId="0" xfId="2" applyNumberFormat="1" applyFont="1" applyBorder="1"/>
    <xf numFmtId="0" fontId="15" fillId="0" borderId="9" xfId="2" applyFont="1" applyBorder="1"/>
    <xf numFmtId="0" fontId="20" fillId="0" borderId="0" xfId="2" applyNumberFormat="1" applyFont="1" applyBorder="1" applyAlignment="1">
      <alignment horizontal="center"/>
    </xf>
    <xf numFmtId="0" fontId="20" fillId="0" borderId="0" xfId="2" applyFont="1" applyBorder="1" applyAlignment="1">
      <alignment horizontal="center"/>
    </xf>
    <xf numFmtId="10" fontId="0" fillId="0" borderId="0" xfId="0" applyNumberFormat="1" applyFill="1"/>
    <xf numFmtId="0" fontId="22" fillId="0" borderId="0" xfId="15"/>
    <xf numFmtId="0" fontId="22" fillId="0" borderId="10" xfId="15" applyBorder="1" applyAlignment="1">
      <alignment horizontal="center"/>
    </xf>
    <xf numFmtId="167" fontId="0" fillId="0" borderId="0" xfId="0" applyNumberFormat="1"/>
    <xf numFmtId="167" fontId="0" fillId="0" borderId="0" xfId="14" applyNumberFormat="1" applyFont="1"/>
    <xf numFmtId="167" fontId="8" fillId="0" borderId="0" xfId="14" applyNumberFormat="1" applyFont="1"/>
    <xf numFmtId="3" fontId="10" fillId="0" borderId="0" xfId="0" applyNumberFormat="1" applyFont="1" applyFill="1" applyAlignment="1">
      <alignment horizontal="center"/>
    </xf>
    <xf numFmtId="3" fontId="10" fillId="0" borderId="0" xfId="0" applyNumberFormat="1" applyFont="1" applyFill="1"/>
    <xf numFmtId="5" fontId="10" fillId="0" borderId="0" xfId="0" applyNumberFormat="1" applyFont="1" applyFill="1" applyBorder="1"/>
    <xf numFmtId="0" fontId="23" fillId="0" borderId="0" xfId="0" applyFont="1"/>
    <xf numFmtId="0" fontId="8" fillId="0" borderId="0" xfId="0" applyFont="1" applyAlignment="1">
      <alignment horizontal="right"/>
    </xf>
    <xf numFmtId="167" fontId="8" fillId="0" borderId="0" xfId="14" applyNumberFormat="1" applyFont="1" applyBorder="1"/>
    <xf numFmtId="167" fontId="0" fillId="0" borderId="3" xfId="14" applyNumberFormat="1" applyFont="1" applyBorder="1"/>
    <xf numFmtId="167" fontId="0" fillId="0" borderId="3" xfId="0" applyNumberFormat="1" applyBorder="1"/>
    <xf numFmtId="42" fontId="10" fillId="0" borderId="0" xfId="0" applyNumberFormat="1" applyFont="1" applyFill="1" applyBorder="1"/>
    <xf numFmtId="0" fontId="0" fillId="0" borderId="0" xfId="0" applyBorder="1"/>
    <xf numFmtId="0" fontId="0" fillId="0" borderId="0" xfId="0" applyBorder="1" applyAlignment="1">
      <alignment horizontal="centerContinuous"/>
    </xf>
    <xf numFmtId="0" fontId="8" fillId="0" borderId="0" xfId="0" applyFont="1" applyBorder="1" applyAlignment="1">
      <alignment horizontal="center"/>
    </xf>
    <xf numFmtId="0" fontId="17" fillId="0" borderId="0" xfId="0" applyFont="1" applyBorder="1" applyAlignment="1">
      <alignment horizontal="center"/>
    </xf>
    <xf numFmtId="3" fontId="0" fillId="0" borderId="0" xfId="0" applyNumberFormat="1" applyBorder="1"/>
    <xf numFmtId="3" fontId="0" fillId="0" borderId="3" xfId="0" applyNumberFormat="1" applyBorder="1"/>
    <xf numFmtId="3" fontId="0" fillId="0" borderId="4" xfId="0" applyNumberFormat="1" applyBorder="1"/>
    <xf numFmtId="0" fontId="17" fillId="0" borderId="0" xfId="0" applyFont="1" applyBorder="1" applyAlignment="1">
      <alignment horizontal="centerContinuous"/>
    </xf>
    <xf numFmtId="0" fontId="0" fillId="0" borderId="0" xfId="0" applyBorder="1" applyAlignment="1">
      <alignment horizontal="center"/>
    </xf>
    <xf numFmtId="0" fontId="17" fillId="0" borderId="0" xfId="0" quotePrefix="1" applyFont="1" applyBorder="1" applyAlignment="1">
      <alignment horizontal="centerContinuous"/>
    </xf>
    <xf numFmtId="41" fontId="0" fillId="0" borderId="0" xfId="0" applyNumberFormat="1"/>
    <xf numFmtId="10" fontId="14" fillId="0" borderId="0" xfId="16" applyNumberFormat="1" applyFont="1"/>
    <xf numFmtId="3" fontId="0" fillId="0" borderId="0" xfId="0" applyNumberFormat="1" applyFill="1"/>
    <xf numFmtId="165" fontId="0" fillId="0" borderId="0" xfId="0" applyNumberFormat="1" applyFill="1"/>
    <xf numFmtId="10" fontId="0" fillId="0" borderId="10" xfId="0" applyNumberFormat="1" applyFill="1" applyBorder="1"/>
    <xf numFmtId="10" fontId="0" fillId="0" borderId="0" xfId="0" applyNumberFormat="1" applyFill="1" applyBorder="1"/>
    <xf numFmtId="0" fontId="0" fillId="0" borderId="0" xfId="0" applyFill="1"/>
    <xf numFmtId="0" fontId="0" fillId="0" borderId="10" xfId="0" applyFill="1" applyBorder="1"/>
    <xf numFmtId="0" fontId="0" fillId="0" borderId="0" xfId="0" applyFill="1" applyAlignment="1">
      <alignment horizontal="center"/>
    </xf>
    <xf numFmtId="0" fontId="17" fillId="0" borderId="0" xfId="0" applyFont="1" applyFill="1" applyAlignment="1">
      <alignment horizontal="center"/>
    </xf>
    <xf numFmtId="3" fontId="0" fillId="0" borderId="10" xfId="0" applyNumberFormat="1" applyFill="1" applyBorder="1"/>
    <xf numFmtId="165" fontId="0" fillId="0" borderId="0" xfId="0" applyNumberFormat="1" applyFill="1" applyBorder="1"/>
    <xf numFmtId="10" fontId="0" fillId="0" borderId="0" xfId="0" applyNumberFormat="1" applyBorder="1"/>
    <xf numFmtId="10" fontId="14" fillId="0" borderId="0" xfId="2" applyNumberFormat="1" applyFont="1" applyBorder="1"/>
    <xf numFmtId="3" fontId="14" fillId="0" borderId="3" xfId="2" applyNumberFormat="1" applyFont="1" applyBorder="1" applyAlignment="1">
      <alignment horizontal="center"/>
    </xf>
    <xf numFmtId="0" fontId="14" fillId="0" borderId="3" xfId="2" applyFont="1" applyBorder="1" applyAlignment="1">
      <alignment horizontal="center"/>
    </xf>
    <xf numFmtId="41" fontId="14" fillId="0" borderId="3" xfId="2" applyNumberFormat="1" applyFont="1" applyBorder="1"/>
    <xf numFmtId="42" fontId="14" fillId="0" borderId="13" xfId="2" applyNumberFormat="1" applyFont="1" applyBorder="1"/>
    <xf numFmtId="42" fontId="14" fillId="0" borderId="3" xfId="2" applyNumberFormat="1" applyFont="1" applyBorder="1"/>
    <xf numFmtId="42" fontId="14" fillId="0" borderId="16" xfId="2" applyNumberFormat="1" applyFont="1" applyBorder="1"/>
    <xf numFmtId="42" fontId="14" fillId="0" borderId="0" xfId="2" applyNumberFormat="1" applyFont="1" applyFill="1"/>
    <xf numFmtId="41" fontId="14" fillId="0" borderId="0" xfId="2" applyNumberFormat="1" applyFont="1" applyFill="1"/>
    <xf numFmtId="42" fontId="14" fillId="0" borderId="12" xfId="2" applyNumberFormat="1" applyFont="1" applyFill="1" applyBorder="1"/>
    <xf numFmtId="164" fontId="0" fillId="0" borderId="0" xfId="0" applyNumberFormat="1" applyFill="1"/>
    <xf numFmtId="42" fontId="14" fillId="0" borderId="0" xfId="2" applyNumberFormat="1" applyFont="1" applyBorder="1"/>
    <xf numFmtId="41" fontId="14" fillId="0" borderId="10" xfId="2" applyNumberFormat="1" applyFont="1" applyFill="1" applyBorder="1"/>
    <xf numFmtId="42" fontId="14" fillId="0" borderId="0" xfId="2" applyNumberFormat="1" applyFont="1" applyFill="1" applyBorder="1"/>
    <xf numFmtId="10" fontId="14" fillId="0" borderId="0" xfId="16" applyNumberFormat="1" applyFont="1" applyBorder="1"/>
    <xf numFmtId="0" fontId="15" fillId="0" borderId="0" xfId="2" applyNumberFormat="1" applyFont="1" applyFill="1" applyAlignment="1">
      <alignment horizontal="center"/>
    </xf>
    <xf numFmtId="0" fontId="0" fillId="0" borderId="0" xfId="0" applyFill="1" applyBorder="1"/>
    <xf numFmtId="0" fontId="7" fillId="0" borderId="0" xfId="17"/>
    <xf numFmtId="0" fontId="19" fillId="0" borderId="21" xfId="17" applyFont="1" applyFill="1" applyBorder="1" applyAlignment="1">
      <alignment horizontal="left"/>
    </xf>
    <xf numFmtId="0" fontId="19" fillId="0" borderId="22" xfId="17" applyFont="1" applyFill="1" applyBorder="1" applyAlignment="1">
      <alignment horizontal="center"/>
    </xf>
    <xf numFmtId="0" fontId="19" fillId="0" borderId="23" xfId="17" applyFont="1" applyFill="1" applyBorder="1" applyAlignment="1">
      <alignment horizontal="center"/>
    </xf>
    <xf numFmtId="0" fontId="28" fillId="0" borderId="0" xfId="0" applyFont="1"/>
    <xf numFmtId="37" fontId="28" fillId="0" borderId="24" xfId="1" applyNumberFormat="1" applyFont="1" applyFill="1" applyBorder="1"/>
    <xf numFmtId="37" fontId="28" fillId="0" borderId="0" xfId="1" applyNumberFormat="1" applyFont="1" applyFill="1" applyBorder="1"/>
    <xf numFmtId="0" fontId="19" fillId="0" borderId="0" xfId="17" applyFont="1" applyFill="1" applyBorder="1" applyAlignment="1">
      <alignment horizontal="center"/>
    </xf>
    <xf numFmtId="37" fontId="30" fillId="0" borderId="0" xfId="1" applyNumberFormat="1" applyFont="1" applyFill="1" applyBorder="1"/>
    <xf numFmtId="37" fontId="28" fillId="0" borderId="25" xfId="1" applyNumberFormat="1" applyFont="1" applyFill="1" applyBorder="1"/>
    <xf numFmtId="0" fontId="19" fillId="0" borderId="0" xfId="0" applyFont="1" applyAlignment="1">
      <alignment horizontal="center"/>
    </xf>
    <xf numFmtId="0" fontId="28" fillId="0" borderId="0" xfId="17" applyFont="1" applyFill="1" applyBorder="1"/>
    <xf numFmtId="0" fontId="19" fillId="0" borderId="10" xfId="0" applyFont="1" applyBorder="1" applyAlignment="1">
      <alignment horizontal="center"/>
    </xf>
    <xf numFmtId="0" fontId="19" fillId="0" borderId="0" xfId="0" applyFont="1" applyBorder="1" applyAlignment="1">
      <alignment horizontal="center"/>
    </xf>
    <xf numFmtId="0" fontId="19" fillId="0" borderId="10" xfId="17" applyFont="1" applyFill="1" applyBorder="1" applyAlignment="1">
      <alignment horizontal="center"/>
    </xf>
    <xf numFmtId="0" fontId="28" fillId="0" borderId="25" xfId="17" applyFont="1" applyFill="1" applyBorder="1"/>
    <xf numFmtId="0" fontId="28" fillId="0" borderId="0" xfId="0" applyFont="1" applyAlignment="1">
      <alignment horizontal="center"/>
    </xf>
    <xf numFmtId="5" fontId="28" fillId="0" borderId="0" xfId="17" applyNumberFormat="1" applyFont="1" applyFill="1" applyBorder="1"/>
    <xf numFmtId="10" fontId="28" fillId="0" borderId="0" xfId="18" applyNumberFormat="1" applyFont="1" applyFill="1" applyBorder="1"/>
    <xf numFmtId="10" fontId="30" fillId="0" borderId="0" xfId="18" applyNumberFormat="1" applyFont="1" applyFill="1" applyBorder="1"/>
    <xf numFmtId="37" fontId="19" fillId="0" borderId="25" xfId="1" applyNumberFormat="1" applyFont="1" applyFill="1" applyBorder="1" applyAlignment="1">
      <alignment horizontal="center"/>
    </xf>
    <xf numFmtId="167" fontId="28" fillId="0" borderId="0" xfId="19" applyNumberFormat="1" applyFont="1" applyFill="1" applyBorder="1"/>
    <xf numFmtId="10" fontId="19" fillId="0" borderId="25" xfId="18" applyNumberFormat="1" applyFont="1" applyFill="1" applyBorder="1" applyAlignment="1">
      <alignment horizontal="center"/>
    </xf>
    <xf numFmtId="170" fontId="28" fillId="0" borderId="0" xfId="18" applyNumberFormat="1" applyFont="1" applyFill="1" applyBorder="1"/>
    <xf numFmtId="170" fontId="30" fillId="0" borderId="0" xfId="18" applyNumberFormat="1" applyFont="1" applyFill="1" applyBorder="1"/>
    <xf numFmtId="10" fontId="28" fillId="0" borderId="16" xfId="18" applyNumberFormat="1" applyFont="1" applyFill="1" applyBorder="1"/>
    <xf numFmtId="37" fontId="28" fillId="0" borderId="26" xfId="1" applyNumberFormat="1" applyFont="1" applyFill="1" applyBorder="1"/>
    <xf numFmtId="0" fontId="28" fillId="0" borderId="27" xfId="17" applyFont="1" applyFill="1" applyBorder="1"/>
    <xf numFmtId="167" fontId="28" fillId="0" borderId="27" xfId="19" applyNumberFormat="1" applyFont="1" applyFill="1" applyBorder="1"/>
    <xf numFmtId="10" fontId="28" fillId="0" borderId="27" xfId="18" applyNumberFormat="1" applyFont="1" applyFill="1" applyBorder="1"/>
    <xf numFmtId="10" fontId="30" fillId="0" borderId="27" xfId="18" applyNumberFormat="1" applyFont="1" applyFill="1" applyBorder="1"/>
    <xf numFmtId="37" fontId="28" fillId="0" borderId="28" xfId="1" applyNumberFormat="1" applyFont="1" applyFill="1" applyBorder="1"/>
    <xf numFmtId="3" fontId="34" fillId="0" borderId="0" xfId="0" applyNumberFormat="1" applyFont="1" applyFill="1" applyBorder="1" applyAlignment="1"/>
    <xf numFmtId="42" fontId="15" fillId="0" borderId="0" xfId="2" applyNumberFormat="1" applyFont="1" applyBorder="1"/>
    <xf numFmtId="3" fontId="10" fillId="0" borderId="0" xfId="0" applyNumberFormat="1" applyFont="1" applyFill="1" applyAlignment="1">
      <alignment vertical="top"/>
    </xf>
    <xf numFmtId="10" fontId="34" fillId="0" borderId="0" xfId="13" applyNumberFormat="1" applyFont="1" applyFill="1" applyBorder="1" applyAlignment="1">
      <alignment horizontal="center"/>
    </xf>
    <xf numFmtId="0" fontId="14" fillId="0" borderId="0" xfId="2" applyFont="1" applyFill="1" applyAlignment="1">
      <alignment horizontal="right"/>
    </xf>
    <xf numFmtId="3" fontId="14" fillId="0" borderId="3" xfId="2" applyNumberFormat="1" applyFont="1" applyFill="1" applyBorder="1"/>
    <xf numFmtId="3" fontId="14" fillId="0" borderId="10" xfId="2" applyNumberFormat="1" applyFont="1" applyFill="1" applyBorder="1"/>
    <xf numFmtId="10" fontId="28" fillId="0" borderId="0" xfId="13" applyNumberFormat="1" applyFont="1" applyBorder="1"/>
    <xf numFmtId="170" fontId="28" fillId="0" borderId="0" xfId="13" applyNumberFormat="1" applyFont="1" applyBorder="1"/>
    <xf numFmtId="5" fontId="28" fillId="0" borderId="10" xfId="0" applyNumberFormat="1" applyFont="1" applyBorder="1"/>
    <xf numFmtId="0" fontId="28" fillId="0" borderId="0" xfId="0" applyFont="1" applyBorder="1"/>
    <xf numFmtId="5" fontId="19" fillId="0" borderId="0" xfId="0" applyNumberFormat="1" applyFont="1" applyBorder="1"/>
    <xf numFmtId="5" fontId="28" fillId="0" borderId="0" xfId="0" applyNumberFormat="1" applyFont="1" applyBorder="1"/>
    <xf numFmtId="37" fontId="28" fillId="0" borderId="0" xfId="1" applyNumberFormat="1" applyFont="1"/>
    <xf numFmtId="10" fontId="19" fillId="0" borderId="0" xfId="13" applyNumberFormat="1" applyFont="1" applyBorder="1"/>
    <xf numFmtId="0" fontId="28" fillId="0" borderId="0" xfId="1" applyFont="1" applyBorder="1"/>
    <xf numFmtId="42" fontId="28" fillId="0" borderId="0" xfId="0" applyNumberFormat="1" applyFont="1" applyBorder="1"/>
    <xf numFmtId="0" fontId="14" fillId="0" borderId="10" xfId="2" applyFont="1" applyBorder="1" applyAlignment="1">
      <alignment horizontal="center"/>
    </xf>
    <xf numFmtId="0" fontId="40" fillId="0" borderId="0" xfId="2" applyNumberFormat="1" applyFont="1" applyAlignment="1">
      <alignment horizontal="left"/>
    </xf>
    <xf numFmtId="3" fontId="11" fillId="0" borderId="0" xfId="12" applyNumberFormat="1" applyFont="1" applyFill="1" applyAlignment="1">
      <alignment vertical="top" wrapText="1"/>
    </xf>
    <xf numFmtId="3" fontId="28" fillId="0" borderId="0" xfId="12" applyNumberFormat="1" applyFont="1" applyFill="1" applyBorder="1" applyAlignment="1">
      <alignment horizontal="center" wrapText="1"/>
    </xf>
    <xf numFmtId="0" fontId="43" fillId="0" borderId="0" xfId="0" applyFont="1"/>
    <xf numFmtId="0" fontId="44" fillId="0" borderId="0" xfId="2" applyNumberFormat="1" applyFont="1" applyAlignment="1">
      <alignment horizontal="left"/>
    </xf>
    <xf numFmtId="0" fontId="14" fillId="0" borderId="0" xfId="2" applyNumberFormat="1" applyFont="1" applyFill="1" applyAlignment="1">
      <alignment horizontal="center" wrapText="1"/>
    </xf>
    <xf numFmtId="0" fontId="18" fillId="0" borderId="10" xfId="0" applyFont="1" applyBorder="1" applyAlignment="1">
      <alignment horizontal="center"/>
    </xf>
    <xf numFmtId="3" fontId="14" fillId="0" borderId="10" xfId="2" applyNumberFormat="1" applyFont="1" applyBorder="1"/>
    <xf numFmtId="3" fontId="14" fillId="0" borderId="3" xfId="2" applyNumberFormat="1" applyFont="1" applyBorder="1"/>
    <xf numFmtId="3" fontId="14" fillId="0" borderId="0" xfId="2" applyNumberFormat="1" applyFont="1"/>
    <xf numFmtId="0" fontId="14" fillId="0" borderId="0" xfId="2" applyFont="1" applyAlignment="1">
      <alignment horizontal="left"/>
    </xf>
    <xf numFmtId="3" fontId="10" fillId="0" borderId="0" xfId="0" applyNumberFormat="1" applyFont="1" applyFill="1" applyAlignment="1"/>
    <xf numFmtId="1" fontId="18" fillId="0" borderId="0" xfId="150" applyNumberFormat="1" applyFont="1" applyFill="1" applyBorder="1" applyAlignment="1">
      <alignment horizontal="center"/>
    </xf>
    <xf numFmtId="0" fontId="15" fillId="0" borderId="0" xfId="20" applyFont="1" applyFill="1"/>
    <xf numFmtId="0" fontId="15" fillId="0" borderId="0" xfId="2" applyFont="1" applyBorder="1" applyAlignment="1">
      <alignment horizontal="center" vertical="center"/>
    </xf>
    <xf numFmtId="0" fontId="14" fillId="0" borderId="0" xfId="2" applyFont="1" applyBorder="1" applyAlignment="1">
      <alignment horizontal="center" vertical="center"/>
    </xf>
    <xf numFmtId="0" fontId="14" fillId="0" borderId="10" xfId="2" applyFont="1" applyBorder="1" applyAlignment="1">
      <alignment horizontal="center" vertical="center"/>
    </xf>
    <xf numFmtId="0" fontId="15" fillId="0" borderId="0" xfId="2" applyFont="1" applyAlignment="1">
      <alignment horizontal="left"/>
    </xf>
    <xf numFmtId="10" fontId="8" fillId="0" borderId="0" xfId="0" applyNumberFormat="1" applyFont="1"/>
    <xf numFmtId="0" fontId="45" fillId="0" borderId="0" xfId="0" applyFont="1" applyBorder="1" applyAlignment="1">
      <alignment horizontal="center"/>
    </xf>
    <xf numFmtId="0" fontId="45" fillId="0" borderId="10" xfId="0" applyFont="1" applyBorder="1" applyAlignment="1">
      <alignment horizontal="center"/>
    </xf>
    <xf numFmtId="0" fontId="47" fillId="0" borderId="10" xfId="0" applyFont="1" applyBorder="1"/>
    <xf numFmtId="0" fontId="45" fillId="0" borderId="10" xfId="0" applyFont="1" applyBorder="1"/>
    <xf numFmtId="172" fontId="45" fillId="0" borderId="0" xfId="0" applyNumberFormat="1" applyFont="1" applyBorder="1"/>
    <xf numFmtId="172" fontId="45" fillId="0" borderId="3" xfId="0" applyNumberFormat="1" applyFont="1" applyBorder="1"/>
    <xf numFmtId="172" fontId="45" fillId="0" borderId="10" xfId="0" applyNumberFormat="1" applyFont="1" applyBorder="1"/>
    <xf numFmtId="3" fontId="45" fillId="0" borderId="0" xfId="0" applyNumberFormat="1" applyFont="1" applyBorder="1"/>
    <xf numFmtId="5" fontId="45" fillId="0" borderId="0" xfId="0" applyNumberFormat="1" applyFont="1" applyBorder="1"/>
    <xf numFmtId="6" fontId="45" fillId="0" borderId="0" xfId="8" applyNumberFormat="1" applyFont="1" applyBorder="1"/>
    <xf numFmtId="0" fontId="45" fillId="0" borderId="3" xfId="0" applyFont="1" applyBorder="1"/>
    <xf numFmtId="5" fontId="45" fillId="0" borderId="3" xfId="0" applyNumberFormat="1" applyFont="1" applyBorder="1"/>
    <xf numFmtId="37" fontId="45" fillId="0" borderId="10" xfId="8" applyNumberFormat="1" applyFont="1" applyBorder="1"/>
    <xf numFmtId="37" fontId="45" fillId="0" borderId="10" xfId="0" applyNumberFormat="1" applyFont="1" applyBorder="1"/>
    <xf numFmtId="37" fontId="45" fillId="0" borderId="0" xfId="8" applyNumberFormat="1" applyFont="1" applyBorder="1"/>
    <xf numFmtId="6" fontId="45" fillId="0" borderId="3" xfId="8" applyNumberFormat="1" applyFont="1" applyBorder="1"/>
    <xf numFmtId="0" fontId="45" fillId="0" borderId="13" xfId="0" applyFont="1" applyBorder="1"/>
    <xf numFmtId="5" fontId="45" fillId="0" borderId="10" xfId="8" applyNumberFormat="1" applyFont="1" applyBorder="1"/>
    <xf numFmtId="5" fontId="45" fillId="0" borderId="10" xfId="0" applyNumberFormat="1" applyFont="1" applyBorder="1"/>
    <xf numFmtId="177" fontId="45" fillId="0" borderId="10" xfId="0" applyNumberFormat="1" applyFont="1" applyBorder="1"/>
    <xf numFmtId="179" fontId="45" fillId="0" borderId="10" xfId="0" applyNumberFormat="1" applyFont="1" applyBorder="1"/>
    <xf numFmtId="37" fontId="46" fillId="0" borderId="0" xfId="0" applyNumberFormat="1" applyFont="1" applyBorder="1"/>
    <xf numFmtId="41" fontId="15" fillId="0" borderId="0" xfId="2" applyNumberFormat="1" applyFont="1" applyFill="1"/>
    <xf numFmtId="42" fontId="15" fillId="0" borderId="0" xfId="2" applyNumberFormat="1" applyFont="1" applyFill="1"/>
    <xf numFmtId="41" fontId="15" fillId="0" borderId="10" xfId="2" applyNumberFormat="1" applyFont="1" applyFill="1" applyBorder="1"/>
    <xf numFmtId="41" fontId="15" fillId="0" borderId="0" xfId="2" applyNumberFormat="1" applyFont="1" applyFill="1" applyBorder="1"/>
    <xf numFmtId="167" fontId="0" fillId="0" borderId="0" xfId="14" applyNumberFormat="1" applyFont="1" applyFill="1"/>
    <xf numFmtId="3" fontId="15" fillId="0" borderId="0" xfId="2" applyNumberFormat="1" applyFont="1" applyFill="1" applyBorder="1"/>
    <xf numFmtId="0" fontId="28" fillId="0" borderId="10" xfId="0" applyFont="1" applyBorder="1"/>
    <xf numFmtId="37" fontId="28" fillId="0" borderId="0" xfId="2" applyNumberFormat="1" applyFont="1"/>
    <xf numFmtId="3" fontId="15" fillId="0" borderId="0" xfId="20" applyNumberFormat="1" applyFont="1" applyBorder="1"/>
    <xf numFmtId="0" fontId="45" fillId="0" borderId="0" xfId="0" applyFont="1" applyAlignment="1">
      <alignment horizontal="left"/>
    </xf>
    <xf numFmtId="0" fontId="45" fillId="0" borderId="0" xfId="0" applyFont="1"/>
    <xf numFmtId="0" fontId="45" fillId="0" borderId="0" xfId="0" applyFont="1" applyAlignment="1">
      <alignment horizontal="center"/>
    </xf>
    <xf numFmtId="0" fontId="46" fillId="0" borderId="0" xfId="0" applyFont="1" applyAlignment="1">
      <alignment horizontal="left"/>
    </xf>
    <xf numFmtId="0" fontId="46" fillId="0" borderId="0" xfId="0" applyFont="1" applyAlignment="1">
      <alignment horizontal="center"/>
    </xf>
    <xf numFmtId="0" fontId="53" fillId="0" borderId="0" xfId="0" applyFont="1" applyAlignment="1"/>
    <xf numFmtId="0" fontId="46" fillId="0" borderId="0" xfId="0" applyFont="1" applyAlignment="1"/>
    <xf numFmtId="0" fontId="46" fillId="0" borderId="0" xfId="0" applyFont="1"/>
    <xf numFmtId="0" fontId="46" fillId="0" borderId="0" xfId="0" applyFont="1" applyAlignment="1">
      <alignment horizontal="right"/>
    </xf>
    <xf numFmtId="172" fontId="45" fillId="0" borderId="0" xfId="0" applyNumberFormat="1" applyFont="1"/>
    <xf numFmtId="0" fontId="54" fillId="0" borderId="0" xfId="0" applyFont="1" applyAlignment="1">
      <alignment horizontal="left" indent="1"/>
    </xf>
    <xf numFmtId="172" fontId="45" fillId="0" borderId="0" xfId="0" applyNumberFormat="1" applyFont="1" applyAlignment="1">
      <alignment horizontal="center"/>
    </xf>
    <xf numFmtId="3" fontId="45" fillId="0" borderId="0" xfId="0" applyNumberFormat="1" applyFont="1"/>
    <xf numFmtId="173" fontId="46" fillId="0" borderId="0" xfId="0" applyNumberFormat="1" applyFont="1"/>
    <xf numFmtId="3" fontId="45" fillId="7" borderId="0" xfId="0" applyNumberFormat="1" applyFont="1" applyFill="1"/>
    <xf numFmtId="0" fontId="55" fillId="0" borderId="0" xfId="0" applyFont="1"/>
    <xf numFmtId="174" fontId="45" fillId="0" borderId="0" xfId="0" applyNumberFormat="1" applyFont="1" applyAlignment="1">
      <alignment horizontal="center"/>
    </xf>
    <xf numFmtId="0" fontId="46" fillId="0" borderId="0" xfId="0" quotePrefix="1" applyFont="1"/>
    <xf numFmtId="0" fontId="48" fillId="0" borderId="0" xfId="0" applyFont="1" applyAlignment="1">
      <alignment horizontal="left"/>
    </xf>
    <xf numFmtId="175" fontId="46" fillId="0" borderId="0" xfId="0" applyNumberFormat="1" applyFont="1"/>
    <xf numFmtId="175" fontId="56" fillId="0" borderId="0" xfId="0" applyNumberFormat="1" applyFont="1"/>
    <xf numFmtId="0" fontId="57" fillId="0" borderId="0" xfId="0" applyFont="1"/>
    <xf numFmtId="180" fontId="46" fillId="0" borderId="0" xfId="0" applyNumberFormat="1" applyFont="1"/>
    <xf numFmtId="176" fontId="46" fillId="0" borderId="0" xfId="0" applyNumberFormat="1" applyFont="1"/>
    <xf numFmtId="176" fontId="56" fillId="0" borderId="0" xfId="0" applyNumberFormat="1" applyFont="1"/>
    <xf numFmtId="176" fontId="56" fillId="0" borderId="0" xfId="0" applyNumberFormat="1" applyFont="1" applyFill="1"/>
    <xf numFmtId="177" fontId="45" fillId="0" borderId="0" xfId="0" applyNumberFormat="1" applyFont="1"/>
    <xf numFmtId="0" fontId="50" fillId="0" borderId="0" xfId="0" applyFont="1"/>
    <xf numFmtId="0" fontId="45" fillId="0" borderId="0" xfId="0" applyFont="1" applyFill="1"/>
    <xf numFmtId="5" fontId="45" fillId="0" borderId="0" xfId="0" applyNumberFormat="1" applyFont="1"/>
    <xf numFmtId="0" fontId="45" fillId="0" borderId="0" xfId="0" applyFont="1" applyAlignment="1">
      <alignment horizontal="left" indent="1"/>
    </xf>
    <xf numFmtId="6" fontId="45" fillId="0" borderId="0" xfId="8" applyNumberFormat="1" applyFont="1"/>
    <xf numFmtId="178" fontId="45" fillId="0" borderId="0" xfId="0" applyNumberFormat="1" applyFont="1"/>
    <xf numFmtId="172" fontId="45" fillId="0" borderId="0" xfId="8" applyNumberFormat="1" applyFont="1"/>
    <xf numFmtId="172" fontId="45" fillId="0" borderId="0" xfId="0" applyNumberFormat="1" applyFont="1" applyFill="1"/>
    <xf numFmtId="37" fontId="45" fillId="0" borderId="0" xfId="0" applyNumberFormat="1" applyFont="1"/>
    <xf numFmtId="5" fontId="45" fillId="0" borderId="0" xfId="0" applyNumberFormat="1" applyFont="1" applyFill="1"/>
    <xf numFmtId="0" fontId="45" fillId="0" borderId="0" xfId="0" applyFont="1" applyFill="1" applyAlignment="1">
      <alignment horizontal="left"/>
    </xf>
    <xf numFmtId="3" fontId="45" fillId="0" borderId="0" xfId="0" applyNumberFormat="1" applyFont="1" applyAlignment="1">
      <alignment horizontal="left" indent="1"/>
    </xf>
    <xf numFmtId="37" fontId="45" fillId="0" borderId="0" xfId="8" applyNumberFormat="1" applyFont="1"/>
    <xf numFmtId="167" fontId="49" fillId="0" borderId="0" xfId="96" applyNumberFormat="1" applyFont="1" applyFill="1"/>
    <xf numFmtId="177" fontId="45" fillId="0" borderId="0" xfId="0" applyNumberFormat="1" applyFont="1" applyAlignment="1">
      <alignment horizontal="left" indent="1"/>
    </xf>
    <xf numFmtId="5" fontId="45" fillId="0" borderId="0" xfId="0" applyNumberFormat="1" applyFont="1" applyAlignment="1">
      <alignment horizontal="left" indent="1"/>
    </xf>
    <xf numFmtId="5" fontId="45" fillId="0" borderId="0" xfId="8" applyNumberFormat="1" applyFont="1"/>
    <xf numFmtId="37" fontId="49" fillId="0" borderId="0" xfId="8" applyNumberFormat="1" applyFont="1"/>
    <xf numFmtId="37" fontId="49" fillId="0" borderId="0" xfId="0" applyNumberFormat="1" applyFont="1"/>
    <xf numFmtId="177" fontId="45" fillId="0" borderId="0" xfId="0" applyNumberFormat="1" applyFont="1" applyFill="1"/>
    <xf numFmtId="37" fontId="49" fillId="0" borderId="0" xfId="0" applyNumberFormat="1" applyFont="1" applyFill="1"/>
    <xf numFmtId="37" fontId="57" fillId="0" borderId="0" xfId="0" applyNumberFormat="1" applyFont="1"/>
    <xf numFmtId="0" fontId="50" fillId="0" borderId="0" xfId="0" applyFont="1" applyAlignment="1">
      <alignment horizontal="left"/>
    </xf>
    <xf numFmtId="5" fontId="50" fillId="0" borderId="0" xfId="0" applyNumberFormat="1" applyFont="1"/>
    <xf numFmtId="10" fontId="50" fillId="0" borderId="0" xfId="0" applyNumberFormat="1" applyFont="1"/>
    <xf numFmtId="10" fontId="45" fillId="0" borderId="0" xfId="0" applyNumberFormat="1" applyFont="1"/>
    <xf numFmtId="39" fontId="45" fillId="0" borderId="0" xfId="0" applyNumberFormat="1" applyFont="1"/>
    <xf numFmtId="0" fontId="51" fillId="0" borderId="0" xfId="0" applyFont="1"/>
    <xf numFmtId="37" fontId="46" fillId="0" borderId="0" xfId="0" applyNumberFormat="1" applyFont="1"/>
    <xf numFmtId="10" fontId="45" fillId="0" borderId="0" xfId="13" applyNumberFormat="1" applyFont="1"/>
    <xf numFmtId="37" fontId="57" fillId="0" borderId="0" xfId="0" applyNumberFormat="1" applyFont="1" applyFill="1"/>
    <xf numFmtId="0" fontId="45" fillId="6" borderId="0" xfId="0" applyFont="1" applyFill="1"/>
    <xf numFmtId="0" fontId="46" fillId="6" borderId="0" xfId="0" applyFont="1" applyFill="1"/>
    <xf numFmtId="7" fontId="45" fillId="0" borderId="0" xfId="0" applyNumberFormat="1" applyFont="1"/>
    <xf numFmtId="0" fontId="8" fillId="0" borderId="0" xfId="0" applyFont="1" applyFill="1" applyAlignment="1">
      <alignment horizontal="center"/>
    </xf>
    <xf numFmtId="0" fontId="17" fillId="0" borderId="0" xfId="0" quotePrefix="1" applyFont="1" applyFill="1" applyAlignment="1">
      <alignment horizontal="center"/>
    </xf>
    <xf numFmtId="3" fontId="0" fillId="0" borderId="2" xfId="0" applyNumberFormat="1" applyFill="1" applyBorder="1"/>
    <xf numFmtId="3" fontId="0" fillId="0" borderId="6" xfId="0" applyNumberFormat="1" applyFill="1" applyBorder="1"/>
    <xf numFmtId="3" fontId="0" fillId="0" borderId="9" xfId="0" applyNumberFormat="1" applyFill="1" applyBorder="1"/>
    <xf numFmtId="3" fontId="0" fillId="0" borderId="3" xfId="0" applyNumberFormat="1" applyFill="1" applyBorder="1"/>
    <xf numFmtId="17" fontId="17" fillId="0" borderId="0" xfId="0" quotePrefix="1" applyNumberFormat="1" applyFont="1" applyFill="1" applyAlignment="1">
      <alignment horizontal="center"/>
    </xf>
    <xf numFmtId="165" fontId="0" fillId="0" borderId="3" xfId="0" applyNumberFormat="1" applyFill="1" applyBorder="1"/>
    <xf numFmtId="165" fontId="0" fillId="0" borderId="10" xfId="0" applyNumberFormat="1" applyFill="1" applyBorder="1"/>
    <xf numFmtId="166" fontId="0" fillId="0" borderId="0" xfId="0" applyNumberFormat="1" applyFill="1"/>
    <xf numFmtId="3" fontId="0" fillId="0" borderId="11" xfId="0" applyNumberFormat="1" applyFill="1" applyBorder="1"/>
    <xf numFmtId="3" fontId="0" fillId="0" borderId="7" xfId="0" applyNumberFormat="1" applyFill="1" applyBorder="1"/>
    <xf numFmtId="3" fontId="0" fillId="0" borderId="4" xfId="0" applyNumberFormat="1" applyFill="1" applyBorder="1"/>
    <xf numFmtId="3" fontId="22" fillId="7" borderId="0" xfId="3679" applyFont="1" applyFill="1"/>
    <xf numFmtId="165" fontId="0" fillId="0" borderId="0" xfId="0" applyNumberFormat="1"/>
    <xf numFmtId="165" fontId="0" fillId="0" borderId="3" xfId="0" applyNumberFormat="1" applyBorder="1"/>
    <xf numFmtId="167" fontId="14" fillId="0" borderId="0" xfId="14" applyNumberFormat="1" applyFont="1"/>
    <xf numFmtId="167" fontId="14" fillId="0" borderId="0" xfId="2" applyNumberFormat="1" applyFont="1"/>
    <xf numFmtId="167" fontId="15" fillId="0" borderId="0" xfId="2" applyNumberFormat="1" applyFont="1"/>
    <xf numFmtId="42" fontId="14" fillId="0" borderId="3" xfId="2" applyNumberFormat="1" applyFont="1" applyFill="1" applyBorder="1"/>
    <xf numFmtId="3" fontId="14" fillId="0" borderId="3" xfId="2" applyNumberFormat="1" applyFont="1" applyFill="1" applyBorder="1" applyAlignment="1">
      <alignment horizontal="center"/>
    </xf>
    <xf numFmtId="41" fontId="14" fillId="0" borderId="3" xfId="2" applyNumberFormat="1" applyFont="1" applyFill="1" applyBorder="1"/>
    <xf numFmtId="42" fontId="14" fillId="0" borderId="13" xfId="2" applyNumberFormat="1" applyFont="1" applyFill="1" applyBorder="1"/>
    <xf numFmtId="42" fontId="14" fillId="0" borderId="16" xfId="2" applyNumberFormat="1" applyFont="1" applyFill="1" applyBorder="1"/>
    <xf numFmtId="0" fontId="14" fillId="0" borderId="3" xfId="2" applyFont="1" applyFill="1" applyBorder="1"/>
    <xf numFmtId="0" fontId="14" fillId="0" borderId="0" xfId="2" applyFont="1" applyFill="1" applyBorder="1"/>
    <xf numFmtId="167" fontId="14" fillId="0" borderId="0" xfId="14" applyNumberFormat="1" applyFont="1" applyFill="1"/>
    <xf numFmtId="0" fontId="15" fillId="0" borderId="0" xfId="2" applyFont="1" applyBorder="1" applyAlignment="1">
      <alignment horizontal="left"/>
    </xf>
    <xf numFmtId="167" fontId="14" fillId="0" borderId="0" xfId="2" applyNumberFormat="1" applyFont="1" applyBorder="1"/>
    <xf numFmtId="0" fontId="15" fillId="0" borderId="0" xfId="2" applyFont="1" applyBorder="1"/>
    <xf numFmtId="167" fontId="14" fillId="0" borderId="0" xfId="14" applyNumberFormat="1" applyFont="1" applyBorder="1"/>
    <xf numFmtId="167" fontId="15" fillId="0" borderId="0" xfId="2" applyNumberFormat="1" applyFont="1" applyBorder="1"/>
    <xf numFmtId="5" fontId="15" fillId="0" borderId="0" xfId="2" applyNumberFormat="1" applyFont="1" applyBorder="1"/>
    <xf numFmtId="223" fontId="28" fillId="0" borderId="0" xfId="0" applyNumberFormat="1" applyFont="1" applyBorder="1"/>
    <xf numFmtId="0" fontId="14" fillId="0" borderId="50" xfId="2" applyNumberFormat="1" applyFont="1" applyBorder="1" applyAlignment="1">
      <alignment horizontal="left"/>
    </xf>
    <xf numFmtId="0" fontId="14" fillId="0" borderId="51" xfId="2" applyNumberFormat="1" applyFont="1" applyBorder="1" applyAlignment="1">
      <alignment horizontal="left"/>
    </xf>
    <xf numFmtId="0" fontId="14" fillId="0" borderId="52" xfId="2" applyNumberFormat="1" applyFont="1" applyBorder="1" applyAlignment="1">
      <alignment horizontal="left"/>
    </xf>
    <xf numFmtId="0" fontId="14" fillId="0" borderId="50" xfId="2" applyFont="1" applyBorder="1"/>
    <xf numFmtId="0" fontId="14" fillId="0" borderId="51" xfId="2" applyFont="1" applyBorder="1"/>
    <xf numFmtId="0" fontId="14" fillId="0" borderId="52" xfId="2" applyFont="1" applyBorder="1"/>
    <xf numFmtId="10" fontId="28" fillId="0" borderId="0" xfId="13" applyNumberFormat="1" applyFont="1" applyFill="1" applyBorder="1"/>
    <xf numFmtId="10" fontId="8" fillId="0" borderId="19" xfId="0" applyNumberFormat="1" applyFont="1" applyBorder="1"/>
    <xf numFmtId="10" fontId="22" fillId="0" borderId="18" xfId="2" applyNumberFormat="1" applyFont="1" applyFill="1" applyBorder="1"/>
    <xf numFmtId="10" fontId="156" fillId="0" borderId="19" xfId="2" applyNumberFormat="1" applyFont="1" applyFill="1" applyBorder="1"/>
    <xf numFmtId="10" fontId="22" fillId="0" borderId="19" xfId="2" applyNumberFormat="1" applyFont="1" applyFill="1" applyBorder="1"/>
    <xf numFmtId="10" fontId="22" fillId="0" borderId="19" xfId="2" applyNumberFormat="1" applyFont="1" applyBorder="1"/>
    <xf numFmtId="10" fontId="10" fillId="0" borderId="0" xfId="2" applyNumberFormat="1" applyFont="1" applyFill="1"/>
    <xf numFmtId="0" fontId="10" fillId="0" borderId="0" xfId="2" applyFont="1"/>
    <xf numFmtId="10" fontId="10" fillId="0" borderId="0" xfId="2" applyNumberFormat="1" applyFont="1"/>
    <xf numFmtId="41" fontId="10" fillId="0" borderId="0" xfId="2" applyNumberFormat="1" applyFont="1"/>
    <xf numFmtId="5" fontId="10" fillId="0" borderId="0" xfId="2" applyNumberFormat="1" applyFont="1"/>
    <xf numFmtId="0" fontId="10" fillId="0" borderId="0" xfId="2" applyFont="1" applyBorder="1"/>
    <xf numFmtId="0" fontId="0" fillId="0" borderId="7" xfId="0" applyFill="1" applyBorder="1"/>
    <xf numFmtId="0" fontId="8" fillId="0" borderId="7" xfId="0" applyFont="1" applyFill="1" applyBorder="1" applyAlignment="1">
      <alignment horizontal="center"/>
    </xf>
    <xf numFmtId="0" fontId="17" fillId="0" borderId="7" xfId="0" applyFont="1" applyFill="1" applyBorder="1" applyAlignment="1">
      <alignment horizontal="center"/>
    </xf>
    <xf numFmtId="3" fontId="0" fillId="0" borderId="15" xfId="0" applyNumberFormat="1" applyFill="1" applyBorder="1"/>
    <xf numFmtId="41" fontId="0" fillId="0" borderId="0" xfId="0" applyNumberFormat="1" applyFill="1"/>
    <xf numFmtId="0" fontId="22" fillId="0" borderId="10" xfId="15" applyFill="1" applyBorder="1" applyAlignment="1">
      <alignment horizontal="center"/>
    </xf>
    <xf numFmtId="167" fontId="0" fillId="0" borderId="0" xfId="0" applyNumberFormat="1" applyFill="1"/>
    <xf numFmtId="167" fontId="0" fillId="0" borderId="3" xfId="14" applyNumberFormat="1" applyFont="1" applyFill="1" applyBorder="1"/>
    <xf numFmtId="167" fontId="8" fillId="0" borderId="0" xfId="14" applyNumberFormat="1" applyFont="1" applyFill="1" applyBorder="1"/>
    <xf numFmtId="167" fontId="0" fillId="0" borderId="3" xfId="0" applyNumberFormat="1" applyFill="1" applyBorder="1"/>
    <xf numFmtId="41" fontId="15" fillId="0" borderId="13" xfId="2" applyNumberFormat="1" applyFont="1" applyFill="1" applyBorder="1"/>
    <xf numFmtId="42" fontId="15" fillId="0" borderId="12" xfId="2" applyNumberFormat="1" applyFont="1" applyFill="1" applyBorder="1"/>
    <xf numFmtId="0" fontId="15" fillId="74" borderId="0" xfId="2" applyFont="1" applyFill="1" applyAlignment="1">
      <alignment horizontal="center"/>
    </xf>
    <xf numFmtId="10" fontId="0" fillId="0" borderId="19" xfId="0" applyNumberFormat="1" applyBorder="1"/>
    <xf numFmtId="0" fontId="23" fillId="0" borderId="10" xfId="0" applyFont="1" applyBorder="1"/>
    <xf numFmtId="0" fontId="0" fillId="0" borderId="54" xfId="0" applyBorder="1"/>
    <xf numFmtId="0" fontId="23" fillId="0" borderId="0" xfId="0" applyFont="1" applyBorder="1"/>
    <xf numFmtId="3" fontId="23" fillId="0" borderId="10" xfId="0" applyNumberFormat="1" applyFont="1" applyBorder="1"/>
    <xf numFmtId="225" fontId="0" fillId="0" borderId="0" xfId="0" applyNumberFormat="1"/>
    <xf numFmtId="225" fontId="0" fillId="0" borderId="10" xfId="0" applyNumberFormat="1" applyBorder="1"/>
    <xf numFmtId="0" fontId="23" fillId="0" borderId="0" xfId="0" applyFont="1" applyFill="1" applyBorder="1"/>
    <xf numFmtId="225" fontId="23" fillId="0" borderId="0" xfId="0" applyNumberFormat="1" applyFont="1" applyBorder="1"/>
    <xf numFmtId="0" fontId="14" fillId="0" borderId="51" xfId="2" applyFont="1" applyBorder="1" applyAlignment="1">
      <alignment horizontal="center"/>
    </xf>
    <xf numFmtId="0" fontId="19" fillId="0" borderId="0" xfId="0" applyFont="1" applyAlignment="1">
      <alignment horizontal="center"/>
    </xf>
    <xf numFmtId="0" fontId="15" fillId="0" borderId="0" xfId="2" applyFont="1" applyFill="1" applyAlignment="1">
      <alignment horizontal="center"/>
    </xf>
    <xf numFmtId="10" fontId="22" fillId="73" borderId="19" xfId="2" applyNumberFormat="1" applyFont="1" applyFill="1" applyBorder="1"/>
    <xf numFmtId="10" fontId="22" fillId="73" borderId="20" xfId="2" applyNumberFormat="1" applyFont="1" applyFill="1" applyBorder="1"/>
    <xf numFmtId="10" fontId="0" fillId="0" borderId="18" xfId="0" applyNumberFormat="1" applyBorder="1"/>
    <xf numFmtId="10" fontId="0" fillId="0" borderId="20" xfId="0" applyNumberFormat="1" applyBorder="1"/>
    <xf numFmtId="3" fontId="8" fillId="0" borderId="0" xfId="0" applyNumberFormat="1" applyFont="1" applyBorder="1"/>
    <xf numFmtId="0" fontId="23" fillId="0" borderId="13" xfId="0" applyFont="1" applyBorder="1"/>
    <xf numFmtId="10" fontId="10" fillId="0" borderId="10" xfId="16" applyNumberFormat="1" applyFont="1" applyBorder="1"/>
    <xf numFmtId="6" fontId="14" fillId="0" borderId="10" xfId="2" applyNumberFormat="1" applyFont="1" applyBorder="1"/>
    <xf numFmtId="0" fontId="0" fillId="0" borderId="51" xfId="0" applyBorder="1" applyAlignment="1">
      <alignment horizontal="center"/>
    </xf>
    <xf numFmtId="167" fontId="0" fillId="0" borderId="0" xfId="96" applyNumberFormat="1" applyFont="1"/>
    <xf numFmtId="10" fontId="0" fillId="0" borderId="0" xfId="3259" applyNumberFormat="1" applyFont="1"/>
    <xf numFmtId="43" fontId="0" fillId="0" borderId="0" xfId="0" applyNumberFormat="1"/>
    <xf numFmtId="167" fontId="0" fillId="0" borderId="10" xfId="14" applyNumberFormat="1" applyFont="1" applyBorder="1"/>
    <xf numFmtId="10" fontId="10" fillId="0" borderId="0" xfId="2" applyNumberFormat="1" applyFont="1" applyFill="1" applyBorder="1"/>
    <xf numFmtId="0" fontId="8" fillId="0" borderId="0" xfId="0" applyFont="1" applyFill="1"/>
    <xf numFmtId="0" fontId="8" fillId="0" borderId="0" xfId="0" applyFont="1" applyFill="1" applyAlignment="1">
      <alignment horizontal="right"/>
    </xf>
    <xf numFmtId="10" fontId="23" fillId="0" borderId="49" xfId="0" applyNumberFormat="1" applyFont="1" applyFill="1" applyBorder="1"/>
    <xf numFmtId="0" fontId="158" fillId="0" borderId="0" xfId="0" applyFont="1" applyFill="1" applyAlignment="1"/>
    <xf numFmtId="0" fontId="23" fillId="0" borderId="0" xfId="0" applyFont="1" applyFill="1"/>
    <xf numFmtId="0" fontId="0" fillId="0" borderId="27" xfId="0" applyBorder="1"/>
    <xf numFmtId="37" fontId="28" fillId="0" borderId="0" xfId="1" applyNumberFormat="1" applyFont="1" applyBorder="1"/>
    <xf numFmtId="171" fontId="28" fillId="0" borderId="0" xfId="0" applyNumberFormat="1" applyFont="1" applyBorder="1"/>
    <xf numFmtId="10" fontId="28" fillId="0" borderId="10" xfId="13" applyNumberFormat="1" applyFont="1" applyBorder="1"/>
    <xf numFmtId="0" fontId="19" fillId="0" borderId="27" xfId="0" applyFont="1" applyBorder="1" applyAlignment="1">
      <alignment horizontal="center"/>
    </xf>
    <xf numFmtId="0" fontId="157" fillId="0" borderId="0" xfId="0" applyFont="1" applyBorder="1" applyAlignment="1">
      <alignment horizontal="center"/>
    </xf>
    <xf numFmtId="5" fontId="0" fillId="0" borderId="0" xfId="0" applyNumberFormat="1" applyBorder="1"/>
    <xf numFmtId="0" fontId="28" fillId="0" borderId="0" xfId="0" applyFont="1" applyBorder="1" applyAlignment="1">
      <alignment horizontal="center"/>
    </xf>
    <xf numFmtId="5" fontId="157" fillId="0" borderId="0" xfId="0" applyNumberFormat="1" applyFont="1" applyFill="1" applyBorder="1" applyAlignment="1">
      <alignment horizontal="center"/>
    </xf>
    <xf numFmtId="41" fontId="14" fillId="74" borderId="49" xfId="2" applyNumberFormat="1" applyFont="1" applyFill="1" applyBorder="1"/>
    <xf numFmtId="10" fontId="10" fillId="74" borderId="56" xfId="2" applyNumberFormat="1" applyFont="1" applyFill="1" applyBorder="1"/>
    <xf numFmtId="0" fontId="23" fillId="74" borderId="10" xfId="0" applyFont="1" applyFill="1" applyBorder="1"/>
    <xf numFmtId="167" fontId="0" fillId="74" borderId="0" xfId="96" applyNumberFormat="1" applyFont="1" applyFill="1"/>
    <xf numFmtId="10" fontId="23" fillId="74" borderId="49" xfId="0" applyNumberFormat="1" applyFont="1" applyFill="1" applyBorder="1"/>
    <xf numFmtId="167" fontId="0" fillId="74" borderId="0" xfId="14" applyNumberFormat="1" applyFont="1" applyFill="1"/>
    <xf numFmtId="165" fontId="0" fillId="74" borderId="17" xfId="0" applyNumberFormat="1" applyFill="1" applyBorder="1"/>
    <xf numFmtId="42" fontId="14" fillId="74" borderId="3" xfId="2" applyNumberFormat="1" applyFont="1" applyFill="1" applyBorder="1"/>
    <xf numFmtId="10" fontId="0" fillId="73" borderId="17" xfId="0" applyNumberFormat="1" applyFill="1" applyBorder="1"/>
    <xf numFmtId="10" fontId="0" fillId="0" borderId="56" xfId="0" applyNumberFormat="1" applyFill="1" applyBorder="1"/>
    <xf numFmtId="10" fontId="0" fillId="73" borderId="57" xfId="0" applyNumberFormat="1" applyFill="1" applyBorder="1"/>
    <xf numFmtId="10" fontId="0" fillId="73" borderId="58" xfId="0" applyNumberFormat="1" applyFill="1" applyBorder="1"/>
    <xf numFmtId="10" fontId="0" fillId="73" borderId="59" xfId="0" applyNumberFormat="1" applyFill="1" applyBorder="1"/>
    <xf numFmtId="0" fontId="23" fillId="74" borderId="49" xfId="0" applyFont="1" applyFill="1" applyBorder="1" applyAlignment="1">
      <alignment horizontal="center"/>
    </xf>
    <xf numFmtId="0" fontId="23" fillId="73" borderId="49" xfId="0" applyFont="1" applyFill="1" applyBorder="1" applyAlignment="1">
      <alignment horizontal="center"/>
    </xf>
    <xf numFmtId="3" fontId="0" fillId="74" borderId="18" xfId="0" applyNumberFormat="1" applyFill="1" applyBorder="1"/>
    <xf numFmtId="3" fontId="0" fillId="74" borderId="19" xfId="0" applyNumberFormat="1" applyFill="1" applyBorder="1"/>
    <xf numFmtId="3" fontId="0" fillId="74" borderId="20" xfId="0" applyNumberFormat="1" applyFill="1" applyBorder="1"/>
    <xf numFmtId="0" fontId="0" fillId="74" borderId="18" xfId="0" applyFill="1" applyBorder="1" applyAlignment="1">
      <alignment horizontal="center"/>
    </xf>
    <xf numFmtId="0" fontId="17" fillId="74" borderId="20" xfId="0" applyFont="1" applyFill="1" applyBorder="1" applyAlignment="1">
      <alignment horizontal="center"/>
    </xf>
    <xf numFmtId="0" fontId="0" fillId="74" borderId="60" xfId="0" applyFill="1" applyBorder="1"/>
    <xf numFmtId="0" fontId="0" fillId="74" borderId="55" xfId="0" applyFill="1" applyBorder="1"/>
    <xf numFmtId="0" fontId="0" fillId="74" borderId="61" xfId="0" applyFill="1" applyBorder="1"/>
    <xf numFmtId="0" fontId="0" fillId="74" borderId="0" xfId="0" applyFill="1" applyBorder="1"/>
    <xf numFmtId="0" fontId="0" fillId="74" borderId="25" xfId="0" applyFill="1" applyBorder="1"/>
    <xf numFmtId="0" fontId="0" fillId="74" borderId="27" xfId="0" applyFill="1" applyBorder="1"/>
    <xf numFmtId="0" fontId="0" fillId="74" borderId="28" xfId="0" applyFill="1" applyBorder="1"/>
    <xf numFmtId="165" fontId="0" fillId="74" borderId="18" xfId="0" applyNumberFormat="1" applyFill="1" applyBorder="1"/>
    <xf numFmtId="165" fontId="0" fillId="74" borderId="19" xfId="0" applyNumberFormat="1" applyFill="1" applyBorder="1"/>
    <xf numFmtId="165" fontId="0" fillId="74" borderId="20" xfId="0" applyNumberFormat="1" applyFill="1" applyBorder="1"/>
    <xf numFmtId="0" fontId="19" fillId="0" borderId="0" xfId="0" applyFont="1" applyBorder="1"/>
    <xf numFmtId="5" fontId="28" fillId="0" borderId="0" xfId="0" applyNumberFormat="1" applyFont="1" applyFill="1" applyBorder="1"/>
    <xf numFmtId="42" fontId="28" fillId="0" borderId="10" xfId="0" applyNumberFormat="1" applyFont="1" applyBorder="1"/>
    <xf numFmtId="10" fontId="28" fillId="0" borderId="0" xfId="0" applyNumberFormat="1" applyFont="1" applyFill="1" applyBorder="1"/>
    <xf numFmtId="0" fontId="14" fillId="0" borderId="0" xfId="2" applyFont="1" applyFill="1" applyBorder="1" applyAlignment="1">
      <alignment vertical="top" wrapText="1"/>
    </xf>
    <xf numFmtId="0" fontId="14" fillId="0" borderId="10" xfId="2" applyFont="1" applyFill="1" applyBorder="1" applyAlignment="1">
      <alignment vertical="top" wrapText="1"/>
    </xf>
    <xf numFmtId="0" fontId="42" fillId="74" borderId="0" xfId="0" applyFont="1" applyFill="1" applyAlignment="1">
      <alignment horizontal="center"/>
    </xf>
    <xf numFmtId="0" fontId="42" fillId="0" borderId="0" xfId="0" applyFont="1" applyAlignment="1">
      <alignment horizontal="center"/>
    </xf>
    <xf numFmtId="227" fontId="0" fillId="0" borderId="0" xfId="42084" applyNumberFormat="1" applyFont="1" applyBorder="1"/>
    <xf numFmtId="227" fontId="0" fillId="0" borderId="0" xfId="42084" applyNumberFormat="1" applyFont="1"/>
    <xf numFmtId="0" fontId="8" fillId="0" borderId="0" xfId="0" applyFont="1" applyBorder="1"/>
    <xf numFmtId="227" fontId="0" fillId="0" borderId="0" xfId="0" applyNumberFormat="1"/>
    <xf numFmtId="0" fontId="42" fillId="0" borderId="0" xfId="0" applyFont="1" applyAlignment="1">
      <alignment horizontal="center"/>
    </xf>
    <xf numFmtId="0" fontId="8" fillId="0" borderId="0" xfId="283"/>
    <xf numFmtId="10" fontId="23" fillId="6" borderId="52" xfId="0" applyNumberFormat="1" applyFont="1" applyFill="1" applyBorder="1"/>
    <xf numFmtId="10" fontId="0" fillId="6" borderId="49" xfId="0" applyNumberFormat="1" applyFill="1" applyBorder="1"/>
    <xf numFmtId="10" fontId="23" fillId="74" borderId="50" xfId="0" applyNumberFormat="1" applyFont="1" applyFill="1" applyBorder="1"/>
    <xf numFmtId="9" fontId="0" fillId="6" borderId="49" xfId="0" applyNumberFormat="1" applyFill="1" applyBorder="1"/>
    <xf numFmtId="9" fontId="0" fillId="6" borderId="49" xfId="16" applyFont="1" applyFill="1" applyBorder="1"/>
    <xf numFmtId="3" fontId="11" fillId="6" borderId="20" xfId="12" applyNumberFormat="1" applyFont="1" applyFill="1" applyBorder="1" applyAlignment="1">
      <alignment horizontal="center"/>
    </xf>
    <xf numFmtId="42" fontId="14" fillId="6" borderId="49" xfId="2" applyNumberFormat="1" applyFont="1" applyFill="1" applyBorder="1"/>
    <xf numFmtId="167" fontId="14" fillId="6" borderId="49" xfId="2" applyNumberFormat="1" applyFont="1" applyFill="1" applyBorder="1"/>
    <xf numFmtId="5" fontId="19" fillId="74" borderId="52" xfId="0" applyNumberFormat="1" applyFont="1" applyFill="1" applyBorder="1"/>
    <xf numFmtId="42" fontId="28" fillId="0" borderId="15" xfId="0" applyNumberFormat="1" applyFont="1" applyFill="1" applyBorder="1"/>
    <xf numFmtId="10" fontId="19" fillId="74" borderId="52" xfId="13" applyNumberFormat="1" applyFont="1" applyFill="1" applyBorder="1"/>
    <xf numFmtId="42" fontId="28" fillId="0" borderId="0" xfId="0" applyNumberFormat="1" applyFont="1" applyFill="1" applyBorder="1"/>
    <xf numFmtId="0" fontId="28" fillId="0" borderId="10" xfId="0" applyFont="1" applyBorder="1" applyAlignment="1">
      <alignment horizontal="center"/>
    </xf>
    <xf numFmtId="37" fontId="28" fillId="0" borderId="10" xfId="1" applyNumberFormat="1" applyFont="1" applyBorder="1"/>
    <xf numFmtId="10" fontId="19" fillId="0" borderId="10" xfId="13" applyNumberFormat="1" applyFont="1" applyBorder="1"/>
    <xf numFmtId="10" fontId="28" fillId="0" borderId="10" xfId="13" applyNumberFormat="1" applyFont="1" applyFill="1" applyBorder="1"/>
    <xf numFmtId="0" fontId="28" fillId="0" borderId="0" xfId="0" applyFont="1" applyFill="1" applyBorder="1" applyAlignment="1">
      <alignment horizontal="center"/>
    </xf>
    <xf numFmtId="0" fontId="28" fillId="0" borderId="0" xfId="0" applyFont="1" applyFill="1" applyBorder="1"/>
    <xf numFmtId="0" fontId="0" fillId="0" borderId="0" xfId="0" quotePrefix="1" applyFill="1" applyBorder="1" applyAlignment="1">
      <alignment vertical="top"/>
    </xf>
    <xf numFmtId="0" fontId="28" fillId="0" borderId="0" xfId="0" applyFont="1" applyFill="1" applyBorder="1" applyAlignment="1">
      <alignment horizontal="left" vertical="top" wrapText="1"/>
    </xf>
    <xf numFmtId="0" fontId="28" fillId="0" borderId="10" xfId="0" applyFont="1" applyFill="1" applyBorder="1" applyAlignment="1">
      <alignment horizontal="center"/>
    </xf>
    <xf numFmtId="0" fontId="28" fillId="0" borderId="54" xfId="0" applyFont="1" applyBorder="1"/>
    <xf numFmtId="227" fontId="28" fillId="0" borderId="0" xfId="0" applyNumberFormat="1" applyFont="1"/>
    <xf numFmtId="0" fontId="14" fillId="0" borderId="1" xfId="2" applyFont="1" applyBorder="1"/>
    <xf numFmtId="10" fontId="14" fillId="0" borderId="5" xfId="2" applyNumberFormat="1" applyFont="1" applyBorder="1"/>
    <xf numFmtId="42" fontId="14" fillId="0" borderId="5" xfId="2" applyNumberFormat="1" applyFont="1" applyBorder="1"/>
    <xf numFmtId="41" fontId="14" fillId="0" borderId="5" xfId="2" applyNumberFormat="1" applyFont="1" applyFill="1" applyBorder="1"/>
    <xf numFmtId="42" fontId="14" fillId="0" borderId="5" xfId="2" applyNumberFormat="1" applyFont="1" applyFill="1" applyBorder="1"/>
    <xf numFmtId="0" fontId="14" fillId="0" borderId="5" xfId="2" applyFont="1" applyBorder="1"/>
    <xf numFmtId="226" fontId="14" fillId="0" borderId="5" xfId="2" applyNumberFormat="1" applyFont="1" applyBorder="1"/>
    <xf numFmtId="42" fontId="15" fillId="74" borderId="8" xfId="2" applyNumberFormat="1" applyFont="1" applyFill="1" applyBorder="1"/>
    <xf numFmtId="169" fontId="14" fillId="0" borderId="5" xfId="2" applyNumberFormat="1" applyFont="1" applyBorder="1"/>
    <xf numFmtId="42" fontId="15" fillId="6" borderId="8" xfId="2" applyNumberFormat="1" applyFont="1" applyFill="1" applyBorder="1"/>
    <xf numFmtId="3" fontId="10" fillId="6" borderId="20" xfId="12" applyNumberFormat="1" applyFont="1" applyFill="1" applyBorder="1" applyAlignment="1">
      <alignment horizontal="center"/>
    </xf>
    <xf numFmtId="42" fontId="14" fillId="75" borderId="49" xfId="2" applyNumberFormat="1" applyFont="1" applyFill="1" applyBorder="1"/>
    <xf numFmtId="0" fontId="19" fillId="0" borderId="24" xfId="0" applyFont="1" applyBorder="1" applyAlignment="1">
      <alignment horizontal="center"/>
    </xf>
    <xf numFmtId="0" fontId="27" fillId="0" borderId="25" xfId="0" applyFont="1" applyBorder="1" applyAlignment="1">
      <alignment horizontal="center"/>
    </xf>
    <xf numFmtId="0" fontId="19" fillId="0" borderId="62" xfId="0" applyFont="1" applyBorder="1" applyAlignment="1">
      <alignment horizontal="center"/>
    </xf>
    <xf numFmtId="0" fontId="27" fillId="0" borderId="54" xfId="0" applyFont="1" applyBorder="1" applyAlignment="1">
      <alignment horizontal="center"/>
    </xf>
    <xf numFmtId="0" fontId="28" fillId="0" borderId="24" xfId="0" applyFont="1" applyBorder="1"/>
    <xf numFmtId="0" fontId="29" fillId="0" borderId="25" xfId="0" applyFont="1" applyBorder="1"/>
    <xf numFmtId="0" fontId="28" fillId="0" borderId="24" xfId="0" applyFont="1" applyBorder="1" applyAlignment="1">
      <alignment horizontal="center"/>
    </xf>
    <xf numFmtId="169" fontId="29" fillId="0" borderId="25" xfId="0" applyNumberFormat="1" applyFont="1" applyBorder="1"/>
    <xf numFmtId="169" fontId="19" fillId="0" borderId="0" xfId="0" applyNumberFormat="1" applyFont="1" applyBorder="1"/>
    <xf numFmtId="169" fontId="28" fillId="0" borderId="0" xfId="0" applyNumberFormat="1" applyFont="1" applyBorder="1"/>
    <xf numFmtId="169" fontId="28" fillId="0" borderId="25" xfId="0" applyNumberFormat="1" applyFont="1" applyBorder="1"/>
    <xf numFmtId="169" fontId="29" fillId="0" borderId="63" xfId="0" applyNumberFormat="1" applyFont="1" applyBorder="1"/>
    <xf numFmtId="10" fontId="32" fillId="0" borderId="0" xfId="0" applyNumberFormat="1" applyFont="1" applyBorder="1"/>
    <xf numFmtId="169" fontId="29" fillId="0" borderId="54" xfId="0" applyNumberFormat="1" applyFont="1" applyBorder="1"/>
    <xf numFmtId="171" fontId="29" fillId="74" borderId="64" xfId="0" applyNumberFormat="1" applyFont="1" applyFill="1" applyBorder="1"/>
    <xf numFmtId="0" fontId="0" fillId="0" borderId="26" xfId="0" applyBorder="1"/>
    <xf numFmtId="0" fontId="0" fillId="0" borderId="28" xfId="0" applyBorder="1"/>
    <xf numFmtId="223" fontId="28" fillId="0" borderId="0" xfId="14" applyNumberFormat="1" applyFont="1" applyBorder="1"/>
    <xf numFmtId="42" fontId="28" fillId="6" borderId="49" xfId="0" applyNumberFormat="1" applyFont="1" applyFill="1" applyBorder="1"/>
    <xf numFmtId="0" fontId="42" fillId="6" borderId="14" xfId="0" applyFont="1" applyFill="1" applyBorder="1" applyAlignment="1">
      <alignment horizontal="center"/>
    </xf>
    <xf numFmtId="0" fontId="42" fillId="6" borderId="13" xfId="0" applyFont="1" applyFill="1" applyBorder="1" applyAlignment="1">
      <alignment horizontal="center"/>
    </xf>
    <xf numFmtId="0" fontId="42" fillId="6" borderId="15" xfId="0" applyFont="1" applyFill="1" applyBorder="1" applyAlignment="1">
      <alignment horizontal="center"/>
    </xf>
    <xf numFmtId="0" fontId="42" fillId="6" borderId="50" xfId="0" applyFont="1" applyFill="1" applyBorder="1" applyAlignment="1">
      <alignment horizontal="center"/>
    </xf>
    <xf numFmtId="0" fontId="42" fillId="6" borderId="51" xfId="0" applyFont="1" applyFill="1" applyBorder="1" applyAlignment="1">
      <alignment horizontal="center"/>
    </xf>
    <xf numFmtId="0" fontId="42" fillId="6" borderId="52" xfId="0" applyFont="1" applyFill="1" applyBorder="1" applyAlignment="1">
      <alignment horizontal="center"/>
    </xf>
    <xf numFmtId="0" fontId="42" fillId="0" borderId="0" xfId="0" applyFont="1" applyAlignment="1">
      <alignment horizontal="center"/>
    </xf>
    <xf numFmtId="0" fontId="42" fillId="74" borderId="0" xfId="0" applyFont="1" applyFill="1" applyAlignment="1">
      <alignment horizontal="center"/>
    </xf>
    <xf numFmtId="0" fontId="161" fillId="0" borderId="0" xfId="0" applyFont="1" applyAlignment="1">
      <alignment horizontal="center"/>
    </xf>
    <xf numFmtId="0" fontId="19" fillId="0" borderId="0" xfId="17" applyFont="1" applyBorder="1" applyAlignment="1">
      <alignment horizontal="center"/>
    </xf>
    <xf numFmtId="0" fontId="19" fillId="0" borderId="0" xfId="17" applyFont="1" applyAlignment="1">
      <alignment horizontal="center"/>
    </xf>
    <xf numFmtId="0" fontId="19" fillId="74" borderId="60" xfId="17" applyFont="1" applyFill="1" applyBorder="1" applyAlignment="1">
      <alignment horizontal="center"/>
    </xf>
    <xf numFmtId="0" fontId="19" fillId="74" borderId="55" xfId="17" applyFont="1" applyFill="1" applyBorder="1" applyAlignment="1">
      <alignment horizontal="center"/>
    </xf>
    <xf numFmtId="0" fontId="19" fillId="74" borderId="61" xfId="17" applyFont="1" applyFill="1" applyBorder="1" applyAlignment="1">
      <alignment horizontal="center"/>
    </xf>
    <xf numFmtId="0" fontId="19" fillId="0" borderId="24" xfId="17" applyFont="1" applyBorder="1" applyAlignment="1">
      <alignment horizontal="center"/>
    </xf>
    <xf numFmtId="0" fontId="19" fillId="0" borderId="25" xfId="17" applyFont="1" applyBorder="1" applyAlignment="1">
      <alignment horizontal="center"/>
    </xf>
    <xf numFmtId="0" fontId="19" fillId="0" borderId="26" xfId="17" applyFont="1" applyBorder="1" applyAlignment="1">
      <alignment horizontal="center"/>
    </xf>
    <xf numFmtId="0" fontId="19" fillId="0" borderId="27" xfId="17" applyFont="1" applyBorder="1" applyAlignment="1">
      <alignment horizontal="center"/>
    </xf>
    <xf numFmtId="0" fontId="19" fillId="0" borderId="28" xfId="17" applyFont="1" applyBorder="1" applyAlignment="1">
      <alignment horizontal="center"/>
    </xf>
    <xf numFmtId="0" fontId="19" fillId="74" borderId="50" xfId="0" applyFont="1" applyFill="1" applyBorder="1" applyAlignment="1">
      <alignment horizontal="center"/>
    </xf>
    <xf numFmtId="0" fontId="19" fillId="74" borderId="51" xfId="0" applyFont="1" applyFill="1" applyBorder="1" applyAlignment="1">
      <alignment horizontal="center"/>
    </xf>
    <xf numFmtId="0" fontId="19" fillId="74" borderId="52" xfId="0" applyFont="1" applyFill="1" applyBorder="1" applyAlignment="1">
      <alignment horizontal="center"/>
    </xf>
    <xf numFmtId="0" fontId="19" fillId="0" borderId="24" xfId="0" applyFont="1" applyBorder="1" applyAlignment="1">
      <alignment horizontal="center"/>
    </xf>
    <xf numFmtId="0" fontId="19" fillId="0" borderId="0" xfId="0" applyFont="1"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0" fontId="19" fillId="0" borderId="27" xfId="0" applyFont="1" applyBorder="1" applyAlignment="1">
      <alignment horizontal="center"/>
    </xf>
    <xf numFmtId="0" fontId="19" fillId="0" borderId="28" xfId="0" applyFont="1" applyBorder="1" applyAlignment="1">
      <alignment horizontal="center"/>
    </xf>
    <xf numFmtId="168" fontId="14" fillId="0" borderId="55" xfId="2" quotePrefix="1" applyNumberFormat="1" applyFont="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40" fillId="74" borderId="0" xfId="2" applyFont="1" applyFill="1" applyBorder="1" applyAlignment="1">
      <alignment horizontal="left" vertical="top" wrapText="1"/>
    </xf>
    <xf numFmtId="0" fontId="14" fillId="0" borderId="55" xfId="2"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3" fontId="14" fillId="0" borderId="51" xfId="2" applyNumberFormat="1" applyFont="1" applyBorder="1" applyAlignment="1">
      <alignment horizontal="center"/>
    </xf>
    <xf numFmtId="3" fontId="14" fillId="0" borderId="52" xfId="2" applyNumberFormat="1" applyFont="1" applyBorder="1" applyAlignment="1">
      <alignment horizontal="center"/>
    </xf>
    <xf numFmtId="0" fontId="14" fillId="0" borderId="51" xfId="2" applyFont="1" applyBorder="1" applyAlignment="1">
      <alignment horizontal="center"/>
    </xf>
    <xf numFmtId="0" fontId="14" fillId="0" borderId="0" xfId="2" applyFont="1" applyFill="1" applyBorder="1" applyAlignment="1">
      <alignment horizontal="center" vertical="center" wrapText="1"/>
    </xf>
    <xf numFmtId="0" fontId="14" fillId="0" borderId="10" xfId="2" applyFont="1" applyFill="1" applyBorder="1" applyAlignment="1">
      <alignment horizontal="center" vertical="center" wrapText="1"/>
    </xf>
    <xf numFmtId="3" fontId="33" fillId="0" borderId="0" xfId="12" applyNumberFormat="1" applyFont="1" applyFill="1" applyBorder="1" applyAlignment="1">
      <alignment horizontal="center"/>
    </xf>
    <xf numFmtId="3" fontId="41" fillId="0" borderId="27" xfId="12" applyNumberFormat="1" applyFont="1" applyFill="1" applyBorder="1" applyAlignment="1">
      <alignment horizontal="center"/>
    </xf>
    <xf numFmtId="168" fontId="14" fillId="0" borderId="0" xfId="2" applyNumberFormat="1" applyFont="1" applyFill="1" applyBorder="1" applyAlignment="1">
      <alignment horizontal="center" wrapText="1"/>
    </xf>
    <xf numFmtId="168" fontId="14" fillId="0" borderId="0" xfId="2" quotePrefix="1" applyNumberFormat="1" applyFont="1" applyFill="1" applyBorder="1" applyAlignment="1">
      <alignment horizontal="center" wrapText="1"/>
    </xf>
    <xf numFmtId="168" fontId="14" fillId="0" borderId="10" xfId="2" quotePrefix="1" applyNumberFormat="1" applyFont="1" applyFill="1" applyBorder="1" applyAlignment="1">
      <alignment horizontal="center" wrapText="1"/>
    </xf>
    <xf numFmtId="0" fontId="14" fillId="0" borderId="0" xfId="2" applyFont="1" applyFill="1" applyBorder="1" applyAlignment="1">
      <alignment horizontal="center" wrapText="1"/>
    </xf>
    <xf numFmtId="0" fontId="14" fillId="0" borderId="0" xfId="2" quotePrefix="1" applyFont="1" applyFill="1" applyBorder="1" applyAlignment="1">
      <alignment horizontal="center" wrapText="1"/>
    </xf>
    <xf numFmtId="0" fontId="14" fillId="0" borderId="10" xfId="2" quotePrefix="1" applyFont="1" applyFill="1" applyBorder="1" applyAlignment="1">
      <alignment horizontal="center" wrapText="1"/>
    </xf>
    <xf numFmtId="0" fontId="14" fillId="0" borderId="10" xfId="2" applyFont="1" applyFill="1" applyBorder="1" applyAlignment="1">
      <alignment horizontal="center" wrapText="1"/>
    </xf>
    <xf numFmtId="0" fontId="14" fillId="0" borderId="0" xfId="2" applyFont="1" applyBorder="1" applyAlignment="1">
      <alignment horizontal="center" vertical="center" wrapText="1"/>
    </xf>
    <xf numFmtId="0" fontId="14" fillId="0" borderId="10" xfId="2" applyFont="1" applyBorder="1" applyAlignment="1">
      <alignment horizontal="center" vertical="center" wrapText="1"/>
    </xf>
    <xf numFmtId="0" fontId="14" fillId="0" borderId="50" xfId="2" applyFont="1" applyBorder="1" applyAlignment="1">
      <alignment horizontal="center"/>
    </xf>
    <xf numFmtId="0" fontId="0" fillId="0" borderId="51" xfId="0" applyBorder="1" applyAlignment="1">
      <alignment horizontal="center"/>
    </xf>
    <xf numFmtId="3" fontId="10" fillId="0" borderId="0" xfId="12" applyNumberFormat="1" applyFont="1" applyFill="1" applyAlignment="1">
      <alignment horizontal="left" vertical="top" wrapText="1"/>
    </xf>
    <xf numFmtId="168" fontId="14" fillId="0" borderId="3" xfId="2" quotePrefix="1" applyNumberFormat="1" applyFont="1" applyBorder="1" applyAlignment="1">
      <alignment horizontal="center" vertical="center" wrapText="1"/>
    </xf>
    <xf numFmtId="168" fontId="14" fillId="0" borderId="0" xfId="2" quotePrefix="1" applyNumberFormat="1" applyFont="1" applyBorder="1" applyAlignment="1">
      <alignment horizontal="center" vertical="center" wrapText="1"/>
    </xf>
    <xf numFmtId="168" fontId="14" fillId="0" borderId="10" xfId="2" quotePrefix="1" applyNumberFormat="1" applyFont="1" applyBorder="1" applyAlignment="1">
      <alignment horizontal="center" vertical="center" wrapText="1"/>
    </xf>
    <xf numFmtId="168" fontId="14" fillId="0" borderId="3" xfId="2" quotePrefix="1" applyNumberFormat="1" applyFont="1" applyFill="1" applyBorder="1" applyAlignment="1">
      <alignment horizontal="center" wrapText="1"/>
    </xf>
    <xf numFmtId="168" fontId="14" fillId="0" borderId="3" xfId="2" quotePrefix="1" applyNumberFormat="1" applyFont="1" applyFill="1" applyBorder="1" applyAlignment="1">
      <alignment horizontal="center" vertical="center" wrapText="1"/>
    </xf>
    <xf numFmtId="168" fontId="14" fillId="0" borderId="0" xfId="2" quotePrefix="1" applyNumberFormat="1" applyFont="1" applyFill="1" applyBorder="1" applyAlignment="1">
      <alignment horizontal="center" vertical="center" wrapText="1"/>
    </xf>
    <xf numFmtId="168" fontId="14" fillId="0" borderId="10" xfId="2" quotePrefix="1" applyNumberFormat="1" applyFont="1" applyFill="1" applyBorder="1" applyAlignment="1">
      <alignment horizontal="center" vertical="center" wrapText="1"/>
    </xf>
    <xf numFmtId="10" fontId="34" fillId="0" borderId="0" xfId="13" applyNumberFormat="1" applyFont="1" applyFill="1" applyBorder="1" applyAlignment="1">
      <alignment horizontal="center"/>
    </xf>
    <xf numFmtId="3" fontId="41" fillId="0" borderId="0" xfId="0" applyNumberFormat="1" applyFont="1" applyFill="1" applyBorder="1" applyAlignment="1">
      <alignment horizontal="center"/>
    </xf>
    <xf numFmtId="3" fontId="33" fillId="0" borderId="0" xfId="0" applyNumberFormat="1" applyFont="1" applyFill="1" applyBorder="1" applyAlignment="1">
      <alignment horizontal="center"/>
    </xf>
    <xf numFmtId="3" fontId="34" fillId="0" borderId="0" xfId="0" applyNumberFormat="1" applyFont="1" applyFill="1" applyBorder="1" applyAlignment="1">
      <alignment horizontal="center"/>
    </xf>
    <xf numFmtId="0" fontId="158" fillId="74" borderId="0" xfId="0" applyFont="1" applyFill="1" applyAlignment="1">
      <alignment horizontal="left"/>
    </xf>
    <xf numFmtId="0" fontId="23" fillId="74" borderId="0" xfId="0" applyFont="1" applyFill="1" applyAlignment="1">
      <alignment horizontal="left" vertical="top" wrapText="1"/>
    </xf>
    <xf numFmtId="0" fontId="19" fillId="0" borderId="0" xfId="0" applyFont="1" applyAlignment="1">
      <alignment horizontal="center"/>
    </xf>
    <xf numFmtId="0" fontId="147" fillId="0" borderId="0" xfId="0" applyFont="1" applyAlignment="1">
      <alignment horizontal="center" wrapText="1"/>
    </xf>
    <xf numFmtId="0" fontId="52" fillId="0" borderId="0" xfId="0" applyFont="1" applyAlignment="1">
      <alignment wrapText="1"/>
    </xf>
    <xf numFmtId="0" fontId="17" fillId="0" borderId="6" xfId="0" quotePrefix="1" applyFont="1" applyBorder="1" applyAlignment="1">
      <alignment horizontal="center"/>
    </xf>
    <xf numFmtId="0" fontId="17" fillId="0" borderId="0" xfId="0" quotePrefix="1" applyFont="1" applyBorder="1" applyAlignment="1">
      <alignment horizontal="center"/>
    </xf>
    <xf numFmtId="0" fontId="17" fillId="0" borderId="7" xfId="0" quotePrefix="1" applyFont="1" applyBorder="1" applyAlignment="1">
      <alignment horizontal="center"/>
    </xf>
    <xf numFmtId="10" fontId="0" fillId="76" borderId="0" xfId="0" applyNumberFormat="1" applyFill="1"/>
    <xf numFmtId="10" fontId="0" fillId="76" borderId="0" xfId="0" applyNumberFormat="1" applyFill="1" applyBorder="1"/>
  </cellXfs>
  <cellStyles count="42085">
    <cellStyle name="%" xfId="41871"/>
    <cellStyle name="% 2" xfId="41872"/>
    <cellStyle name="20% - Accent1" xfId="21661" builtinId="30" customBuiltin="1"/>
    <cellStyle name="20% - Accent1 10" xfId="22239"/>
    <cellStyle name="20% - Accent1 10 2" xfId="22580"/>
    <cellStyle name="20% - Accent1 10 3" xfId="41421"/>
    <cellStyle name="20% - Accent1 10 4" xfId="41764"/>
    <cellStyle name="20% - Accent1 11" xfId="22267"/>
    <cellStyle name="20% - Accent1 11 2" xfId="22596"/>
    <cellStyle name="20% - Accent1 11 3" xfId="41448"/>
    <cellStyle name="20% - Accent1 11 4" xfId="41780"/>
    <cellStyle name="20% - Accent1 12" xfId="22292"/>
    <cellStyle name="20% - Accent1 12 2" xfId="22612"/>
    <cellStyle name="20% - Accent1 12 3" xfId="41472"/>
    <cellStyle name="20% - Accent1 12 4" xfId="41796"/>
    <cellStyle name="20% - Accent1 13" xfId="22316"/>
    <cellStyle name="20% - Accent1 13 2" xfId="22628"/>
    <cellStyle name="20% - Accent1 13 3" xfId="41450"/>
    <cellStyle name="20% - Accent1 13 4" xfId="41812"/>
    <cellStyle name="20% - Accent1 14" xfId="22338"/>
    <cellStyle name="20% - Accent1 14 2" xfId="22644"/>
    <cellStyle name="20% - Accent1 14 3" xfId="41416"/>
    <cellStyle name="20% - Accent1 14 4" xfId="41828"/>
    <cellStyle name="20% - Accent1 15" xfId="22354"/>
    <cellStyle name="20% - Accent1 15 2" xfId="22660"/>
    <cellStyle name="20% - Accent1 15 3" xfId="41408"/>
    <cellStyle name="20% - Accent1 15 4" xfId="41844"/>
    <cellStyle name="20% - Accent1 16" xfId="22376"/>
    <cellStyle name="20% - Accent1 17" xfId="41560"/>
    <cellStyle name="20% - Accent1 2" xfId="385"/>
    <cellStyle name="20% - Accent1 2 2" xfId="3831"/>
    <cellStyle name="20% - Accent1 2 2 2" xfId="5456"/>
    <cellStyle name="20% - Accent1 2 2 2 2" xfId="8542"/>
    <cellStyle name="20% - Accent1 2 2 2 2 2" xfId="14735"/>
    <cellStyle name="20% - Accent1 2 2 2 2 2 2" xfId="34413"/>
    <cellStyle name="20% - Accent1 2 2 2 2 3" xfId="20887"/>
    <cellStyle name="20% - Accent1 2 2 2 2 3 2" xfId="40565"/>
    <cellStyle name="20% - Accent1 2 2 2 2 4" xfId="28249"/>
    <cellStyle name="20% - Accent1 2 2 2 3" xfId="11669"/>
    <cellStyle name="20% - Accent1 2 2 2 3 2" xfId="31347"/>
    <cellStyle name="20% - Accent1 2 2 2 4" xfId="17821"/>
    <cellStyle name="20% - Accent1 2 2 2 4 2" xfId="37499"/>
    <cellStyle name="20% - Accent1 2 2 2 5" xfId="25183"/>
    <cellStyle name="20% - Accent1 2 2 3" xfId="7007"/>
    <cellStyle name="20% - Accent1 2 2 3 2" xfId="13201"/>
    <cellStyle name="20% - Accent1 2 2 3 2 2" xfId="32879"/>
    <cellStyle name="20% - Accent1 2 2 3 3" xfId="19353"/>
    <cellStyle name="20% - Accent1 2 2 3 3 2" xfId="39031"/>
    <cellStyle name="20% - Accent1 2 2 3 4" xfId="26715"/>
    <cellStyle name="20% - Accent1 2 2 4" xfId="10135"/>
    <cellStyle name="20% - Accent1 2 2 4 2" xfId="29813"/>
    <cellStyle name="20% - Accent1 2 2 5" xfId="16287"/>
    <cellStyle name="20% - Accent1 2 2 5 2" xfId="35965"/>
    <cellStyle name="20% - Accent1 2 2 6" xfId="23649"/>
    <cellStyle name="20% - Accent1 2 2 7" xfId="22452"/>
    <cellStyle name="20% - Accent1 2 3" xfId="4670"/>
    <cellStyle name="20% - Accent1 2 3 2" xfId="7773"/>
    <cellStyle name="20% - Accent1 2 3 2 2" xfId="13966"/>
    <cellStyle name="20% - Accent1 2 3 2 2 2" xfId="33644"/>
    <cellStyle name="20% - Accent1 2 3 2 3" xfId="20118"/>
    <cellStyle name="20% - Accent1 2 3 2 3 2" xfId="39796"/>
    <cellStyle name="20% - Accent1 2 3 2 4" xfId="27480"/>
    <cellStyle name="20% - Accent1 2 3 3" xfId="10900"/>
    <cellStyle name="20% - Accent1 2 3 3 2" xfId="30578"/>
    <cellStyle name="20% - Accent1 2 3 4" xfId="17052"/>
    <cellStyle name="20% - Accent1 2 3 4 2" xfId="36730"/>
    <cellStyle name="20% - Accent1 2 3 5" xfId="24414"/>
    <cellStyle name="20% - Accent1 2 4" xfId="6238"/>
    <cellStyle name="20% - Accent1 2 4 2" xfId="12432"/>
    <cellStyle name="20% - Accent1 2 4 2 2" xfId="32110"/>
    <cellStyle name="20% - Accent1 2 4 3" xfId="18584"/>
    <cellStyle name="20% - Accent1 2 4 3 2" xfId="38262"/>
    <cellStyle name="20% - Accent1 2 4 4" xfId="25946"/>
    <cellStyle name="20% - Accent1 2 5" xfId="9366"/>
    <cellStyle name="20% - Accent1 2 5 2" xfId="29044"/>
    <cellStyle name="20% - Accent1 2 6" xfId="15518"/>
    <cellStyle name="20% - Accent1 2 6 2" xfId="35196"/>
    <cellStyle name="20% - Accent1 2 7" xfId="22762"/>
    <cellStyle name="20% - Accent1 2 8" xfId="41636"/>
    <cellStyle name="20% - Accent1 2 9" xfId="22015"/>
    <cellStyle name="20% - Accent1 3" xfId="386"/>
    <cellStyle name="20% - Accent1 3 2" xfId="3832"/>
    <cellStyle name="20% - Accent1 3 2 2" xfId="5457"/>
    <cellStyle name="20% - Accent1 3 2 2 2" xfId="8543"/>
    <cellStyle name="20% - Accent1 3 2 2 2 2" xfId="14736"/>
    <cellStyle name="20% - Accent1 3 2 2 2 2 2" xfId="34414"/>
    <cellStyle name="20% - Accent1 3 2 2 2 3" xfId="20888"/>
    <cellStyle name="20% - Accent1 3 2 2 2 3 2" xfId="40566"/>
    <cellStyle name="20% - Accent1 3 2 2 2 4" xfId="28250"/>
    <cellStyle name="20% - Accent1 3 2 2 3" xfId="11670"/>
    <cellStyle name="20% - Accent1 3 2 2 3 2" xfId="31348"/>
    <cellStyle name="20% - Accent1 3 2 2 4" xfId="17822"/>
    <cellStyle name="20% - Accent1 3 2 2 4 2" xfId="37500"/>
    <cellStyle name="20% - Accent1 3 2 2 5" xfId="25184"/>
    <cellStyle name="20% - Accent1 3 2 3" xfId="7008"/>
    <cellStyle name="20% - Accent1 3 2 3 2" xfId="13202"/>
    <cellStyle name="20% - Accent1 3 2 3 2 2" xfId="32880"/>
    <cellStyle name="20% - Accent1 3 2 3 3" xfId="19354"/>
    <cellStyle name="20% - Accent1 3 2 3 3 2" xfId="39032"/>
    <cellStyle name="20% - Accent1 3 2 3 4" xfId="26716"/>
    <cellStyle name="20% - Accent1 3 2 4" xfId="10136"/>
    <cellStyle name="20% - Accent1 3 2 4 2" xfId="29814"/>
    <cellStyle name="20% - Accent1 3 2 5" xfId="16288"/>
    <cellStyle name="20% - Accent1 3 2 5 2" xfId="35966"/>
    <cellStyle name="20% - Accent1 3 2 6" xfId="23650"/>
    <cellStyle name="20% - Accent1 3 2 7" xfId="22468"/>
    <cellStyle name="20% - Accent1 3 3" xfId="4671"/>
    <cellStyle name="20% - Accent1 3 3 2" xfId="7774"/>
    <cellStyle name="20% - Accent1 3 3 2 2" xfId="13967"/>
    <cellStyle name="20% - Accent1 3 3 2 2 2" xfId="33645"/>
    <cellStyle name="20% - Accent1 3 3 2 3" xfId="20119"/>
    <cellStyle name="20% - Accent1 3 3 2 3 2" xfId="39797"/>
    <cellStyle name="20% - Accent1 3 3 2 4" xfId="27481"/>
    <cellStyle name="20% - Accent1 3 3 3" xfId="10901"/>
    <cellStyle name="20% - Accent1 3 3 3 2" xfId="30579"/>
    <cellStyle name="20% - Accent1 3 3 4" xfId="17053"/>
    <cellStyle name="20% - Accent1 3 3 4 2" xfId="36731"/>
    <cellStyle name="20% - Accent1 3 3 5" xfId="24415"/>
    <cellStyle name="20% - Accent1 3 4" xfId="6239"/>
    <cellStyle name="20% - Accent1 3 4 2" xfId="12433"/>
    <cellStyle name="20% - Accent1 3 4 2 2" xfId="32111"/>
    <cellStyle name="20% - Accent1 3 4 3" xfId="18585"/>
    <cellStyle name="20% - Accent1 3 4 3 2" xfId="38263"/>
    <cellStyle name="20% - Accent1 3 4 4" xfId="25947"/>
    <cellStyle name="20% - Accent1 3 5" xfId="9367"/>
    <cellStyle name="20% - Accent1 3 5 2" xfId="29045"/>
    <cellStyle name="20% - Accent1 3 6" xfId="15519"/>
    <cellStyle name="20% - Accent1 3 6 2" xfId="35197"/>
    <cellStyle name="20% - Accent1 3 7" xfId="22763"/>
    <cellStyle name="20% - Accent1 3 8" xfId="41652"/>
    <cellStyle name="20% - Accent1 3 9" xfId="22046"/>
    <cellStyle name="20% - Accent1 4" xfId="387"/>
    <cellStyle name="20% - Accent1 4 2" xfId="3833"/>
    <cellStyle name="20% - Accent1 4 2 2" xfId="5458"/>
    <cellStyle name="20% - Accent1 4 2 2 2" xfId="8544"/>
    <cellStyle name="20% - Accent1 4 2 2 2 2" xfId="14737"/>
    <cellStyle name="20% - Accent1 4 2 2 2 2 2" xfId="34415"/>
    <cellStyle name="20% - Accent1 4 2 2 2 3" xfId="20889"/>
    <cellStyle name="20% - Accent1 4 2 2 2 3 2" xfId="40567"/>
    <cellStyle name="20% - Accent1 4 2 2 2 4" xfId="28251"/>
    <cellStyle name="20% - Accent1 4 2 2 3" xfId="11671"/>
    <cellStyle name="20% - Accent1 4 2 2 3 2" xfId="31349"/>
    <cellStyle name="20% - Accent1 4 2 2 4" xfId="17823"/>
    <cellStyle name="20% - Accent1 4 2 2 4 2" xfId="37501"/>
    <cellStyle name="20% - Accent1 4 2 2 5" xfId="25185"/>
    <cellStyle name="20% - Accent1 4 2 3" xfId="7009"/>
    <cellStyle name="20% - Accent1 4 2 3 2" xfId="13203"/>
    <cellStyle name="20% - Accent1 4 2 3 2 2" xfId="32881"/>
    <cellStyle name="20% - Accent1 4 2 3 3" xfId="19355"/>
    <cellStyle name="20% - Accent1 4 2 3 3 2" xfId="39033"/>
    <cellStyle name="20% - Accent1 4 2 3 4" xfId="26717"/>
    <cellStyle name="20% - Accent1 4 2 4" xfId="10137"/>
    <cellStyle name="20% - Accent1 4 2 4 2" xfId="29815"/>
    <cellStyle name="20% - Accent1 4 2 5" xfId="16289"/>
    <cellStyle name="20% - Accent1 4 2 5 2" xfId="35967"/>
    <cellStyle name="20% - Accent1 4 2 6" xfId="23651"/>
    <cellStyle name="20% - Accent1 4 2 7" xfId="22484"/>
    <cellStyle name="20% - Accent1 4 3" xfId="4672"/>
    <cellStyle name="20% - Accent1 4 3 2" xfId="7775"/>
    <cellStyle name="20% - Accent1 4 3 2 2" xfId="13968"/>
    <cellStyle name="20% - Accent1 4 3 2 2 2" xfId="33646"/>
    <cellStyle name="20% - Accent1 4 3 2 3" xfId="20120"/>
    <cellStyle name="20% - Accent1 4 3 2 3 2" xfId="39798"/>
    <cellStyle name="20% - Accent1 4 3 2 4" xfId="27482"/>
    <cellStyle name="20% - Accent1 4 3 3" xfId="10902"/>
    <cellStyle name="20% - Accent1 4 3 3 2" xfId="30580"/>
    <cellStyle name="20% - Accent1 4 3 4" xfId="17054"/>
    <cellStyle name="20% - Accent1 4 3 4 2" xfId="36732"/>
    <cellStyle name="20% - Accent1 4 3 5" xfId="24416"/>
    <cellStyle name="20% - Accent1 4 4" xfId="6240"/>
    <cellStyle name="20% - Accent1 4 4 2" xfId="12434"/>
    <cellStyle name="20% - Accent1 4 4 2 2" xfId="32112"/>
    <cellStyle name="20% - Accent1 4 4 3" xfId="18586"/>
    <cellStyle name="20% - Accent1 4 4 3 2" xfId="38264"/>
    <cellStyle name="20% - Accent1 4 4 4" xfId="25948"/>
    <cellStyle name="20% - Accent1 4 5" xfId="9368"/>
    <cellStyle name="20% - Accent1 4 5 2" xfId="29046"/>
    <cellStyle name="20% - Accent1 4 6" xfId="15520"/>
    <cellStyle name="20% - Accent1 4 6 2" xfId="35198"/>
    <cellStyle name="20% - Accent1 4 7" xfId="22764"/>
    <cellStyle name="20% - Accent1 4 8" xfId="41668"/>
    <cellStyle name="20% - Accent1 4 9" xfId="22074"/>
    <cellStyle name="20% - Accent1 5" xfId="388"/>
    <cellStyle name="20% - Accent1 5 10" xfId="22101"/>
    <cellStyle name="20% - Accent1 5 2" xfId="3834"/>
    <cellStyle name="20% - Accent1 5 2 2" xfId="5459"/>
    <cellStyle name="20% - Accent1 5 2 2 2" xfId="8545"/>
    <cellStyle name="20% - Accent1 5 2 2 2 2" xfId="14738"/>
    <cellStyle name="20% - Accent1 5 2 2 2 2 2" xfId="34416"/>
    <cellStyle name="20% - Accent1 5 2 2 2 3" xfId="20890"/>
    <cellStyle name="20% - Accent1 5 2 2 2 3 2" xfId="40568"/>
    <cellStyle name="20% - Accent1 5 2 2 2 4" xfId="28252"/>
    <cellStyle name="20% - Accent1 5 2 2 3" xfId="11672"/>
    <cellStyle name="20% - Accent1 5 2 2 3 2" xfId="31350"/>
    <cellStyle name="20% - Accent1 5 2 2 4" xfId="17824"/>
    <cellStyle name="20% - Accent1 5 2 2 4 2" xfId="37502"/>
    <cellStyle name="20% - Accent1 5 2 2 5" xfId="25186"/>
    <cellStyle name="20% - Accent1 5 2 3" xfId="7010"/>
    <cellStyle name="20% - Accent1 5 2 3 2" xfId="13204"/>
    <cellStyle name="20% - Accent1 5 2 3 2 2" xfId="32882"/>
    <cellStyle name="20% - Accent1 5 2 3 3" xfId="19356"/>
    <cellStyle name="20% - Accent1 5 2 3 3 2" xfId="39034"/>
    <cellStyle name="20% - Accent1 5 2 3 4" xfId="26718"/>
    <cellStyle name="20% - Accent1 5 2 4" xfId="10138"/>
    <cellStyle name="20% - Accent1 5 2 4 2" xfId="29816"/>
    <cellStyle name="20% - Accent1 5 2 5" xfId="16290"/>
    <cellStyle name="20% - Accent1 5 2 5 2" xfId="35968"/>
    <cellStyle name="20% - Accent1 5 2 6" xfId="23652"/>
    <cellStyle name="20% - Accent1 5 2 7" xfId="22500"/>
    <cellStyle name="20% - Accent1 5 3" xfId="4673"/>
    <cellStyle name="20% - Accent1 5 3 2" xfId="7776"/>
    <cellStyle name="20% - Accent1 5 3 2 2" xfId="13969"/>
    <cellStyle name="20% - Accent1 5 3 2 2 2" xfId="33647"/>
    <cellStyle name="20% - Accent1 5 3 2 3" xfId="20121"/>
    <cellStyle name="20% - Accent1 5 3 2 3 2" xfId="39799"/>
    <cellStyle name="20% - Accent1 5 3 2 4" xfId="27483"/>
    <cellStyle name="20% - Accent1 5 3 3" xfId="10903"/>
    <cellStyle name="20% - Accent1 5 3 3 2" xfId="30581"/>
    <cellStyle name="20% - Accent1 5 3 4" xfId="17055"/>
    <cellStyle name="20% - Accent1 5 3 4 2" xfId="36733"/>
    <cellStyle name="20% - Accent1 5 3 5" xfId="24417"/>
    <cellStyle name="20% - Accent1 5 4" xfId="6241"/>
    <cellStyle name="20% - Accent1 5 4 2" xfId="12435"/>
    <cellStyle name="20% - Accent1 5 4 2 2" xfId="32113"/>
    <cellStyle name="20% - Accent1 5 4 3" xfId="18587"/>
    <cellStyle name="20% - Accent1 5 4 3 2" xfId="38265"/>
    <cellStyle name="20% - Accent1 5 4 4" xfId="25949"/>
    <cellStyle name="20% - Accent1 5 5" xfId="9369"/>
    <cellStyle name="20% - Accent1 5 5 2" xfId="29047"/>
    <cellStyle name="20% - Accent1 5 6" xfId="15521"/>
    <cellStyle name="20% - Accent1 5 6 2" xfId="35199"/>
    <cellStyle name="20% - Accent1 5 7" xfId="22765"/>
    <cellStyle name="20% - Accent1 5 8" xfId="41490"/>
    <cellStyle name="20% - Accent1 5 9" xfId="41684"/>
    <cellStyle name="20% - Accent1 6" xfId="389"/>
    <cellStyle name="20% - Accent1 6 2" xfId="22516"/>
    <cellStyle name="20% - Accent1 6 3" xfId="22766"/>
    <cellStyle name="20% - Accent1 6 4" xfId="41507"/>
    <cellStyle name="20% - Accent1 6 5" xfId="41700"/>
    <cellStyle name="20% - Accent1 6 6" xfId="22127"/>
    <cellStyle name="20% - Accent1 7" xfId="22151"/>
    <cellStyle name="20% - Accent1 7 2" xfId="22532"/>
    <cellStyle name="20% - Accent1 7 3" xfId="41339"/>
    <cellStyle name="20% - Accent1 7 4" xfId="41716"/>
    <cellStyle name="20% - Accent1 8" xfId="22173"/>
    <cellStyle name="20% - Accent1 8 2" xfId="22548"/>
    <cellStyle name="20% - Accent1 8 3" xfId="41555"/>
    <cellStyle name="20% - Accent1 8 4" xfId="41732"/>
    <cellStyle name="20% - Accent1 9" xfId="22210"/>
    <cellStyle name="20% - Accent1 9 2" xfId="22564"/>
    <cellStyle name="20% - Accent1 9 3" xfId="41515"/>
    <cellStyle name="20% - Accent1 9 4" xfId="41748"/>
    <cellStyle name="20% - Accent2" xfId="21665" builtinId="34" customBuiltin="1"/>
    <cellStyle name="20% - Accent2 10" xfId="22242"/>
    <cellStyle name="20% - Accent2 10 2" xfId="22582"/>
    <cellStyle name="20% - Accent2 10 3" xfId="41382"/>
    <cellStyle name="20% - Accent2 10 4" xfId="41766"/>
    <cellStyle name="20% - Accent2 11" xfId="22270"/>
    <cellStyle name="20% - Accent2 11 2" xfId="22598"/>
    <cellStyle name="20% - Accent2 11 3" xfId="41509"/>
    <cellStyle name="20% - Accent2 11 4" xfId="41782"/>
    <cellStyle name="20% - Accent2 12" xfId="22295"/>
    <cellStyle name="20% - Accent2 12 2" xfId="22614"/>
    <cellStyle name="20% - Accent2 12 3" xfId="41480"/>
    <cellStyle name="20% - Accent2 12 4" xfId="41798"/>
    <cellStyle name="20% - Accent2 13" xfId="22318"/>
    <cellStyle name="20% - Accent2 13 2" xfId="22630"/>
    <cellStyle name="20% - Accent2 13 3" xfId="41511"/>
    <cellStyle name="20% - Accent2 13 4" xfId="41814"/>
    <cellStyle name="20% - Accent2 14" xfId="22340"/>
    <cellStyle name="20% - Accent2 14 2" xfId="22646"/>
    <cellStyle name="20% - Accent2 14 3" xfId="41342"/>
    <cellStyle name="20% - Accent2 14 4" xfId="41830"/>
    <cellStyle name="20% - Accent2 15" xfId="22356"/>
    <cellStyle name="20% - Accent2 15 2" xfId="22662"/>
    <cellStyle name="20% - Accent2 15 3" xfId="41400"/>
    <cellStyle name="20% - Accent2 15 4" xfId="41846"/>
    <cellStyle name="20% - Accent2 16" xfId="22378"/>
    <cellStyle name="20% - Accent2 17" xfId="41562"/>
    <cellStyle name="20% - Accent2 2" xfId="390"/>
    <cellStyle name="20% - Accent2 2 2" xfId="3835"/>
    <cellStyle name="20% - Accent2 2 2 2" xfId="5460"/>
    <cellStyle name="20% - Accent2 2 2 2 2" xfId="8546"/>
    <cellStyle name="20% - Accent2 2 2 2 2 2" xfId="14739"/>
    <cellStyle name="20% - Accent2 2 2 2 2 2 2" xfId="34417"/>
    <cellStyle name="20% - Accent2 2 2 2 2 3" xfId="20891"/>
    <cellStyle name="20% - Accent2 2 2 2 2 3 2" xfId="40569"/>
    <cellStyle name="20% - Accent2 2 2 2 2 4" xfId="28253"/>
    <cellStyle name="20% - Accent2 2 2 2 3" xfId="11673"/>
    <cellStyle name="20% - Accent2 2 2 2 3 2" xfId="31351"/>
    <cellStyle name="20% - Accent2 2 2 2 4" xfId="17825"/>
    <cellStyle name="20% - Accent2 2 2 2 4 2" xfId="37503"/>
    <cellStyle name="20% - Accent2 2 2 2 5" xfId="25187"/>
    <cellStyle name="20% - Accent2 2 2 3" xfId="7011"/>
    <cellStyle name="20% - Accent2 2 2 3 2" xfId="13205"/>
    <cellStyle name="20% - Accent2 2 2 3 2 2" xfId="32883"/>
    <cellStyle name="20% - Accent2 2 2 3 3" xfId="19357"/>
    <cellStyle name="20% - Accent2 2 2 3 3 2" xfId="39035"/>
    <cellStyle name="20% - Accent2 2 2 3 4" xfId="26719"/>
    <cellStyle name="20% - Accent2 2 2 4" xfId="10139"/>
    <cellStyle name="20% - Accent2 2 2 4 2" xfId="29817"/>
    <cellStyle name="20% - Accent2 2 2 5" xfId="16291"/>
    <cellStyle name="20% - Accent2 2 2 5 2" xfId="35969"/>
    <cellStyle name="20% - Accent2 2 2 6" xfId="23653"/>
    <cellStyle name="20% - Accent2 2 2 7" xfId="22454"/>
    <cellStyle name="20% - Accent2 2 3" xfId="4674"/>
    <cellStyle name="20% - Accent2 2 3 2" xfId="7777"/>
    <cellStyle name="20% - Accent2 2 3 2 2" xfId="13970"/>
    <cellStyle name="20% - Accent2 2 3 2 2 2" xfId="33648"/>
    <cellStyle name="20% - Accent2 2 3 2 3" xfId="20122"/>
    <cellStyle name="20% - Accent2 2 3 2 3 2" xfId="39800"/>
    <cellStyle name="20% - Accent2 2 3 2 4" xfId="27484"/>
    <cellStyle name="20% - Accent2 2 3 3" xfId="10904"/>
    <cellStyle name="20% - Accent2 2 3 3 2" xfId="30582"/>
    <cellStyle name="20% - Accent2 2 3 4" xfId="17056"/>
    <cellStyle name="20% - Accent2 2 3 4 2" xfId="36734"/>
    <cellStyle name="20% - Accent2 2 3 5" xfId="24418"/>
    <cellStyle name="20% - Accent2 2 4" xfId="6242"/>
    <cellStyle name="20% - Accent2 2 4 2" xfId="12436"/>
    <cellStyle name="20% - Accent2 2 4 2 2" xfId="32114"/>
    <cellStyle name="20% - Accent2 2 4 3" xfId="18588"/>
    <cellStyle name="20% - Accent2 2 4 3 2" xfId="38266"/>
    <cellStyle name="20% - Accent2 2 4 4" xfId="25950"/>
    <cellStyle name="20% - Accent2 2 5" xfId="9370"/>
    <cellStyle name="20% - Accent2 2 5 2" xfId="29048"/>
    <cellStyle name="20% - Accent2 2 6" xfId="15522"/>
    <cellStyle name="20% - Accent2 2 6 2" xfId="35200"/>
    <cellStyle name="20% - Accent2 2 7" xfId="22767"/>
    <cellStyle name="20% - Accent2 2 8" xfId="41638"/>
    <cellStyle name="20% - Accent2 2 9" xfId="22019"/>
    <cellStyle name="20% - Accent2 3" xfId="391"/>
    <cellStyle name="20% - Accent2 3 2" xfId="3836"/>
    <cellStyle name="20% - Accent2 3 2 2" xfId="5461"/>
    <cellStyle name="20% - Accent2 3 2 2 2" xfId="8547"/>
    <cellStyle name="20% - Accent2 3 2 2 2 2" xfId="14740"/>
    <cellStyle name="20% - Accent2 3 2 2 2 2 2" xfId="34418"/>
    <cellStyle name="20% - Accent2 3 2 2 2 3" xfId="20892"/>
    <cellStyle name="20% - Accent2 3 2 2 2 3 2" xfId="40570"/>
    <cellStyle name="20% - Accent2 3 2 2 2 4" xfId="28254"/>
    <cellStyle name="20% - Accent2 3 2 2 3" xfId="11674"/>
    <cellStyle name="20% - Accent2 3 2 2 3 2" xfId="31352"/>
    <cellStyle name="20% - Accent2 3 2 2 4" xfId="17826"/>
    <cellStyle name="20% - Accent2 3 2 2 4 2" xfId="37504"/>
    <cellStyle name="20% - Accent2 3 2 2 5" xfId="25188"/>
    <cellStyle name="20% - Accent2 3 2 3" xfId="7012"/>
    <cellStyle name="20% - Accent2 3 2 3 2" xfId="13206"/>
    <cellStyle name="20% - Accent2 3 2 3 2 2" xfId="32884"/>
    <cellStyle name="20% - Accent2 3 2 3 3" xfId="19358"/>
    <cellStyle name="20% - Accent2 3 2 3 3 2" xfId="39036"/>
    <cellStyle name="20% - Accent2 3 2 3 4" xfId="26720"/>
    <cellStyle name="20% - Accent2 3 2 4" xfId="10140"/>
    <cellStyle name="20% - Accent2 3 2 4 2" xfId="29818"/>
    <cellStyle name="20% - Accent2 3 2 5" xfId="16292"/>
    <cellStyle name="20% - Accent2 3 2 5 2" xfId="35970"/>
    <cellStyle name="20% - Accent2 3 2 6" xfId="23654"/>
    <cellStyle name="20% - Accent2 3 2 7" xfId="22470"/>
    <cellStyle name="20% - Accent2 3 3" xfId="4675"/>
    <cellStyle name="20% - Accent2 3 3 2" xfId="7778"/>
    <cellStyle name="20% - Accent2 3 3 2 2" xfId="13971"/>
    <cellStyle name="20% - Accent2 3 3 2 2 2" xfId="33649"/>
    <cellStyle name="20% - Accent2 3 3 2 3" xfId="20123"/>
    <cellStyle name="20% - Accent2 3 3 2 3 2" xfId="39801"/>
    <cellStyle name="20% - Accent2 3 3 2 4" xfId="27485"/>
    <cellStyle name="20% - Accent2 3 3 3" xfId="10905"/>
    <cellStyle name="20% - Accent2 3 3 3 2" xfId="30583"/>
    <cellStyle name="20% - Accent2 3 3 4" xfId="17057"/>
    <cellStyle name="20% - Accent2 3 3 4 2" xfId="36735"/>
    <cellStyle name="20% - Accent2 3 3 5" xfId="24419"/>
    <cellStyle name="20% - Accent2 3 4" xfId="6243"/>
    <cellStyle name="20% - Accent2 3 4 2" xfId="12437"/>
    <cellStyle name="20% - Accent2 3 4 2 2" xfId="32115"/>
    <cellStyle name="20% - Accent2 3 4 3" xfId="18589"/>
    <cellStyle name="20% - Accent2 3 4 3 2" xfId="38267"/>
    <cellStyle name="20% - Accent2 3 4 4" xfId="25951"/>
    <cellStyle name="20% - Accent2 3 5" xfId="9371"/>
    <cellStyle name="20% - Accent2 3 5 2" xfId="29049"/>
    <cellStyle name="20% - Accent2 3 6" xfId="15523"/>
    <cellStyle name="20% - Accent2 3 6 2" xfId="35201"/>
    <cellStyle name="20% - Accent2 3 7" xfId="22768"/>
    <cellStyle name="20% - Accent2 3 8" xfId="41654"/>
    <cellStyle name="20% - Accent2 3 9" xfId="22049"/>
    <cellStyle name="20% - Accent2 4" xfId="392"/>
    <cellStyle name="20% - Accent2 4 2" xfId="3837"/>
    <cellStyle name="20% - Accent2 4 2 2" xfId="5462"/>
    <cellStyle name="20% - Accent2 4 2 2 2" xfId="8548"/>
    <cellStyle name="20% - Accent2 4 2 2 2 2" xfId="14741"/>
    <cellStyle name="20% - Accent2 4 2 2 2 2 2" xfId="34419"/>
    <cellStyle name="20% - Accent2 4 2 2 2 3" xfId="20893"/>
    <cellStyle name="20% - Accent2 4 2 2 2 3 2" xfId="40571"/>
    <cellStyle name="20% - Accent2 4 2 2 2 4" xfId="28255"/>
    <cellStyle name="20% - Accent2 4 2 2 3" xfId="11675"/>
    <cellStyle name="20% - Accent2 4 2 2 3 2" xfId="31353"/>
    <cellStyle name="20% - Accent2 4 2 2 4" xfId="17827"/>
    <cellStyle name="20% - Accent2 4 2 2 4 2" xfId="37505"/>
    <cellStyle name="20% - Accent2 4 2 2 5" xfId="25189"/>
    <cellStyle name="20% - Accent2 4 2 3" xfId="7013"/>
    <cellStyle name="20% - Accent2 4 2 3 2" xfId="13207"/>
    <cellStyle name="20% - Accent2 4 2 3 2 2" xfId="32885"/>
    <cellStyle name="20% - Accent2 4 2 3 3" xfId="19359"/>
    <cellStyle name="20% - Accent2 4 2 3 3 2" xfId="39037"/>
    <cellStyle name="20% - Accent2 4 2 3 4" xfId="26721"/>
    <cellStyle name="20% - Accent2 4 2 4" xfId="10141"/>
    <cellStyle name="20% - Accent2 4 2 4 2" xfId="29819"/>
    <cellStyle name="20% - Accent2 4 2 5" xfId="16293"/>
    <cellStyle name="20% - Accent2 4 2 5 2" xfId="35971"/>
    <cellStyle name="20% - Accent2 4 2 6" xfId="23655"/>
    <cellStyle name="20% - Accent2 4 2 7" xfId="22486"/>
    <cellStyle name="20% - Accent2 4 3" xfId="4676"/>
    <cellStyle name="20% - Accent2 4 3 2" xfId="7779"/>
    <cellStyle name="20% - Accent2 4 3 2 2" xfId="13972"/>
    <cellStyle name="20% - Accent2 4 3 2 2 2" xfId="33650"/>
    <cellStyle name="20% - Accent2 4 3 2 3" xfId="20124"/>
    <cellStyle name="20% - Accent2 4 3 2 3 2" xfId="39802"/>
    <cellStyle name="20% - Accent2 4 3 2 4" xfId="27486"/>
    <cellStyle name="20% - Accent2 4 3 3" xfId="10906"/>
    <cellStyle name="20% - Accent2 4 3 3 2" xfId="30584"/>
    <cellStyle name="20% - Accent2 4 3 4" xfId="17058"/>
    <cellStyle name="20% - Accent2 4 3 4 2" xfId="36736"/>
    <cellStyle name="20% - Accent2 4 3 5" xfId="24420"/>
    <cellStyle name="20% - Accent2 4 4" xfId="6244"/>
    <cellStyle name="20% - Accent2 4 4 2" xfId="12438"/>
    <cellStyle name="20% - Accent2 4 4 2 2" xfId="32116"/>
    <cellStyle name="20% - Accent2 4 4 3" xfId="18590"/>
    <cellStyle name="20% - Accent2 4 4 3 2" xfId="38268"/>
    <cellStyle name="20% - Accent2 4 4 4" xfId="25952"/>
    <cellStyle name="20% - Accent2 4 5" xfId="9372"/>
    <cellStyle name="20% - Accent2 4 5 2" xfId="29050"/>
    <cellStyle name="20% - Accent2 4 6" xfId="15524"/>
    <cellStyle name="20% - Accent2 4 6 2" xfId="35202"/>
    <cellStyle name="20% - Accent2 4 7" xfId="22769"/>
    <cellStyle name="20% - Accent2 4 8" xfId="41670"/>
    <cellStyle name="20% - Accent2 4 9" xfId="22077"/>
    <cellStyle name="20% - Accent2 5" xfId="393"/>
    <cellStyle name="20% - Accent2 5 10" xfId="22104"/>
    <cellStyle name="20% - Accent2 5 2" xfId="3838"/>
    <cellStyle name="20% - Accent2 5 2 2" xfId="5463"/>
    <cellStyle name="20% - Accent2 5 2 2 2" xfId="8549"/>
    <cellStyle name="20% - Accent2 5 2 2 2 2" xfId="14742"/>
    <cellStyle name="20% - Accent2 5 2 2 2 2 2" xfId="34420"/>
    <cellStyle name="20% - Accent2 5 2 2 2 3" xfId="20894"/>
    <cellStyle name="20% - Accent2 5 2 2 2 3 2" xfId="40572"/>
    <cellStyle name="20% - Accent2 5 2 2 2 4" xfId="28256"/>
    <cellStyle name="20% - Accent2 5 2 2 3" xfId="11676"/>
    <cellStyle name="20% - Accent2 5 2 2 3 2" xfId="31354"/>
    <cellStyle name="20% - Accent2 5 2 2 4" xfId="17828"/>
    <cellStyle name="20% - Accent2 5 2 2 4 2" xfId="37506"/>
    <cellStyle name="20% - Accent2 5 2 2 5" xfId="25190"/>
    <cellStyle name="20% - Accent2 5 2 3" xfId="7014"/>
    <cellStyle name="20% - Accent2 5 2 3 2" xfId="13208"/>
    <cellStyle name="20% - Accent2 5 2 3 2 2" xfId="32886"/>
    <cellStyle name="20% - Accent2 5 2 3 3" xfId="19360"/>
    <cellStyle name="20% - Accent2 5 2 3 3 2" xfId="39038"/>
    <cellStyle name="20% - Accent2 5 2 3 4" xfId="26722"/>
    <cellStyle name="20% - Accent2 5 2 4" xfId="10142"/>
    <cellStyle name="20% - Accent2 5 2 4 2" xfId="29820"/>
    <cellStyle name="20% - Accent2 5 2 5" xfId="16294"/>
    <cellStyle name="20% - Accent2 5 2 5 2" xfId="35972"/>
    <cellStyle name="20% - Accent2 5 2 6" xfId="23656"/>
    <cellStyle name="20% - Accent2 5 2 7" xfId="22502"/>
    <cellStyle name="20% - Accent2 5 3" xfId="4677"/>
    <cellStyle name="20% - Accent2 5 3 2" xfId="7780"/>
    <cellStyle name="20% - Accent2 5 3 2 2" xfId="13973"/>
    <cellStyle name="20% - Accent2 5 3 2 2 2" xfId="33651"/>
    <cellStyle name="20% - Accent2 5 3 2 3" xfId="20125"/>
    <cellStyle name="20% - Accent2 5 3 2 3 2" xfId="39803"/>
    <cellStyle name="20% - Accent2 5 3 2 4" xfId="27487"/>
    <cellStyle name="20% - Accent2 5 3 3" xfId="10907"/>
    <cellStyle name="20% - Accent2 5 3 3 2" xfId="30585"/>
    <cellStyle name="20% - Accent2 5 3 4" xfId="17059"/>
    <cellStyle name="20% - Accent2 5 3 4 2" xfId="36737"/>
    <cellStyle name="20% - Accent2 5 3 5" xfId="24421"/>
    <cellStyle name="20% - Accent2 5 4" xfId="6245"/>
    <cellStyle name="20% - Accent2 5 4 2" xfId="12439"/>
    <cellStyle name="20% - Accent2 5 4 2 2" xfId="32117"/>
    <cellStyle name="20% - Accent2 5 4 3" xfId="18591"/>
    <cellStyle name="20% - Accent2 5 4 3 2" xfId="38269"/>
    <cellStyle name="20% - Accent2 5 4 4" xfId="25953"/>
    <cellStyle name="20% - Accent2 5 5" xfId="9373"/>
    <cellStyle name="20% - Accent2 5 5 2" xfId="29051"/>
    <cellStyle name="20% - Accent2 5 6" xfId="15525"/>
    <cellStyle name="20% - Accent2 5 6 2" xfId="35203"/>
    <cellStyle name="20% - Accent2 5 7" xfId="22770"/>
    <cellStyle name="20% - Accent2 5 8" xfId="41430"/>
    <cellStyle name="20% - Accent2 5 9" xfId="41686"/>
    <cellStyle name="20% - Accent2 6" xfId="394"/>
    <cellStyle name="20% - Accent2 6 2" xfId="22518"/>
    <cellStyle name="20% - Accent2 6 3" xfId="22771"/>
    <cellStyle name="20% - Accent2 6 4" xfId="41522"/>
    <cellStyle name="20% - Accent2 6 5" xfId="41702"/>
    <cellStyle name="20% - Accent2 6 6" xfId="22130"/>
    <cellStyle name="20% - Accent2 7" xfId="22154"/>
    <cellStyle name="20% - Accent2 7 2" xfId="22534"/>
    <cellStyle name="20% - Accent2 7 3" xfId="41519"/>
    <cellStyle name="20% - Accent2 7 4" xfId="41718"/>
    <cellStyle name="20% - Accent2 8" xfId="22176"/>
    <cellStyle name="20% - Accent2 8 2" xfId="22550"/>
    <cellStyle name="20% - Accent2 8 3" xfId="41464"/>
    <cellStyle name="20% - Accent2 8 4" xfId="41734"/>
    <cellStyle name="20% - Accent2 9" xfId="22214"/>
    <cellStyle name="20% - Accent2 9 2" xfId="22566"/>
    <cellStyle name="20% - Accent2 9 3" xfId="41419"/>
    <cellStyle name="20% - Accent2 9 4" xfId="41750"/>
    <cellStyle name="20% - Accent3" xfId="21669" builtinId="38" customBuiltin="1"/>
    <cellStyle name="20% - Accent3 10" xfId="22246"/>
    <cellStyle name="20% - Accent3 10 2" xfId="22584"/>
    <cellStyle name="20% - Accent3 10 3" xfId="41444"/>
    <cellStyle name="20% - Accent3 10 4" xfId="41768"/>
    <cellStyle name="20% - Accent3 11" xfId="22273"/>
    <cellStyle name="20% - Accent3 11 2" xfId="22600"/>
    <cellStyle name="20% - Accent3 11 3" xfId="41520"/>
    <cellStyle name="20% - Accent3 11 4" xfId="41784"/>
    <cellStyle name="20% - Accent3 12" xfId="22298"/>
    <cellStyle name="20% - Accent3 12 2" xfId="22616"/>
    <cellStyle name="20% - Accent3 12 3" xfId="41536"/>
    <cellStyle name="20% - Accent3 12 4" xfId="41800"/>
    <cellStyle name="20% - Accent3 13" xfId="22321"/>
    <cellStyle name="20% - Accent3 13 2" xfId="22632"/>
    <cellStyle name="20% - Accent3 13 3" xfId="41496"/>
    <cellStyle name="20% - Accent3 13 4" xfId="41816"/>
    <cellStyle name="20% - Accent3 14" xfId="22342"/>
    <cellStyle name="20% - Accent3 14 2" xfId="22648"/>
    <cellStyle name="20% - Accent3 14 3" xfId="41372"/>
    <cellStyle name="20% - Accent3 14 4" xfId="41832"/>
    <cellStyle name="20% - Accent3 15" xfId="22358"/>
    <cellStyle name="20% - Accent3 15 2" xfId="22664"/>
    <cellStyle name="20% - Accent3 15 3" xfId="41539"/>
    <cellStyle name="20% - Accent3 15 4" xfId="41848"/>
    <cellStyle name="20% - Accent3 16" xfId="22380"/>
    <cellStyle name="20% - Accent3 17" xfId="41564"/>
    <cellStyle name="20% - Accent3 2" xfId="395"/>
    <cellStyle name="20% - Accent3 2 2" xfId="3839"/>
    <cellStyle name="20% - Accent3 2 2 2" xfId="5464"/>
    <cellStyle name="20% - Accent3 2 2 2 2" xfId="8550"/>
    <cellStyle name="20% - Accent3 2 2 2 2 2" xfId="14743"/>
    <cellStyle name="20% - Accent3 2 2 2 2 2 2" xfId="34421"/>
    <cellStyle name="20% - Accent3 2 2 2 2 3" xfId="20895"/>
    <cellStyle name="20% - Accent3 2 2 2 2 3 2" xfId="40573"/>
    <cellStyle name="20% - Accent3 2 2 2 2 4" xfId="28257"/>
    <cellStyle name="20% - Accent3 2 2 2 3" xfId="11677"/>
    <cellStyle name="20% - Accent3 2 2 2 3 2" xfId="31355"/>
    <cellStyle name="20% - Accent3 2 2 2 4" xfId="17829"/>
    <cellStyle name="20% - Accent3 2 2 2 4 2" xfId="37507"/>
    <cellStyle name="20% - Accent3 2 2 2 5" xfId="25191"/>
    <cellStyle name="20% - Accent3 2 2 3" xfId="7015"/>
    <cellStyle name="20% - Accent3 2 2 3 2" xfId="13209"/>
    <cellStyle name="20% - Accent3 2 2 3 2 2" xfId="32887"/>
    <cellStyle name="20% - Accent3 2 2 3 3" xfId="19361"/>
    <cellStyle name="20% - Accent3 2 2 3 3 2" xfId="39039"/>
    <cellStyle name="20% - Accent3 2 2 3 4" xfId="26723"/>
    <cellStyle name="20% - Accent3 2 2 4" xfId="10143"/>
    <cellStyle name="20% - Accent3 2 2 4 2" xfId="29821"/>
    <cellStyle name="20% - Accent3 2 2 5" xfId="16295"/>
    <cellStyle name="20% - Accent3 2 2 5 2" xfId="35973"/>
    <cellStyle name="20% - Accent3 2 2 6" xfId="23657"/>
    <cellStyle name="20% - Accent3 2 2 7" xfId="22456"/>
    <cellStyle name="20% - Accent3 2 3" xfId="4678"/>
    <cellStyle name="20% - Accent3 2 3 2" xfId="7781"/>
    <cellStyle name="20% - Accent3 2 3 2 2" xfId="13974"/>
    <cellStyle name="20% - Accent3 2 3 2 2 2" xfId="33652"/>
    <cellStyle name="20% - Accent3 2 3 2 3" xfId="20126"/>
    <cellStyle name="20% - Accent3 2 3 2 3 2" xfId="39804"/>
    <cellStyle name="20% - Accent3 2 3 2 4" xfId="27488"/>
    <cellStyle name="20% - Accent3 2 3 3" xfId="10908"/>
    <cellStyle name="20% - Accent3 2 3 3 2" xfId="30586"/>
    <cellStyle name="20% - Accent3 2 3 4" xfId="17060"/>
    <cellStyle name="20% - Accent3 2 3 4 2" xfId="36738"/>
    <cellStyle name="20% - Accent3 2 3 5" xfId="24422"/>
    <cellStyle name="20% - Accent3 2 4" xfId="6246"/>
    <cellStyle name="20% - Accent3 2 4 2" xfId="12440"/>
    <cellStyle name="20% - Accent3 2 4 2 2" xfId="32118"/>
    <cellStyle name="20% - Accent3 2 4 3" xfId="18592"/>
    <cellStyle name="20% - Accent3 2 4 3 2" xfId="38270"/>
    <cellStyle name="20% - Accent3 2 4 4" xfId="25954"/>
    <cellStyle name="20% - Accent3 2 5" xfId="9374"/>
    <cellStyle name="20% - Accent3 2 5 2" xfId="29052"/>
    <cellStyle name="20% - Accent3 2 6" xfId="15526"/>
    <cellStyle name="20% - Accent3 2 6 2" xfId="35204"/>
    <cellStyle name="20% - Accent3 2 7" xfId="22772"/>
    <cellStyle name="20% - Accent3 2 8" xfId="41640"/>
    <cellStyle name="20% - Accent3 2 9" xfId="22023"/>
    <cellStyle name="20% - Accent3 3" xfId="396"/>
    <cellStyle name="20% - Accent3 3 2" xfId="3840"/>
    <cellStyle name="20% - Accent3 3 2 2" xfId="5465"/>
    <cellStyle name="20% - Accent3 3 2 2 2" xfId="8551"/>
    <cellStyle name="20% - Accent3 3 2 2 2 2" xfId="14744"/>
    <cellStyle name="20% - Accent3 3 2 2 2 2 2" xfId="34422"/>
    <cellStyle name="20% - Accent3 3 2 2 2 3" xfId="20896"/>
    <cellStyle name="20% - Accent3 3 2 2 2 3 2" xfId="40574"/>
    <cellStyle name="20% - Accent3 3 2 2 2 4" xfId="28258"/>
    <cellStyle name="20% - Accent3 3 2 2 3" xfId="11678"/>
    <cellStyle name="20% - Accent3 3 2 2 3 2" xfId="31356"/>
    <cellStyle name="20% - Accent3 3 2 2 4" xfId="17830"/>
    <cellStyle name="20% - Accent3 3 2 2 4 2" xfId="37508"/>
    <cellStyle name="20% - Accent3 3 2 2 5" xfId="25192"/>
    <cellStyle name="20% - Accent3 3 2 3" xfId="7016"/>
    <cellStyle name="20% - Accent3 3 2 3 2" xfId="13210"/>
    <cellStyle name="20% - Accent3 3 2 3 2 2" xfId="32888"/>
    <cellStyle name="20% - Accent3 3 2 3 3" xfId="19362"/>
    <cellStyle name="20% - Accent3 3 2 3 3 2" xfId="39040"/>
    <cellStyle name="20% - Accent3 3 2 3 4" xfId="26724"/>
    <cellStyle name="20% - Accent3 3 2 4" xfId="10144"/>
    <cellStyle name="20% - Accent3 3 2 4 2" xfId="29822"/>
    <cellStyle name="20% - Accent3 3 2 5" xfId="16296"/>
    <cellStyle name="20% - Accent3 3 2 5 2" xfId="35974"/>
    <cellStyle name="20% - Accent3 3 2 6" xfId="23658"/>
    <cellStyle name="20% - Accent3 3 2 7" xfId="22472"/>
    <cellStyle name="20% - Accent3 3 3" xfId="4679"/>
    <cellStyle name="20% - Accent3 3 3 2" xfId="7782"/>
    <cellStyle name="20% - Accent3 3 3 2 2" xfId="13975"/>
    <cellStyle name="20% - Accent3 3 3 2 2 2" xfId="33653"/>
    <cellStyle name="20% - Accent3 3 3 2 3" xfId="20127"/>
    <cellStyle name="20% - Accent3 3 3 2 3 2" xfId="39805"/>
    <cellStyle name="20% - Accent3 3 3 2 4" xfId="27489"/>
    <cellStyle name="20% - Accent3 3 3 3" xfId="10909"/>
    <cellStyle name="20% - Accent3 3 3 3 2" xfId="30587"/>
    <cellStyle name="20% - Accent3 3 3 4" xfId="17061"/>
    <cellStyle name="20% - Accent3 3 3 4 2" xfId="36739"/>
    <cellStyle name="20% - Accent3 3 3 5" xfId="24423"/>
    <cellStyle name="20% - Accent3 3 4" xfId="6247"/>
    <cellStyle name="20% - Accent3 3 4 2" xfId="12441"/>
    <cellStyle name="20% - Accent3 3 4 2 2" xfId="32119"/>
    <cellStyle name="20% - Accent3 3 4 3" xfId="18593"/>
    <cellStyle name="20% - Accent3 3 4 3 2" xfId="38271"/>
    <cellStyle name="20% - Accent3 3 4 4" xfId="25955"/>
    <cellStyle name="20% - Accent3 3 5" xfId="9375"/>
    <cellStyle name="20% - Accent3 3 5 2" xfId="29053"/>
    <cellStyle name="20% - Accent3 3 6" xfId="15527"/>
    <cellStyle name="20% - Accent3 3 6 2" xfId="35205"/>
    <cellStyle name="20% - Accent3 3 7" xfId="22773"/>
    <cellStyle name="20% - Accent3 3 8" xfId="41656"/>
    <cellStyle name="20% - Accent3 3 9" xfId="22053"/>
    <cellStyle name="20% - Accent3 4" xfId="397"/>
    <cellStyle name="20% - Accent3 4 2" xfId="3841"/>
    <cellStyle name="20% - Accent3 4 2 2" xfId="5466"/>
    <cellStyle name="20% - Accent3 4 2 2 2" xfId="8552"/>
    <cellStyle name="20% - Accent3 4 2 2 2 2" xfId="14745"/>
    <cellStyle name="20% - Accent3 4 2 2 2 2 2" xfId="34423"/>
    <cellStyle name="20% - Accent3 4 2 2 2 3" xfId="20897"/>
    <cellStyle name="20% - Accent3 4 2 2 2 3 2" xfId="40575"/>
    <cellStyle name="20% - Accent3 4 2 2 2 4" xfId="28259"/>
    <cellStyle name="20% - Accent3 4 2 2 3" xfId="11679"/>
    <cellStyle name="20% - Accent3 4 2 2 3 2" xfId="31357"/>
    <cellStyle name="20% - Accent3 4 2 2 4" xfId="17831"/>
    <cellStyle name="20% - Accent3 4 2 2 4 2" xfId="37509"/>
    <cellStyle name="20% - Accent3 4 2 2 5" xfId="25193"/>
    <cellStyle name="20% - Accent3 4 2 3" xfId="7017"/>
    <cellStyle name="20% - Accent3 4 2 3 2" xfId="13211"/>
    <cellStyle name="20% - Accent3 4 2 3 2 2" xfId="32889"/>
    <cellStyle name="20% - Accent3 4 2 3 3" xfId="19363"/>
    <cellStyle name="20% - Accent3 4 2 3 3 2" xfId="39041"/>
    <cellStyle name="20% - Accent3 4 2 3 4" xfId="26725"/>
    <cellStyle name="20% - Accent3 4 2 4" xfId="10145"/>
    <cellStyle name="20% - Accent3 4 2 4 2" xfId="29823"/>
    <cellStyle name="20% - Accent3 4 2 5" xfId="16297"/>
    <cellStyle name="20% - Accent3 4 2 5 2" xfId="35975"/>
    <cellStyle name="20% - Accent3 4 2 6" xfId="23659"/>
    <cellStyle name="20% - Accent3 4 2 7" xfId="22488"/>
    <cellStyle name="20% - Accent3 4 3" xfId="4680"/>
    <cellStyle name="20% - Accent3 4 3 2" xfId="7783"/>
    <cellStyle name="20% - Accent3 4 3 2 2" xfId="13976"/>
    <cellStyle name="20% - Accent3 4 3 2 2 2" xfId="33654"/>
    <cellStyle name="20% - Accent3 4 3 2 3" xfId="20128"/>
    <cellStyle name="20% - Accent3 4 3 2 3 2" xfId="39806"/>
    <cellStyle name="20% - Accent3 4 3 2 4" xfId="27490"/>
    <cellStyle name="20% - Accent3 4 3 3" xfId="10910"/>
    <cellStyle name="20% - Accent3 4 3 3 2" xfId="30588"/>
    <cellStyle name="20% - Accent3 4 3 4" xfId="17062"/>
    <cellStyle name="20% - Accent3 4 3 4 2" xfId="36740"/>
    <cellStyle name="20% - Accent3 4 3 5" xfId="24424"/>
    <cellStyle name="20% - Accent3 4 4" xfId="6248"/>
    <cellStyle name="20% - Accent3 4 4 2" xfId="12442"/>
    <cellStyle name="20% - Accent3 4 4 2 2" xfId="32120"/>
    <cellStyle name="20% - Accent3 4 4 3" xfId="18594"/>
    <cellStyle name="20% - Accent3 4 4 3 2" xfId="38272"/>
    <cellStyle name="20% - Accent3 4 4 4" xfId="25956"/>
    <cellStyle name="20% - Accent3 4 5" xfId="9376"/>
    <cellStyle name="20% - Accent3 4 5 2" xfId="29054"/>
    <cellStyle name="20% - Accent3 4 6" xfId="15528"/>
    <cellStyle name="20% - Accent3 4 6 2" xfId="35206"/>
    <cellStyle name="20% - Accent3 4 7" xfId="22774"/>
    <cellStyle name="20% - Accent3 4 8" xfId="41672"/>
    <cellStyle name="20% - Accent3 4 9" xfId="22080"/>
    <cellStyle name="20% - Accent3 5" xfId="398"/>
    <cellStyle name="20% - Accent3 5 10" xfId="22108"/>
    <cellStyle name="20% - Accent3 5 2" xfId="3842"/>
    <cellStyle name="20% - Accent3 5 2 2" xfId="5467"/>
    <cellStyle name="20% - Accent3 5 2 2 2" xfId="8553"/>
    <cellStyle name="20% - Accent3 5 2 2 2 2" xfId="14746"/>
    <cellStyle name="20% - Accent3 5 2 2 2 2 2" xfId="34424"/>
    <cellStyle name="20% - Accent3 5 2 2 2 3" xfId="20898"/>
    <cellStyle name="20% - Accent3 5 2 2 2 3 2" xfId="40576"/>
    <cellStyle name="20% - Accent3 5 2 2 2 4" xfId="28260"/>
    <cellStyle name="20% - Accent3 5 2 2 3" xfId="11680"/>
    <cellStyle name="20% - Accent3 5 2 2 3 2" xfId="31358"/>
    <cellStyle name="20% - Accent3 5 2 2 4" xfId="17832"/>
    <cellStyle name="20% - Accent3 5 2 2 4 2" xfId="37510"/>
    <cellStyle name="20% - Accent3 5 2 2 5" xfId="25194"/>
    <cellStyle name="20% - Accent3 5 2 3" xfId="7018"/>
    <cellStyle name="20% - Accent3 5 2 3 2" xfId="13212"/>
    <cellStyle name="20% - Accent3 5 2 3 2 2" xfId="32890"/>
    <cellStyle name="20% - Accent3 5 2 3 3" xfId="19364"/>
    <cellStyle name="20% - Accent3 5 2 3 3 2" xfId="39042"/>
    <cellStyle name="20% - Accent3 5 2 3 4" xfId="26726"/>
    <cellStyle name="20% - Accent3 5 2 4" xfId="10146"/>
    <cellStyle name="20% - Accent3 5 2 4 2" xfId="29824"/>
    <cellStyle name="20% - Accent3 5 2 5" xfId="16298"/>
    <cellStyle name="20% - Accent3 5 2 5 2" xfId="35976"/>
    <cellStyle name="20% - Accent3 5 2 6" xfId="23660"/>
    <cellStyle name="20% - Accent3 5 2 7" xfId="22504"/>
    <cellStyle name="20% - Accent3 5 3" xfId="4681"/>
    <cellStyle name="20% - Accent3 5 3 2" xfId="7784"/>
    <cellStyle name="20% - Accent3 5 3 2 2" xfId="13977"/>
    <cellStyle name="20% - Accent3 5 3 2 2 2" xfId="33655"/>
    <cellStyle name="20% - Accent3 5 3 2 3" xfId="20129"/>
    <cellStyle name="20% - Accent3 5 3 2 3 2" xfId="39807"/>
    <cellStyle name="20% - Accent3 5 3 2 4" xfId="27491"/>
    <cellStyle name="20% - Accent3 5 3 3" xfId="10911"/>
    <cellStyle name="20% - Accent3 5 3 3 2" xfId="30589"/>
    <cellStyle name="20% - Accent3 5 3 4" xfId="17063"/>
    <cellStyle name="20% - Accent3 5 3 4 2" xfId="36741"/>
    <cellStyle name="20% - Accent3 5 3 5" xfId="24425"/>
    <cellStyle name="20% - Accent3 5 4" xfId="6249"/>
    <cellStyle name="20% - Accent3 5 4 2" xfId="12443"/>
    <cellStyle name="20% - Accent3 5 4 2 2" xfId="32121"/>
    <cellStyle name="20% - Accent3 5 4 3" xfId="18595"/>
    <cellStyle name="20% - Accent3 5 4 3 2" xfId="38273"/>
    <cellStyle name="20% - Accent3 5 4 4" xfId="25957"/>
    <cellStyle name="20% - Accent3 5 5" xfId="9377"/>
    <cellStyle name="20% - Accent3 5 5 2" xfId="29055"/>
    <cellStyle name="20% - Accent3 5 6" xfId="15529"/>
    <cellStyle name="20% - Accent3 5 6 2" xfId="35207"/>
    <cellStyle name="20% - Accent3 5 7" xfId="22775"/>
    <cellStyle name="20% - Accent3 5 8" xfId="41427"/>
    <cellStyle name="20% - Accent3 5 9" xfId="41688"/>
    <cellStyle name="20% - Accent3 6" xfId="399"/>
    <cellStyle name="20% - Accent3 6 2" xfId="22520"/>
    <cellStyle name="20% - Accent3 6 3" xfId="22776"/>
    <cellStyle name="20% - Accent3 6 4" xfId="41380"/>
    <cellStyle name="20% - Accent3 6 5" xfId="41704"/>
    <cellStyle name="20% - Accent3 6 6" xfId="22133"/>
    <cellStyle name="20% - Accent3 7" xfId="22157"/>
    <cellStyle name="20% - Accent3 7 2" xfId="22536"/>
    <cellStyle name="20% - Accent3 7 3" xfId="41547"/>
    <cellStyle name="20% - Accent3 7 4" xfId="41720"/>
    <cellStyle name="20% - Accent3 8" xfId="22179"/>
    <cellStyle name="20% - Accent3 8 2" xfId="22552"/>
    <cellStyle name="20% - Accent3 8 3" xfId="41533"/>
    <cellStyle name="20% - Accent3 8 4" xfId="41736"/>
    <cellStyle name="20% - Accent3 9" xfId="22218"/>
    <cellStyle name="20% - Accent3 9 2" xfId="22568"/>
    <cellStyle name="20% - Accent3 9 3" xfId="41441"/>
    <cellStyle name="20% - Accent3 9 4" xfId="41752"/>
    <cellStyle name="20% - Accent4" xfId="21673" builtinId="42" customBuiltin="1"/>
    <cellStyle name="20% - Accent4 10" xfId="22250"/>
    <cellStyle name="20% - Accent4 10 2" xfId="22586"/>
    <cellStyle name="20% - Accent4 10 3" xfId="41531"/>
    <cellStyle name="20% - Accent4 10 4" xfId="41770"/>
    <cellStyle name="20% - Accent4 11" xfId="22277"/>
    <cellStyle name="20% - Accent4 11 2" xfId="22602"/>
    <cellStyle name="20% - Accent4 11 3" xfId="41433"/>
    <cellStyle name="20% - Accent4 11 4" xfId="41786"/>
    <cellStyle name="20% - Accent4 12" xfId="22302"/>
    <cellStyle name="20% - Accent4 12 2" xfId="22618"/>
    <cellStyle name="20% - Accent4 12 3" xfId="41540"/>
    <cellStyle name="20% - Accent4 12 4" xfId="41802"/>
    <cellStyle name="20% - Accent4 13" xfId="22325"/>
    <cellStyle name="20% - Accent4 13 2" xfId="22634"/>
    <cellStyle name="20% - Accent4 13 3" xfId="41397"/>
    <cellStyle name="20% - Accent4 13 4" xfId="41818"/>
    <cellStyle name="20% - Accent4 14" xfId="22344"/>
    <cellStyle name="20% - Accent4 14 2" xfId="22650"/>
    <cellStyle name="20% - Accent4 14 3" xfId="41518"/>
    <cellStyle name="20% - Accent4 14 4" xfId="41834"/>
    <cellStyle name="20% - Accent4 15" xfId="22360"/>
    <cellStyle name="20% - Accent4 15 2" xfId="22666"/>
    <cellStyle name="20% - Accent4 15 3" xfId="41410"/>
    <cellStyle name="20% - Accent4 15 4" xfId="41850"/>
    <cellStyle name="20% - Accent4 16" xfId="22382"/>
    <cellStyle name="20% - Accent4 17" xfId="41566"/>
    <cellStyle name="20% - Accent4 2" xfId="400"/>
    <cellStyle name="20% - Accent4 2 2" xfId="3843"/>
    <cellStyle name="20% - Accent4 2 2 2" xfId="5468"/>
    <cellStyle name="20% - Accent4 2 2 2 2" xfId="8554"/>
    <cellStyle name="20% - Accent4 2 2 2 2 2" xfId="14747"/>
    <cellStyle name="20% - Accent4 2 2 2 2 2 2" xfId="34425"/>
    <cellStyle name="20% - Accent4 2 2 2 2 3" xfId="20899"/>
    <cellStyle name="20% - Accent4 2 2 2 2 3 2" xfId="40577"/>
    <cellStyle name="20% - Accent4 2 2 2 2 4" xfId="28261"/>
    <cellStyle name="20% - Accent4 2 2 2 3" xfId="11681"/>
    <cellStyle name="20% - Accent4 2 2 2 3 2" xfId="31359"/>
    <cellStyle name="20% - Accent4 2 2 2 4" xfId="17833"/>
    <cellStyle name="20% - Accent4 2 2 2 4 2" xfId="37511"/>
    <cellStyle name="20% - Accent4 2 2 2 5" xfId="25195"/>
    <cellStyle name="20% - Accent4 2 2 3" xfId="7019"/>
    <cellStyle name="20% - Accent4 2 2 3 2" xfId="13213"/>
    <cellStyle name="20% - Accent4 2 2 3 2 2" xfId="32891"/>
    <cellStyle name="20% - Accent4 2 2 3 3" xfId="19365"/>
    <cellStyle name="20% - Accent4 2 2 3 3 2" xfId="39043"/>
    <cellStyle name="20% - Accent4 2 2 3 4" xfId="26727"/>
    <cellStyle name="20% - Accent4 2 2 4" xfId="10147"/>
    <cellStyle name="20% - Accent4 2 2 4 2" xfId="29825"/>
    <cellStyle name="20% - Accent4 2 2 5" xfId="16299"/>
    <cellStyle name="20% - Accent4 2 2 5 2" xfId="35977"/>
    <cellStyle name="20% - Accent4 2 2 6" xfId="23661"/>
    <cellStyle name="20% - Accent4 2 2 7" xfId="22458"/>
    <cellStyle name="20% - Accent4 2 3" xfId="4682"/>
    <cellStyle name="20% - Accent4 2 3 2" xfId="7785"/>
    <cellStyle name="20% - Accent4 2 3 2 2" xfId="13978"/>
    <cellStyle name="20% - Accent4 2 3 2 2 2" xfId="33656"/>
    <cellStyle name="20% - Accent4 2 3 2 3" xfId="20130"/>
    <cellStyle name="20% - Accent4 2 3 2 3 2" xfId="39808"/>
    <cellStyle name="20% - Accent4 2 3 2 4" xfId="27492"/>
    <cellStyle name="20% - Accent4 2 3 3" xfId="10912"/>
    <cellStyle name="20% - Accent4 2 3 3 2" xfId="30590"/>
    <cellStyle name="20% - Accent4 2 3 4" xfId="17064"/>
    <cellStyle name="20% - Accent4 2 3 4 2" xfId="36742"/>
    <cellStyle name="20% - Accent4 2 3 5" xfId="24426"/>
    <cellStyle name="20% - Accent4 2 4" xfId="6250"/>
    <cellStyle name="20% - Accent4 2 4 2" xfId="12444"/>
    <cellStyle name="20% - Accent4 2 4 2 2" xfId="32122"/>
    <cellStyle name="20% - Accent4 2 4 3" xfId="18596"/>
    <cellStyle name="20% - Accent4 2 4 3 2" xfId="38274"/>
    <cellStyle name="20% - Accent4 2 4 4" xfId="25958"/>
    <cellStyle name="20% - Accent4 2 5" xfId="9378"/>
    <cellStyle name="20% - Accent4 2 5 2" xfId="29056"/>
    <cellStyle name="20% - Accent4 2 6" xfId="15530"/>
    <cellStyle name="20% - Accent4 2 6 2" xfId="35208"/>
    <cellStyle name="20% - Accent4 2 7" xfId="22777"/>
    <cellStyle name="20% - Accent4 2 8" xfId="41642"/>
    <cellStyle name="20% - Accent4 2 9" xfId="22027"/>
    <cellStyle name="20% - Accent4 3" xfId="401"/>
    <cellStyle name="20% - Accent4 3 2" xfId="3844"/>
    <cellStyle name="20% - Accent4 3 2 2" xfId="5469"/>
    <cellStyle name="20% - Accent4 3 2 2 2" xfId="8555"/>
    <cellStyle name="20% - Accent4 3 2 2 2 2" xfId="14748"/>
    <cellStyle name="20% - Accent4 3 2 2 2 2 2" xfId="34426"/>
    <cellStyle name="20% - Accent4 3 2 2 2 3" xfId="20900"/>
    <cellStyle name="20% - Accent4 3 2 2 2 3 2" xfId="40578"/>
    <cellStyle name="20% - Accent4 3 2 2 2 4" xfId="28262"/>
    <cellStyle name="20% - Accent4 3 2 2 3" xfId="11682"/>
    <cellStyle name="20% - Accent4 3 2 2 3 2" xfId="31360"/>
    <cellStyle name="20% - Accent4 3 2 2 4" xfId="17834"/>
    <cellStyle name="20% - Accent4 3 2 2 4 2" xfId="37512"/>
    <cellStyle name="20% - Accent4 3 2 2 5" xfId="25196"/>
    <cellStyle name="20% - Accent4 3 2 3" xfId="7020"/>
    <cellStyle name="20% - Accent4 3 2 3 2" xfId="13214"/>
    <cellStyle name="20% - Accent4 3 2 3 2 2" xfId="32892"/>
    <cellStyle name="20% - Accent4 3 2 3 3" xfId="19366"/>
    <cellStyle name="20% - Accent4 3 2 3 3 2" xfId="39044"/>
    <cellStyle name="20% - Accent4 3 2 3 4" xfId="26728"/>
    <cellStyle name="20% - Accent4 3 2 4" xfId="10148"/>
    <cellStyle name="20% - Accent4 3 2 4 2" xfId="29826"/>
    <cellStyle name="20% - Accent4 3 2 5" xfId="16300"/>
    <cellStyle name="20% - Accent4 3 2 5 2" xfId="35978"/>
    <cellStyle name="20% - Accent4 3 2 6" xfId="23662"/>
    <cellStyle name="20% - Accent4 3 2 7" xfId="22474"/>
    <cellStyle name="20% - Accent4 3 3" xfId="4683"/>
    <cellStyle name="20% - Accent4 3 3 2" xfId="7786"/>
    <cellStyle name="20% - Accent4 3 3 2 2" xfId="13979"/>
    <cellStyle name="20% - Accent4 3 3 2 2 2" xfId="33657"/>
    <cellStyle name="20% - Accent4 3 3 2 3" xfId="20131"/>
    <cellStyle name="20% - Accent4 3 3 2 3 2" xfId="39809"/>
    <cellStyle name="20% - Accent4 3 3 2 4" xfId="27493"/>
    <cellStyle name="20% - Accent4 3 3 3" xfId="10913"/>
    <cellStyle name="20% - Accent4 3 3 3 2" xfId="30591"/>
    <cellStyle name="20% - Accent4 3 3 4" xfId="17065"/>
    <cellStyle name="20% - Accent4 3 3 4 2" xfId="36743"/>
    <cellStyle name="20% - Accent4 3 3 5" xfId="24427"/>
    <cellStyle name="20% - Accent4 3 4" xfId="6251"/>
    <cellStyle name="20% - Accent4 3 4 2" xfId="12445"/>
    <cellStyle name="20% - Accent4 3 4 2 2" xfId="32123"/>
    <cellStyle name="20% - Accent4 3 4 3" xfId="18597"/>
    <cellStyle name="20% - Accent4 3 4 3 2" xfId="38275"/>
    <cellStyle name="20% - Accent4 3 4 4" xfId="25959"/>
    <cellStyle name="20% - Accent4 3 5" xfId="9379"/>
    <cellStyle name="20% - Accent4 3 5 2" xfId="29057"/>
    <cellStyle name="20% - Accent4 3 6" xfId="15531"/>
    <cellStyle name="20% - Accent4 3 6 2" xfId="35209"/>
    <cellStyle name="20% - Accent4 3 7" xfId="22778"/>
    <cellStyle name="20% - Accent4 3 8" xfId="41658"/>
    <cellStyle name="20% - Accent4 3 9" xfId="22057"/>
    <cellStyle name="20% - Accent4 4" xfId="402"/>
    <cellStyle name="20% - Accent4 4 2" xfId="3845"/>
    <cellStyle name="20% - Accent4 4 2 2" xfId="5470"/>
    <cellStyle name="20% - Accent4 4 2 2 2" xfId="8556"/>
    <cellStyle name="20% - Accent4 4 2 2 2 2" xfId="14749"/>
    <cellStyle name="20% - Accent4 4 2 2 2 2 2" xfId="34427"/>
    <cellStyle name="20% - Accent4 4 2 2 2 3" xfId="20901"/>
    <cellStyle name="20% - Accent4 4 2 2 2 3 2" xfId="40579"/>
    <cellStyle name="20% - Accent4 4 2 2 2 4" xfId="28263"/>
    <cellStyle name="20% - Accent4 4 2 2 3" xfId="11683"/>
    <cellStyle name="20% - Accent4 4 2 2 3 2" xfId="31361"/>
    <cellStyle name="20% - Accent4 4 2 2 4" xfId="17835"/>
    <cellStyle name="20% - Accent4 4 2 2 4 2" xfId="37513"/>
    <cellStyle name="20% - Accent4 4 2 2 5" xfId="25197"/>
    <cellStyle name="20% - Accent4 4 2 3" xfId="7021"/>
    <cellStyle name="20% - Accent4 4 2 3 2" xfId="13215"/>
    <cellStyle name="20% - Accent4 4 2 3 2 2" xfId="32893"/>
    <cellStyle name="20% - Accent4 4 2 3 3" xfId="19367"/>
    <cellStyle name="20% - Accent4 4 2 3 3 2" xfId="39045"/>
    <cellStyle name="20% - Accent4 4 2 3 4" xfId="26729"/>
    <cellStyle name="20% - Accent4 4 2 4" xfId="10149"/>
    <cellStyle name="20% - Accent4 4 2 4 2" xfId="29827"/>
    <cellStyle name="20% - Accent4 4 2 5" xfId="16301"/>
    <cellStyle name="20% - Accent4 4 2 5 2" xfId="35979"/>
    <cellStyle name="20% - Accent4 4 2 6" xfId="23663"/>
    <cellStyle name="20% - Accent4 4 2 7" xfId="22490"/>
    <cellStyle name="20% - Accent4 4 3" xfId="4684"/>
    <cellStyle name="20% - Accent4 4 3 2" xfId="7787"/>
    <cellStyle name="20% - Accent4 4 3 2 2" xfId="13980"/>
    <cellStyle name="20% - Accent4 4 3 2 2 2" xfId="33658"/>
    <cellStyle name="20% - Accent4 4 3 2 3" xfId="20132"/>
    <cellStyle name="20% - Accent4 4 3 2 3 2" xfId="39810"/>
    <cellStyle name="20% - Accent4 4 3 2 4" xfId="27494"/>
    <cellStyle name="20% - Accent4 4 3 3" xfId="10914"/>
    <cellStyle name="20% - Accent4 4 3 3 2" xfId="30592"/>
    <cellStyle name="20% - Accent4 4 3 4" xfId="17066"/>
    <cellStyle name="20% - Accent4 4 3 4 2" xfId="36744"/>
    <cellStyle name="20% - Accent4 4 3 5" xfId="24428"/>
    <cellStyle name="20% - Accent4 4 4" xfId="6252"/>
    <cellStyle name="20% - Accent4 4 4 2" xfId="12446"/>
    <cellStyle name="20% - Accent4 4 4 2 2" xfId="32124"/>
    <cellStyle name="20% - Accent4 4 4 3" xfId="18598"/>
    <cellStyle name="20% - Accent4 4 4 3 2" xfId="38276"/>
    <cellStyle name="20% - Accent4 4 4 4" xfId="25960"/>
    <cellStyle name="20% - Accent4 4 5" xfId="9380"/>
    <cellStyle name="20% - Accent4 4 5 2" xfId="29058"/>
    <cellStyle name="20% - Accent4 4 6" xfId="15532"/>
    <cellStyle name="20% - Accent4 4 6 2" xfId="35210"/>
    <cellStyle name="20% - Accent4 4 7" xfId="22779"/>
    <cellStyle name="20% - Accent4 4 8" xfId="41674"/>
    <cellStyle name="20% - Accent4 4 9" xfId="22084"/>
    <cellStyle name="20% - Accent4 5" xfId="403"/>
    <cellStyle name="20% - Accent4 5 10" xfId="22112"/>
    <cellStyle name="20% - Accent4 5 2" xfId="3846"/>
    <cellStyle name="20% - Accent4 5 2 2" xfId="5471"/>
    <cellStyle name="20% - Accent4 5 2 2 2" xfId="8557"/>
    <cellStyle name="20% - Accent4 5 2 2 2 2" xfId="14750"/>
    <cellStyle name="20% - Accent4 5 2 2 2 2 2" xfId="34428"/>
    <cellStyle name="20% - Accent4 5 2 2 2 3" xfId="20902"/>
    <cellStyle name="20% - Accent4 5 2 2 2 3 2" xfId="40580"/>
    <cellStyle name="20% - Accent4 5 2 2 2 4" xfId="28264"/>
    <cellStyle name="20% - Accent4 5 2 2 3" xfId="11684"/>
    <cellStyle name="20% - Accent4 5 2 2 3 2" xfId="31362"/>
    <cellStyle name="20% - Accent4 5 2 2 4" xfId="17836"/>
    <cellStyle name="20% - Accent4 5 2 2 4 2" xfId="37514"/>
    <cellStyle name="20% - Accent4 5 2 2 5" xfId="25198"/>
    <cellStyle name="20% - Accent4 5 2 3" xfId="7022"/>
    <cellStyle name="20% - Accent4 5 2 3 2" xfId="13216"/>
    <cellStyle name="20% - Accent4 5 2 3 2 2" xfId="32894"/>
    <cellStyle name="20% - Accent4 5 2 3 3" xfId="19368"/>
    <cellStyle name="20% - Accent4 5 2 3 3 2" xfId="39046"/>
    <cellStyle name="20% - Accent4 5 2 3 4" xfId="26730"/>
    <cellStyle name="20% - Accent4 5 2 4" xfId="10150"/>
    <cellStyle name="20% - Accent4 5 2 4 2" xfId="29828"/>
    <cellStyle name="20% - Accent4 5 2 5" xfId="16302"/>
    <cellStyle name="20% - Accent4 5 2 5 2" xfId="35980"/>
    <cellStyle name="20% - Accent4 5 2 6" xfId="23664"/>
    <cellStyle name="20% - Accent4 5 2 7" xfId="22506"/>
    <cellStyle name="20% - Accent4 5 3" xfId="4685"/>
    <cellStyle name="20% - Accent4 5 3 2" xfId="7788"/>
    <cellStyle name="20% - Accent4 5 3 2 2" xfId="13981"/>
    <cellStyle name="20% - Accent4 5 3 2 2 2" xfId="33659"/>
    <cellStyle name="20% - Accent4 5 3 2 3" xfId="20133"/>
    <cellStyle name="20% - Accent4 5 3 2 3 2" xfId="39811"/>
    <cellStyle name="20% - Accent4 5 3 2 4" xfId="27495"/>
    <cellStyle name="20% - Accent4 5 3 3" xfId="10915"/>
    <cellStyle name="20% - Accent4 5 3 3 2" xfId="30593"/>
    <cellStyle name="20% - Accent4 5 3 4" xfId="17067"/>
    <cellStyle name="20% - Accent4 5 3 4 2" xfId="36745"/>
    <cellStyle name="20% - Accent4 5 3 5" xfId="24429"/>
    <cellStyle name="20% - Accent4 5 4" xfId="6253"/>
    <cellStyle name="20% - Accent4 5 4 2" xfId="12447"/>
    <cellStyle name="20% - Accent4 5 4 2 2" xfId="32125"/>
    <cellStyle name="20% - Accent4 5 4 3" xfId="18599"/>
    <cellStyle name="20% - Accent4 5 4 3 2" xfId="38277"/>
    <cellStyle name="20% - Accent4 5 4 4" xfId="25961"/>
    <cellStyle name="20% - Accent4 5 5" xfId="9381"/>
    <cellStyle name="20% - Accent4 5 5 2" xfId="29059"/>
    <cellStyle name="20% - Accent4 5 6" xfId="15533"/>
    <cellStyle name="20% - Accent4 5 6 2" xfId="35211"/>
    <cellStyle name="20% - Accent4 5 7" xfId="22780"/>
    <cellStyle name="20% - Accent4 5 8" xfId="41351"/>
    <cellStyle name="20% - Accent4 5 9" xfId="41690"/>
    <cellStyle name="20% - Accent4 6" xfId="404"/>
    <cellStyle name="20% - Accent4 6 2" xfId="22522"/>
    <cellStyle name="20% - Accent4 6 3" xfId="22781"/>
    <cellStyle name="20% - Accent4 6 4" xfId="41514"/>
    <cellStyle name="20% - Accent4 6 5" xfId="41706"/>
    <cellStyle name="20% - Accent4 6 6" xfId="22136"/>
    <cellStyle name="20% - Accent4 7" xfId="22160"/>
    <cellStyle name="20% - Accent4 7 2" xfId="22538"/>
    <cellStyle name="20% - Accent4 7 3" xfId="41529"/>
    <cellStyle name="20% - Accent4 7 4" xfId="41722"/>
    <cellStyle name="20% - Accent4 8" xfId="22183"/>
    <cellStyle name="20% - Accent4 8 2" xfId="22554"/>
    <cellStyle name="20% - Accent4 8 3" xfId="41553"/>
    <cellStyle name="20% - Accent4 8 4" xfId="41738"/>
    <cellStyle name="20% - Accent4 9" xfId="22222"/>
    <cellStyle name="20% - Accent4 9 2" xfId="22570"/>
    <cellStyle name="20% - Accent4 9 3" xfId="41388"/>
    <cellStyle name="20% - Accent4 9 4" xfId="41754"/>
    <cellStyle name="20% - Accent5" xfId="21677" builtinId="46" customBuiltin="1"/>
    <cellStyle name="20% - Accent5 10" xfId="22254"/>
    <cellStyle name="20% - Accent5 10 2" xfId="22588"/>
    <cellStyle name="20% - Accent5 10 3" xfId="41501"/>
    <cellStyle name="20% - Accent5 10 4" xfId="41772"/>
    <cellStyle name="20% - Accent5 11" xfId="22280"/>
    <cellStyle name="20% - Accent5 11 2" xfId="22604"/>
    <cellStyle name="20% - Accent5 11 3" xfId="41466"/>
    <cellStyle name="20% - Accent5 11 4" xfId="41788"/>
    <cellStyle name="20% - Accent5 12" xfId="22305"/>
    <cellStyle name="20% - Accent5 12 2" xfId="22620"/>
    <cellStyle name="20% - Accent5 12 3" xfId="41426"/>
    <cellStyle name="20% - Accent5 12 4" xfId="41804"/>
    <cellStyle name="20% - Accent5 13" xfId="22328"/>
    <cellStyle name="20% - Accent5 13 2" xfId="22636"/>
    <cellStyle name="20% - Accent5 13 3" xfId="41404"/>
    <cellStyle name="20% - Accent5 13 4" xfId="41820"/>
    <cellStyle name="20% - Accent5 14" xfId="22346"/>
    <cellStyle name="20% - Accent5 14 2" xfId="22652"/>
    <cellStyle name="20% - Accent5 14 3" xfId="41457"/>
    <cellStyle name="20% - Accent5 14 4" xfId="41836"/>
    <cellStyle name="20% - Accent5 15" xfId="22362"/>
    <cellStyle name="20% - Accent5 15 2" xfId="22668"/>
    <cellStyle name="20% - Accent5 15 3" xfId="41420"/>
    <cellStyle name="20% - Accent5 15 4" xfId="41852"/>
    <cellStyle name="20% - Accent5 16" xfId="22384"/>
    <cellStyle name="20% - Accent5 17" xfId="41568"/>
    <cellStyle name="20% - Accent5 2" xfId="405"/>
    <cellStyle name="20% - Accent5 2 2" xfId="3847"/>
    <cellStyle name="20% - Accent5 2 2 2" xfId="5472"/>
    <cellStyle name="20% - Accent5 2 2 2 2" xfId="8558"/>
    <cellStyle name="20% - Accent5 2 2 2 2 2" xfId="14751"/>
    <cellStyle name="20% - Accent5 2 2 2 2 2 2" xfId="34429"/>
    <cellStyle name="20% - Accent5 2 2 2 2 3" xfId="20903"/>
    <cellStyle name="20% - Accent5 2 2 2 2 3 2" xfId="40581"/>
    <cellStyle name="20% - Accent5 2 2 2 2 4" xfId="28265"/>
    <cellStyle name="20% - Accent5 2 2 2 3" xfId="11685"/>
    <cellStyle name="20% - Accent5 2 2 2 3 2" xfId="31363"/>
    <cellStyle name="20% - Accent5 2 2 2 4" xfId="17837"/>
    <cellStyle name="20% - Accent5 2 2 2 4 2" xfId="37515"/>
    <cellStyle name="20% - Accent5 2 2 2 5" xfId="25199"/>
    <cellStyle name="20% - Accent5 2 2 3" xfId="7023"/>
    <cellStyle name="20% - Accent5 2 2 3 2" xfId="13217"/>
    <cellStyle name="20% - Accent5 2 2 3 2 2" xfId="32895"/>
    <cellStyle name="20% - Accent5 2 2 3 3" xfId="19369"/>
    <cellStyle name="20% - Accent5 2 2 3 3 2" xfId="39047"/>
    <cellStyle name="20% - Accent5 2 2 3 4" xfId="26731"/>
    <cellStyle name="20% - Accent5 2 2 4" xfId="10151"/>
    <cellStyle name="20% - Accent5 2 2 4 2" xfId="29829"/>
    <cellStyle name="20% - Accent5 2 2 5" xfId="16303"/>
    <cellStyle name="20% - Accent5 2 2 5 2" xfId="35981"/>
    <cellStyle name="20% - Accent5 2 2 6" xfId="23665"/>
    <cellStyle name="20% - Accent5 2 2 7" xfId="22460"/>
    <cellStyle name="20% - Accent5 2 3" xfId="4686"/>
    <cellStyle name="20% - Accent5 2 3 2" xfId="7789"/>
    <cellStyle name="20% - Accent5 2 3 2 2" xfId="13982"/>
    <cellStyle name="20% - Accent5 2 3 2 2 2" xfId="33660"/>
    <cellStyle name="20% - Accent5 2 3 2 3" xfId="20134"/>
    <cellStyle name="20% - Accent5 2 3 2 3 2" xfId="39812"/>
    <cellStyle name="20% - Accent5 2 3 2 4" xfId="27496"/>
    <cellStyle name="20% - Accent5 2 3 3" xfId="10916"/>
    <cellStyle name="20% - Accent5 2 3 3 2" xfId="30594"/>
    <cellStyle name="20% - Accent5 2 3 4" xfId="17068"/>
    <cellStyle name="20% - Accent5 2 3 4 2" xfId="36746"/>
    <cellStyle name="20% - Accent5 2 3 5" xfId="24430"/>
    <cellStyle name="20% - Accent5 2 4" xfId="6254"/>
    <cellStyle name="20% - Accent5 2 4 2" xfId="12448"/>
    <cellStyle name="20% - Accent5 2 4 2 2" xfId="32126"/>
    <cellStyle name="20% - Accent5 2 4 3" xfId="18600"/>
    <cellStyle name="20% - Accent5 2 4 3 2" xfId="38278"/>
    <cellStyle name="20% - Accent5 2 4 4" xfId="25962"/>
    <cellStyle name="20% - Accent5 2 5" xfId="9382"/>
    <cellStyle name="20% - Accent5 2 5 2" xfId="29060"/>
    <cellStyle name="20% - Accent5 2 6" xfId="15534"/>
    <cellStyle name="20% - Accent5 2 6 2" xfId="35212"/>
    <cellStyle name="20% - Accent5 2 7" xfId="22782"/>
    <cellStyle name="20% - Accent5 2 8" xfId="41644"/>
    <cellStyle name="20% - Accent5 2 9" xfId="22031"/>
    <cellStyle name="20% - Accent5 3" xfId="406"/>
    <cellStyle name="20% - Accent5 3 2" xfId="3848"/>
    <cellStyle name="20% - Accent5 3 2 2" xfId="5473"/>
    <cellStyle name="20% - Accent5 3 2 2 2" xfId="8559"/>
    <cellStyle name="20% - Accent5 3 2 2 2 2" xfId="14752"/>
    <cellStyle name="20% - Accent5 3 2 2 2 2 2" xfId="34430"/>
    <cellStyle name="20% - Accent5 3 2 2 2 3" xfId="20904"/>
    <cellStyle name="20% - Accent5 3 2 2 2 3 2" xfId="40582"/>
    <cellStyle name="20% - Accent5 3 2 2 2 4" xfId="28266"/>
    <cellStyle name="20% - Accent5 3 2 2 3" xfId="11686"/>
    <cellStyle name="20% - Accent5 3 2 2 3 2" xfId="31364"/>
    <cellStyle name="20% - Accent5 3 2 2 4" xfId="17838"/>
    <cellStyle name="20% - Accent5 3 2 2 4 2" xfId="37516"/>
    <cellStyle name="20% - Accent5 3 2 2 5" xfId="25200"/>
    <cellStyle name="20% - Accent5 3 2 3" xfId="7024"/>
    <cellStyle name="20% - Accent5 3 2 3 2" xfId="13218"/>
    <cellStyle name="20% - Accent5 3 2 3 2 2" xfId="32896"/>
    <cellStyle name="20% - Accent5 3 2 3 3" xfId="19370"/>
    <cellStyle name="20% - Accent5 3 2 3 3 2" xfId="39048"/>
    <cellStyle name="20% - Accent5 3 2 3 4" xfId="26732"/>
    <cellStyle name="20% - Accent5 3 2 4" xfId="10152"/>
    <cellStyle name="20% - Accent5 3 2 4 2" xfId="29830"/>
    <cellStyle name="20% - Accent5 3 2 5" xfId="16304"/>
    <cellStyle name="20% - Accent5 3 2 5 2" xfId="35982"/>
    <cellStyle name="20% - Accent5 3 2 6" xfId="23666"/>
    <cellStyle name="20% - Accent5 3 2 7" xfId="22476"/>
    <cellStyle name="20% - Accent5 3 3" xfId="4687"/>
    <cellStyle name="20% - Accent5 3 3 2" xfId="7790"/>
    <cellStyle name="20% - Accent5 3 3 2 2" xfId="13983"/>
    <cellStyle name="20% - Accent5 3 3 2 2 2" xfId="33661"/>
    <cellStyle name="20% - Accent5 3 3 2 3" xfId="20135"/>
    <cellStyle name="20% - Accent5 3 3 2 3 2" xfId="39813"/>
    <cellStyle name="20% - Accent5 3 3 2 4" xfId="27497"/>
    <cellStyle name="20% - Accent5 3 3 3" xfId="10917"/>
    <cellStyle name="20% - Accent5 3 3 3 2" xfId="30595"/>
    <cellStyle name="20% - Accent5 3 3 4" xfId="17069"/>
    <cellStyle name="20% - Accent5 3 3 4 2" xfId="36747"/>
    <cellStyle name="20% - Accent5 3 3 5" xfId="24431"/>
    <cellStyle name="20% - Accent5 3 4" xfId="6255"/>
    <cellStyle name="20% - Accent5 3 4 2" xfId="12449"/>
    <cellStyle name="20% - Accent5 3 4 2 2" xfId="32127"/>
    <cellStyle name="20% - Accent5 3 4 3" xfId="18601"/>
    <cellStyle name="20% - Accent5 3 4 3 2" xfId="38279"/>
    <cellStyle name="20% - Accent5 3 4 4" xfId="25963"/>
    <cellStyle name="20% - Accent5 3 5" xfId="9383"/>
    <cellStyle name="20% - Accent5 3 5 2" xfId="29061"/>
    <cellStyle name="20% - Accent5 3 6" xfId="15535"/>
    <cellStyle name="20% - Accent5 3 6 2" xfId="35213"/>
    <cellStyle name="20% - Accent5 3 7" xfId="22783"/>
    <cellStyle name="20% - Accent5 3 8" xfId="41660"/>
    <cellStyle name="20% - Accent5 3 9" xfId="22061"/>
    <cellStyle name="20% - Accent5 4" xfId="407"/>
    <cellStyle name="20% - Accent5 4 2" xfId="3849"/>
    <cellStyle name="20% - Accent5 4 2 2" xfId="5474"/>
    <cellStyle name="20% - Accent5 4 2 2 2" xfId="8560"/>
    <cellStyle name="20% - Accent5 4 2 2 2 2" xfId="14753"/>
    <cellStyle name="20% - Accent5 4 2 2 2 2 2" xfId="34431"/>
    <cellStyle name="20% - Accent5 4 2 2 2 3" xfId="20905"/>
    <cellStyle name="20% - Accent5 4 2 2 2 3 2" xfId="40583"/>
    <cellStyle name="20% - Accent5 4 2 2 2 4" xfId="28267"/>
    <cellStyle name="20% - Accent5 4 2 2 3" xfId="11687"/>
    <cellStyle name="20% - Accent5 4 2 2 3 2" xfId="31365"/>
    <cellStyle name="20% - Accent5 4 2 2 4" xfId="17839"/>
    <cellStyle name="20% - Accent5 4 2 2 4 2" xfId="37517"/>
    <cellStyle name="20% - Accent5 4 2 2 5" xfId="25201"/>
    <cellStyle name="20% - Accent5 4 2 3" xfId="7025"/>
    <cellStyle name="20% - Accent5 4 2 3 2" xfId="13219"/>
    <cellStyle name="20% - Accent5 4 2 3 2 2" xfId="32897"/>
    <cellStyle name="20% - Accent5 4 2 3 3" xfId="19371"/>
    <cellStyle name="20% - Accent5 4 2 3 3 2" xfId="39049"/>
    <cellStyle name="20% - Accent5 4 2 3 4" xfId="26733"/>
    <cellStyle name="20% - Accent5 4 2 4" xfId="10153"/>
    <cellStyle name="20% - Accent5 4 2 4 2" xfId="29831"/>
    <cellStyle name="20% - Accent5 4 2 5" xfId="16305"/>
    <cellStyle name="20% - Accent5 4 2 5 2" xfId="35983"/>
    <cellStyle name="20% - Accent5 4 2 6" xfId="23667"/>
    <cellStyle name="20% - Accent5 4 2 7" xfId="22492"/>
    <cellStyle name="20% - Accent5 4 3" xfId="4688"/>
    <cellStyle name="20% - Accent5 4 3 2" xfId="7791"/>
    <cellStyle name="20% - Accent5 4 3 2 2" xfId="13984"/>
    <cellStyle name="20% - Accent5 4 3 2 2 2" xfId="33662"/>
    <cellStyle name="20% - Accent5 4 3 2 3" xfId="20136"/>
    <cellStyle name="20% - Accent5 4 3 2 3 2" xfId="39814"/>
    <cellStyle name="20% - Accent5 4 3 2 4" xfId="27498"/>
    <cellStyle name="20% - Accent5 4 3 3" xfId="10918"/>
    <cellStyle name="20% - Accent5 4 3 3 2" xfId="30596"/>
    <cellStyle name="20% - Accent5 4 3 4" xfId="17070"/>
    <cellStyle name="20% - Accent5 4 3 4 2" xfId="36748"/>
    <cellStyle name="20% - Accent5 4 3 5" xfId="24432"/>
    <cellStyle name="20% - Accent5 4 4" xfId="6256"/>
    <cellStyle name="20% - Accent5 4 4 2" xfId="12450"/>
    <cellStyle name="20% - Accent5 4 4 2 2" xfId="32128"/>
    <cellStyle name="20% - Accent5 4 4 3" xfId="18602"/>
    <cellStyle name="20% - Accent5 4 4 3 2" xfId="38280"/>
    <cellStyle name="20% - Accent5 4 4 4" xfId="25964"/>
    <cellStyle name="20% - Accent5 4 5" xfId="9384"/>
    <cellStyle name="20% - Accent5 4 5 2" xfId="29062"/>
    <cellStyle name="20% - Accent5 4 6" xfId="15536"/>
    <cellStyle name="20% - Accent5 4 6 2" xfId="35214"/>
    <cellStyle name="20% - Accent5 4 7" xfId="22784"/>
    <cellStyle name="20% - Accent5 4 8" xfId="41676"/>
    <cellStyle name="20% - Accent5 4 9" xfId="22088"/>
    <cellStyle name="20% - Accent5 5" xfId="408"/>
    <cellStyle name="20% - Accent5 5 2" xfId="22508"/>
    <cellStyle name="20% - Accent5 5 3" xfId="22785"/>
    <cellStyle name="20% - Accent5 5 4" xfId="41337"/>
    <cellStyle name="20% - Accent5 5 5" xfId="41692"/>
    <cellStyle name="20% - Accent5 5 6" xfId="22115"/>
    <cellStyle name="20% - Accent5 6" xfId="22140"/>
    <cellStyle name="20% - Accent5 6 2" xfId="22524"/>
    <cellStyle name="20% - Accent5 6 3" xfId="41498"/>
    <cellStyle name="20% - Accent5 6 4" xfId="41708"/>
    <cellStyle name="20% - Accent5 7" xfId="22162"/>
    <cellStyle name="20% - Accent5 7 2" xfId="22540"/>
    <cellStyle name="20% - Accent5 7 3" xfId="41513"/>
    <cellStyle name="20% - Accent5 7 4" xfId="41724"/>
    <cellStyle name="20% - Accent5 8" xfId="22186"/>
    <cellStyle name="20% - Accent5 8 2" xfId="22556"/>
    <cellStyle name="20% - Accent5 8 3" xfId="41542"/>
    <cellStyle name="20% - Accent5 8 4" xfId="41740"/>
    <cellStyle name="20% - Accent5 9" xfId="22226"/>
    <cellStyle name="20% - Accent5 9 2" xfId="22572"/>
    <cellStyle name="20% - Accent5 9 3" xfId="41437"/>
    <cellStyle name="20% - Accent5 9 4" xfId="41756"/>
    <cellStyle name="20% - Accent6" xfId="21681" builtinId="50" customBuiltin="1"/>
    <cellStyle name="20% - Accent6 10" xfId="22258"/>
    <cellStyle name="20% - Accent6 10 2" xfId="22590"/>
    <cellStyle name="20% - Accent6 10 3" xfId="41432"/>
    <cellStyle name="20% - Accent6 10 4" xfId="41774"/>
    <cellStyle name="20% - Accent6 11" xfId="22284"/>
    <cellStyle name="20% - Accent6 11 2" xfId="22606"/>
    <cellStyle name="20% - Accent6 11 3" xfId="41407"/>
    <cellStyle name="20% - Accent6 11 4" xfId="41790"/>
    <cellStyle name="20% - Accent6 12" xfId="22308"/>
    <cellStyle name="20% - Accent6 12 2" xfId="22622"/>
    <cellStyle name="20% - Accent6 12 3" xfId="41429"/>
    <cellStyle name="20% - Accent6 12 4" xfId="41806"/>
    <cellStyle name="20% - Accent6 13" xfId="22331"/>
    <cellStyle name="20% - Accent6 13 2" xfId="22638"/>
    <cellStyle name="20% - Accent6 13 3" xfId="41471"/>
    <cellStyle name="20% - Accent6 13 4" xfId="41822"/>
    <cellStyle name="20% - Accent6 14" xfId="22348"/>
    <cellStyle name="20% - Accent6 14 2" xfId="22654"/>
    <cellStyle name="20% - Accent6 14 3" xfId="41352"/>
    <cellStyle name="20% - Accent6 14 4" xfId="41838"/>
    <cellStyle name="20% - Accent6 15" xfId="22364"/>
    <cellStyle name="20% - Accent6 15 2" xfId="22670"/>
    <cellStyle name="20% - Accent6 15 3" xfId="41332"/>
    <cellStyle name="20% - Accent6 15 4" xfId="41854"/>
    <cellStyle name="20% - Accent6 16" xfId="22386"/>
    <cellStyle name="20% - Accent6 17" xfId="41570"/>
    <cellStyle name="20% - Accent6 2" xfId="409"/>
    <cellStyle name="20% - Accent6 2 2" xfId="3850"/>
    <cellStyle name="20% - Accent6 2 2 2" xfId="5475"/>
    <cellStyle name="20% - Accent6 2 2 2 2" xfId="8561"/>
    <cellStyle name="20% - Accent6 2 2 2 2 2" xfId="14754"/>
    <cellStyle name="20% - Accent6 2 2 2 2 2 2" xfId="34432"/>
    <cellStyle name="20% - Accent6 2 2 2 2 3" xfId="20906"/>
    <cellStyle name="20% - Accent6 2 2 2 2 3 2" xfId="40584"/>
    <cellStyle name="20% - Accent6 2 2 2 2 4" xfId="28268"/>
    <cellStyle name="20% - Accent6 2 2 2 3" xfId="11688"/>
    <cellStyle name="20% - Accent6 2 2 2 3 2" xfId="31366"/>
    <cellStyle name="20% - Accent6 2 2 2 4" xfId="17840"/>
    <cellStyle name="20% - Accent6 2 2 2 4 2" xfId="37518"/>
    <cellStyle name="20% - Accent6 2 2 2 5" xfId="25202"/>
    <cellStyle name="20% - Accent6 2 2 3" xfId="7026"/>
    <cellStyle name="20% - Accent6 2 2 3 2" xfId="13220"/>
    <cellStyle name="20% - Accent6 2 2 3 2 2" xfId="32898"/>
    <cellStyle name="20% - Accent6 2 2 3 3" xfId="19372"/>
    <cellStyle name="20% - Accent6 2 2 3 3 2" xfId="39050"/>
    <cellStyle name="20% - Accent6 2 2 3 4" xfId="26734"/>
    <cellStyle name="20% - Accent6 2 2 4" xfId="10154"/>
    <cellStyle name="20% - Accent6 2 2 4 2" xfId="29832"/>
    <cellStyle name="20% - Accent6 2 2 5" xfId="16306"/>
    <cellStyle name="20% - Accent6 2 2 5 2" xfId="35984"/>
    <cellStyle name="20% - Accent6 2 2 6" xfId="23668"/>
    <cellStyle name="20% - Accent6 2 2 7" xfId="22462"/>
    <cellStyle name="20% - Accent6 2 3" xfId="4689"/>
    <cellStyle name="20% - Accent6 2 3 2" xfId="7792"/>
    <cellStyle name="20% - Accent6 2 3 2 2" xfId="13985"/>
    <cellStyle name="20% - Accent6 2 3 2 2 2" xfId="33663"/>
    <cellStyle name="20% - Accent6 2 3 2 3" xfId="20137"/>
    <cellStyle name="20% - Accent6 2 3 2 3 2" xfId="39815"/>
    <cellStyle name="20% - Accent6 2 3 2 4" xfId="27499"/>
    <cellStyle name="20% - Accent6 2 3 3" xfId="10919"/>
    <cellStyle name="20% - Accent6 2 3 3 2" xfId="30597"/>
    <cellStyle name="20% - Accent6 2 3 4" xfId="17071"/>
    <cellStyle name="20% - Accent6 2 3 4 2" xfId="36749"/>
    <cellStyle name="20% - Accent6 2 3 5" xfId="24433"/>
    <cellStyle name="20% - Accent6 2 4" xfId="6257"/>
    <cellStyle name="20% - Accent6 2 4 2" xfId="12451"/>
    <cellStyle name="20% - Accent6 2 4 2 2" xfId="32129"/>
    <cellStyle name="20% - Accent6 2 4 3" xfId="18603"/>
    <cellStyle name="20% - Accent6 2 4 3 2" xfId="38281"/>
    <cellStyle name="20% - Accent6 2 4 4" xfId="25965"/>
    <cellStyle name="20% - Accent6 2 5" xfId="9385"/>
    <cellStyle name="20% - Accent6 2 5 2" xfId="29063"/>
    <cellStyle name="20% - Accent6 2 6" xfId="15537"/>
    <cellStyle name="20% - Accent6 2 6 2" xfId="35215"/>
    <cellStyle name="20% - Accent6 2 7" xfId="22786"/>
    <cellStyle name="20% - Accent6 2 8" xfId="41646"/>
    <cellStyle name="20% - Accent6 2 9" xfId="22035"/>
    <cellStyle name="20% - Accent6 3" xfId="410"/>
    <cellStyle name="20% - Accent6 3 2" xfId="3851"/>
    <cellStyle name="20% - Accent6 3 2 2" xfId="5476"/>
    <cellStyle name="20% - Accent6 3 2 2 2" xfId="8562"/>
    <cellStyle name="20% - Accent6 3 2 2 2 2" xfId="14755"/>
    <cellStyle name="20% - Accent6 3 2 2 2 2 2" xfId="34433"/>
    <cellStyle name="20% - Accent6 3 2 2 2 3" xfId="20907"/>
    <cellStyle name="20% - Accent6 3 2 2 2 3 2" xfId="40585"/>
    <cellStyle name="20% - Accent6 3 2 2 2 4" xfId="28269"/>
    <cellStyle name="20% - Accent6 3 2 2 3" xfId="11689"/>
    <cellStyle name="20% - Accent6 3 2 2 3 2" xfId="31367"/>
    <cellStyle name="20% - Accent6 3 2 2 4" xfId="17841"/>
    <cellStyle name="20% - Accent6 3 2 2 4 2" xfId="37519"/>
    <cellStyle name="20% - Accent6 3 2 2 5" xfId="25203"/>
    <cellStyle name="20% - Accent6 3 2 3" xfId="7027"/>
    <cellStyle name="20% - Accent6 3 2 3 2" xfId="13221"/>
    <cellStyle name="20% - Accent6 3 2 3 2 2" xfId="32899"/>
    <cellStyle name="20% - Accent6 3 2 3 3" xfId="19373"/>
    <cellStyle name="20% - Accent6 3 2 3 3 2" xfId="39051"/>
    <cellStyle name="20% - Accent6 3 2 3 4" xfId="26735"/>
    <cellStyle name="20% - Accent6 3 2 4" xfId="10155"/>
    <cellStyle name="20% - Accent6 3 2 4 2" xfId="29833"/>
    <cellStyle name="20% - Accent6 3 2 5" xfId="16307"/>
    <cellStyle name="20% - Accent6 3 2 5 2" xfId="35985"/>
    <cellStyle name="20% - Accent6 3 2 6" xfId="23669"/>
    <cellStyle name="20% - Accent6 3 2 7" xfId="22478"/>
    <cellStyle name="20% - Accent6 3 3" xfId="4690"/>
    <cellStyle name="20% - Accent6 3 3 2" xfId="7793"/>
    <cellStyle name="20% - Accent6 3 3 2 2" xfId="13986"/>
    <cellStyle name="20% - Accent6 3 3 2 2 2" xfId="33664"/>
    <cellStyle name="20% - Accent6 3 3 2 3" xfId="20138"/>
    <cellStyle name="20% - Accent6 3 3 2 3 2" xfId="39816"/>
    <cellStyle name="20% - Accent6 3 3 2 4" xfId="27500"/>
    <cellStyle name="20% - Accent6 3 3 3" xfId="10920"/>
    <cellStyle name="20% - Accent6 3 3 3 2" xfId="30598"/>
    <cellStyle name="20% - Accent6 3 3 4" xfId="17072"/>
    <cellStyle name="20% - Accent6 3 3 4 2" xfId="36750"/>
    <cellStyle name="20% - Accent6 3 3 5" xfId="24434"/>
    <cellStyle name="20% - Accent6 3 4" xfId="6258"/>
    <cellStyle name="20% - Accent6 3 4 2" xfId="12452"/>
    <cellStyle name="20% - Accent6 3 4 2 2" xfId="32130"/>
    <cellStyle name="20% - Accent6 3 4 3" xfId="18604"/>
    <cellStyle name="20% - Accent6 3 4 3 2" xfId="38282"/>
    <cellStyle name="20% - Accent6 3 4 4" xfId="25966"/>
    <cellStyle name="20% - Accent6 3 5" xfId="9386"/>
    <cellStyle name="20% - Accent6 3 5 2" xfId="29064"/>
    <cellStyle name="20% - Accent6 3 6" xfId="15538"/>
    <cellStyle name="20% - Accent6 3 6 2" xfId="35216"/>
    <cellStyle name="20% - Accent6 3 7" xfId="22787"/>
    <cellStyle name="20% - Accent6 3 8" xfId="41662"/>
    <cellStyle name="20% - Accent6 3 9" xfId="22065"/>
    <cellStyle name="20% - Accent6 4" xfId="411"/>
    <cellStyle name="20% - Accent6 4 2" xfId="3852"/>
    <cellStyle name="20% - Accent6 4 2 2" xfId="5477"/>
    <cellStyle name="20% - Accent6 4 2 2 2" xfId="8563"/>
    <cellStyle name="20% - Accent6 4 2 2 2 2" xfId="14756"/>
    <cellStyle name="20% - Accent6 4 2 2 2 2 2" xfId="34434"/>
    <cellStyle name="20% - Accent6 4 2 2 2 3" xfId="20908"/>
    <cellStyle name="20% - Accent6 4 2 2 2 3 2" xfId="40586"/>
    <cellStyle name="20% - Accent6 4 2 2 2 4" xfId="28270"/>
    <cellStyle name="20% - Accent6 4 2 2 3" xfId="11690"/>
    <cellStyle name="20% - Accent6 4 2 2 3 2" xfId="31368"/>
    <cellStyle name="20% - Accent6 4 2 2 4" xfId="17842"/>
    <cellStyle name="20% - Accent6 4 2 2 4 2" xfId="37520"/>
    <cellStyle name="20% - Accent6 4 2 2 5" xfId="25204"/>
    <cellStyle name="20% - Accent6 4 2 3" xfId="7028"/>
    <cellStyle name="20% - Accent6 4 2 3 2" xfId="13222"/>
    <cellStyle name="20% - Accent6 4 2 3 2 2" xfId="32900"/>
    <cellStyle name="20% - Accent6 4 2 3 3" xfId="19374"/>
    <cellStyle name="20% - Accent6 4 2 3 3 2" xfId="39052"/>
    <cellStyle name="20% - Accent6 4 2 3 4" xfId="26736"/>
    <cellStyle name="20% - Accent6 4 2 4" xfId="10156"/>
    <cellStyle name="20% - Accent6 4 2 4 2" xfId="29834"/>
    <cellStyle name="20% - Accent6 4 2 5" xfId="16308"/>
    <cellStyle name="20% - Accent6 4 2 5 2" xfId="35986"/>
    <cellStyle name="20% - Accent6 4 2 6" xfId="23670"/>
    <cellStyle name="20% - Accent6 4 2 7" xfId="22494"/>
    <cellStyle name="20% - Accent6 4 3" xfId="4691"/>
    <cellStyle name="20% - Accent6 4 3 2" xfId="7794"/>
    <cellStyle name="20% - Accent6 4 3 2 2" xfId="13987"/>
    <cellStyle name="20% - Accent6 4 3 2 2 2" xfId="33665"/>
    <cellStyle name="20% - Accent6 4 3 2 3" xfId="20139"/>
    <cellStyle name="20% - Accent6 4 3 2 3 2" xfId="39817"/>
    <cellStyle name="20% - Accent6 4 3 2 4" xfId="27501"/>
    <cellStyle name="20% - Accent6 4 3 3" xfId="10921"/>
    <cellStyle name="20% - Accent6 4 3 3 2" xfId="30599"/>
    <cellStyle name="20% - Accent6 4 3 4" xfId="17073"/>
    <cellStyle name="20% - Accent6 4 3 4 2" xfId="36751"/>
    <cellStyle name="20% - Accent6 4 3 5" xfId="24435"/>
    <cellStyle name="20% - Accent6 4 4" xfId="6259"/>
    <cellStyle name="20% - Accent6 4 4 2" xfId="12453"/>
    <cellStyle name="20% - Accent6 4 4 2 2" xfId="32131"/>
    <cellStyle name="20% - Accent6 4 4 3" xfId="18605"/>
    <cellStyle name="20% - Accent6 4 4 3 2" xfId="38283"/>
    <cellStyle name="20% - Accent6 4 4 4" xfId="25967"/>
    <cellStyle name="20% - Accent6 4 5" xfId="9387"/>
    <cellStyle name="20% - Accent6 4 5 2" xfId="29065"/>
    <cellStyle name="20% - Accent6 4 6" xfId="15539"/>
    <cellStyle name="20% - Accent6 4 6 2" xfId="35217"/>
    <cellStyle name="20% - Accent6 4 7" xfId="22788"/>
    <cellStyle name="20% - Accent6 4 8" xfId="41678"/>
    <cellStyle name="20% - Accent6 4 9" xfId="22092"/>
    <cellStyle name="20% - Accent6 5" xfId="412"/>
    <cellStyle name="20% - Accent6 5 2" xfId="22510"/>
    <cellStyle name="20% - Accent6 5 3" xfId="22789"/>
    <cellStyle name="20% - Accent6 5 4" xfId="41331"/>
    <cellStyle name="20% - Accent6 5 5" xfId="41694"/>
    <cellStyle name="20% - Accent6 5 6" xfId="22118"/>
    <cellStyle name="20% - Accent6 6" xfId="22144"/>
    <cellStyle name="20% - Accent6 6 2" xfId="22526"/>
    <cellStyle name="20% - Accent6 6 3" xfId="41481"/>
    <cellStyle name="20% - Accent6 6 4" xfId="41710"/>
    <cellStyle name="20% - Accent6 7" xfId="22166"/>
    <cellStyle name="20% - Accent6 7 2" xfId="22542"/>
    <cellStyle name="20% - Accent6 7 3" xfId="41406"/>
    <cellStyle name="20% - Accent6 7 4" xfId="41726"/>
    <cellStyle name="20% - Accent6 8" xfId="22190"/>
    <cellStyle name="20% - Accent6 8 2" xfId="22558"/>
    <cellStyle name="20% - Accent6 8 3" xfId="41403"/>
    <cellStyle name="20% - Accent6 8 4" xfId="41742"/>
    <cellStyle name="20% - Accent6 9" xfId="22230"/>
    <cellStyle name="20% - Accent6 9 2" xfId="22574"/>
    <cellStyle name="20% - Accent6 9 3" xfId="41358"/>
    <cellStyle name="20% - Accent6 9 4" xfId="41758"/>
    <cellStyle name="40% - Accent1" xfId="21662" builtinId="31" customBuiltin="1"/>
    <cellStyle name="40% - Accent1 10" xfId="22240"/>
    <cellStyle name="40% - Accent1 10 2" xfId="22581"/>
    <cellStyle name="40% - Accent1 10 3" xfId="41368"/>
    <cellStyle name="40% - Accent1 10 4" xfId="41765"/>
    <cellStyle name="40% - Accent1 11" xfId="22268"/>
    <cellStyle name="40% - Accent1 11 2" xfId="22597"/>
    <cellStyle name="40% - Accent1 11 3" xfId="41550"/>
    <cellStyle name="40% - Accent1 11 4" xfId="41781"/>
    <cellStyle name="40% - Accent1 12" xfId="22293"/>
    <cellStyle name="40% - Accent1 12 2" xfId="22613"/>
    <cellStyle name="40% - Accent1 12 3" xfId="41499"/>
    <cellStyle name="40% - Accent1 12 4" xfId="41797"/>
    <cellStyle name="40% - Accent1 13" xfId="22317"/>
    <cellStyle name="40% - Accent1 13 2" xfId="22629"/>
    <cellStyle name="40% - Accent1 13 3" xfId="41455"/>
    <cellStyle name="40% - Accent1 13 4" xfId="41813"/>
    <cellStyle name="40% - Accent1 14" xfId="22339"/>
    <cellStyle name="40% - Accent1 14 2" xfId="22645"/>
    <cellStyle name="40% - Accent1 14 3" xfId="41527"/>
    <cellStyle name="40% - Accent1 14 4" xfId="41829"/>
    <cellStyle name="40% - Accent1 15" xfId="22355"/>
    <cellStyle name="40% - Accent1 15 2" xfId="22661"/>
    <cellStyle name="40% - Accent1 15 3" xfId="41418"/>
    <cellStyle name="40% - Accent1 15 4" xfId="41845"/>
    <cellStyle name="40% - Accent1 16" xfId="22377"/>
    <cellStyle name="40% - Accent1 17" xfId="41561"/>
    <cellStyle name="40% - Accent1 2" xfId="413"/>
    <cellStyle name="40% - Accent1 2 2" xfId="3853"/>
    <cellStyle name="40% - Accent1 2 2 2" xfId="5478"/>
    <cellStyle name="40% - Accent1 2 2 2 2" xfId="8564"/>
    <cellStyle name="40% - Accent1 2 2 2 2 2" xfId="14757"/>
    <cellStyle name="40% - Accent1 2 2 2 2 2 2" xfId="34435"/>
    <cellStyle name="40% - Accent1 2 2 2 2 3" xfId="20909"/>
    <cellStyle name="40% - Accent1 2 2 2 2 3 2" xfId="40587"/>
    <cellStyle name="40% - Accent1 2 2 2 2 4" xfId="28271"/>
    <cellStyle name="40% - Accent1 2 2 2 3" xfId="11691"/>
    <cellStyle name="40% - Accent1 2 2 2 3 2" xfId="31369"/>
    <cellStyle name="40% - Accent1 2 2 2 4" xfId="17843"/>
    <cellStyle name="40% - Accent1 2 2 2 4 2" xfId="37521"/>
    <cellStyle name="40% - Accent1 2 2 2 5" xfId="25205"/>
    <cellStyle name="40% - Accent1 2 2 3" xfId="7029"/>
    <cellStyle name="40% - Accent1 2 2 3 2" xfId="13223"/>
    <cellStyle name="40% - Accent1 2 2 3 2 2" xfId="32901"/>
    <cellStyle name="40% - Accent1 2 2 3 3" xfId="19375"/>
    <cellStyle name="40% - Accent1 2 2 3 3 2" xfId="39053"/>
    <cellStyle name="40% - Accent1 2 2 3 4" xfId="26737"/>
    <cellStyle name="40% - Accent1 2 2 4" xfId="10157"/>
    <cellStyle name="40% - Accent1 2 2 4 2" xfId="29835"/>
    <cellStyle name="40% - Accent1 2 2 5" xfId="16309"/>
    <cellStyle name="40% - Accent1 2 2 5 2" xfId="35987"/>
    <cellStyle name="40% - Accent1 2 2 6" xfId="23671"/>
    <cellStyle name="40% - Accent1 2 2 7" xfId="22453"/>
    <cellStyle name="40% - Accent1 2 3" xfId="4692"/>
    <cellStyle name="40% - Accent1 2 3 2" xfId="7795"/>
    <cellStyle name="40% - Accent1 2 3 2 2" xfId="13988"/>
    <cellStyle name="40% - Accent1 2 3 2 2 2" xfId="33666"/>
    <cellStyle name="40% - Accent1 2 3 2 3" xfId="20140"/>
    <cellStyle name="40% - Accent1 2 3 2 3 2" xfId="39818"/>
    <cellStyle name="40% - Accent1 2 3 2 4" xfId="27502"/>
    <cellStyle name="40% - Accent1 2 3 3" xfId="10922"/>
    <cellStyle name="40% - Accent1 2 3 3 2" xfId="30600"/>
    <cellStyle name="40% - Accent1 2 3 4" xfId="17074"/>
    <cellStyle name="40% - Accent1 2 3 4 2" xfId="36752"/>
    <cellStyle name="40% - Accent1 2 3 5" xfId="24436"/>
    <cellStyle name="40% - Accent1 2 4" xfId="6260"/>
    <cellStyle name="40% - Accent1 2 4 2" xfId="12454"/>
    <cellStyle name="40% - Accent1 2 4 2 2" xfId="32132"/>
    <cellStyle name="40% - Accent1 2 4 3" xfId="18606"/>
    <cellStyle name="40% - Accent1 2 4 3 2" xfId="38284"/>
    <cellStyle name="40% - Accent1 2 4 4" xfId="25968"/>
    <cellStyle name="40% - Accent1 2 5" xfId="9388"/>
    <cellStyle name="40% - Accent1 2 5 2" xfId="29066"/>
    <cellStyle name="40% - Accent1 2 6" xfId="15540"/>
    <cellStyle name="40% - Accent1 2 6 2" xfId="35218"/>
    <cellStyle name="40% - Accent1 2 7" xfId="22790"/>
    <cellStyle name="40% - Accent1 2 8" xfId="41637"/>
    <cellStyle name="40% - Accent1 2 9" xfId="22016"/>
    <cellStyle name="40% - Accent1 3" xfId="414"/>
    <cellStyle name="40% - Accent1 3 2" xfId="3854"/>
    <cellStyle name="40% - Accent1 3 2 2" xfId="5479"/>
    <cellStyle name="40% - Accent1 3 2 2 2" xfId="8565"/>
    <cellStyle name="40% - Accent1 3 2 2 2 2" xfId="14758"/>
    <cellStyle name="40% - Accent1 3 2 2 2 2 2" xfId="34436"/>
    <cellStyle name="40% - Accent1 3 2 2 2 3" xfId="20910"/>
    <cellStyle name="40% - Accent1 3 2 2 2 3 2" xfId="40588"/>
    <cellStyle name="40% - Accent1 3 2 2 2 4" xfId="28272"/>
    <cellStyle name="40% - Accent1 3 2 2 3" xfId="11692"/>
    <cellStyle name="40% - Accent1 3 2 2 3 2" xfId="31370"/>
    <cellStyle name="40% - Accent1 3 2 2 4" xfId="17844"/>
    <cellStyle name="40% - Accent1 3 2 2 4 2" xfId="37522"/>
    <cellStyle name="40% - Accent1 3 2 2 5" xfId="25206"/>
    <cellStyle name="40% - Accent1 3 2 3" xfId="7030"/>
    <cellStyle name="40% - Accent1 3 2 3 2" xfId="13224"/>
    <cellStyle name="40% - Accent1 3 2 3 2 2" xfId="32902"/>
    <cellStyle name="40% - Accent1 3 2 3 3" xfId="19376"/>
    <cellStyle name="40% - Accent1 3 2 3 3 2" xfId="39054"/>
    <cellStyle name="40% - Accent1 3 2 3 4" xfId="26738"/>
    <cellStyle name="40% - Accent1 3 2 4" xfId="10158"/>
    <cellStyle name="40% - Accent1 3 2 4 2" xfId="29836"/>
    <cellStyle name="40% - Accent1 3 2 5" xfId="16310"/>
    <cellStyle name="40% - Accent1 3 2 5 2" xfId="35988"/>
    <cellStyle name="40% - Accent1 3 2 6" xfId="23672"/>
    <cellStyle name="40% - Accent1 3 2 7" xfId="22469"/>
    <cellStyle name="40% - Accent1 3 3" xfId="4693"/>
    <cellStyle name="40% - Accent1 3 3 2" xfId="7796"/>
    <cellStyle name="40% - Accent1 3 3 2 2" xfId="13989"/>
    <cellStyle name="40% - Accent1 3 3 2 2 2" xfId="33667"/>
    <cellStyle name="40% - Accent1 3 3 2 3" xfId="20141"/>
    <cellStyle name="40% - Accent1 3 3 2 3 2" xfId="39819"/>
    <cellStyle name="40% - Accent1 3 3 2 4" xfId="27503"/>
    <cellStyle name="40% - Accent1 3 3 3" xfId="10923"/>
    <cellStyle name="40% - Accent1 3 3 3 2" xfId="30601"/>
    <cellStyle name="40% - Accent1 3 3 4" xfId="17075"/>
    <cellStyle name="40% - Accent1 3 3 4 2" xfId="36753"/>
    <cellStyle name="40% - Accent1 3 3 5" xfId="24437"/>
    <cellStyle name="40% - Accent1 3 4" xfId="6261"/>
    <cellStyle name="40% - Accent1 3 4 2" xfId="12455"/>
    <cellStyle name="40% - Accent1 3 4 2 2" xfId="32133"/>
    <cellStyle name="40% - Accent1 3 4 3" xfId="18607"/>
    <cellStyle name="40% - Accent1 3 4 3 2" xfId="38285"/>
    <cellStyle name="40% - Accent1 3 4 4" xfId="25969"/>
    <cellStyle name="40% - Accent1 3 5" xfId="9389"/>
    <cellStyle name="40% - Accent1 3 5 2" xfId="29067"/>
    <cellStyle name="40% - Accent1 3 6" xfId="15541"/>
    <cellStyle name="40% - Accent1 3 6 2" xfId="35219"/>
    <cellStyle name="40% - Accent1 3 7" xfId="22791"/>
    <cellStyle name="40% - Accent1 3 8" xfId="41653"/>
    <cellStyle name="40% - Accent1 3 9" xfId="22047"/>
    <cellStyle name="40% - Accent1 4" xfId="415"/>
    <cellStyle name="40% - Accent1 4 2" xfId="3855"/>
    <cellStyle name="40% - Accent1 4 2 2" xfId="5480"/>
    <cellStyle name="40% - Accent1 4 2 2 2" xfId="8566"/>
    <cellStyle name="40% - Accent1 4 2 2 2 2" xfId="14759"/>
    <cellStyle name="40% - Accent1 4 2 2 2 2 2" xfId="34437"/>
    <cellStyle name="40% - Accent1 4 2 2 2 3" xfId="20911"/>
    <cellStyle name="40% - Accent1 4 2 2 2 3 2" xfId="40589"/>
    <cellStyle name="40% - Accent1 4 2 2 2 4" xfId="28273"/>
    <cellStyle name="40% - Accent1 4 2 2 3" xfId="11693"/>
    <cellStyle name="40% - Accent1 4 2 2 3 2" xfId="31371"/>
    <cellStyle name="40% - Accent1 4 2 2 4" xfId="17845"/>
    <cellStyle name="40% - Accent1 4 2 2 4 2" xfId="37523"/>
    <cellStyle name="40% - Accent1 4 2 2 5" xfId="25207"/>
    <cellStyle name="40% - Accent1 4 2 3" xfId="7031"/>
    <cellStyle name="40% - Accent1 4 2 3 2" xfId="13225"/>
    <cellStyle name="40% - Accent1 4 2 3 2 2" xfId="32903"/>
    <cellStyle name="40% - Accent1 4 2 3 3" xfId="19377"/>
    <cellStyle name="40% - Accent1 4 2 3 3 2" xfId="39055"/>
    <cellStyle name="40% - Accent1 4 2 3 4" xfId="26739"/>
    <cellStyle name="40% - Accent1 4 2 4" xfId="10159"/>
    <cellStyle name="40% - Accent1 4 2 4 2" xfId="29837"/>
    <cellStyle name="40% - Accent1 4 2 5" xfId="16311"/>
    <cellStyle name="40% - Accent1 4 2 5 2" xfId="35989"/>
    <cellStyle name="40% - Accent1 4 2 6" xfId="23673"/>
    <cellStyle name="40% - Accent1 4 2 7" xfId="22485"/>
    <cellStyle name="40% - Accent1 4 3" xfId="4694"/>
    <cellStyle name="40% - Accent1 4 3 2" xfId="7797"/>
    <cellStyle name="40% - Accent1 4 3 2 2" xfId="13990"/>
    <cellStyle name="40% - Accent1 4 3 2 2 2" xfId="33668"/>
    <cellStyle name="40% - Accent1 4 3 2 3" xfId="20142"/>
    <cellStyle name="40% - Accent1 4 3 2 3 2" xfId="39820"/>
    <cellStyle name="40% - Accent1 4 3 2 4" xfId="27504"/>
    <cellStyle name="40% - Accent1 4 3 3" xfId="10924"/>
    <cellStyle name="40% - Accent1 4 3 3 2" xfId="30602"/>
    <cellStyle name="40% - Accent1 4 3 4" xfId="17076"/>
    <cellStyle name="40% - Accent1 4 3 4 2" xfId="36754"/>
    <cellStyle name="40% - Accent1 4 3 5" xfId="24438"/>
    <cellStyle name="40% - Accent1 4 4" xfId="6262"/>
    <cellStyle name="40% - Accent1 4 4 2" xfId="12456"/>
    <cellStyle name="40% - Accent1 4 4 2 2" xfId="32134"/>
    <cellStyle name="40% - Accent1 4 4 3" xfId="18608"/>
    <cellStyle name="40% - Accent1 4 4 3 2" xfId="38286"/>
    <cellStyle name="40% - Accent1 4 4 4" xfId="25970"/>
    <cellStyle name="40% - Accent1 4 5" xfId="9390"/>
    <cellStyle name="40% - Accent1 4 5 2" xfId="29068"/>
    <cellStyle name="40% - Accent1 4 6" xfId="15542"/>
    <cellStyle name="40% - Accent1 4 6 2" xfId="35220"/>
    <cellStyle name="40% - Accent1 4 7" xfId="22792"/>
    <cellStyle name="40% - Accent1 4 8" xfId="41669"/>
    <cellStyle name="40% - Accent1 4 9" xfId="22075"/>
    <cellStyle name="40% - Accent1 5" xfId="416"/>
    <cellStyle name="40% - Accent1 5 10" xfId="22102"/>
    <cellStyle name="40% - Accent1 5 2" xfId="3856"/>
    <cellStyle name="40% - Accent1 5 2 2" xfId="5481"/>
    <cellStyle name="40% - Accent1 5 2 2 2" xfId="8567"/>
    <cellStyle name="40% - Accent1 5 2 2 2 2" xfId="14760"/>
    <cellStyle name="40% - Accent1 5 2 2 2 2 2" xfId="34438"/>
    <cellStyle name="40% - Accent1 5 2 2 2 3" xfId="20912"/>
    <cellStyle name="40% - Accent1 5 2 2 2 3 2" xfId="40590"/>
    <cellStyle name="40% - Accent1 5 2 2 2 4" xfId="28274"/>
    <cellStyle name="40% - Accent1 5 2 2 3" xfId="11694"/>
    <cellStyle name="40% - Accent1 5 2 2 3 2" xfId="31372"/>
    <cellStyle name="40% - Accent1 5 2 2 4" xfId="17846"/>
    <cellStyle name="40% - Accent1 5 2 2 4 2" xfId="37524"/>
    <cellStyle name="40% - Accent1 5 2 2 5" xfId="25208"/>
    <cellStyle name="40% - Accent1 5 2 3" xfId="7032"/>
    <cellStyle name="40% - Accent1 5 2 3 2" xfId="13226"/>
    <cellStyle name="40% - Accent1 5 2 3 2 2" xfId="32904"/>
    <cellStyle name="40% - Accent1 5 2 3 3" xfId="19378"/>
    <cellStyle name="40% - Accent1 5 2 3 3 2" xfId="39056"/>
    <cellStyle name="40% - Accent1 5 2 3 4" xfId="26740"/>
    <cellStyle name="40% - Accent1 5 2 4" xfId="10160"/>
    <cellStyle name="40% - Accent1 5 2 4 2" xfId="29838"/>
    <cellStyle name="40% - Accent1 5 2 5" xfId="16312"/>
    <cellStyle name="40% - Accent1 5 2 5 2" xfId="35990"/>
    <cellStyle name="40% - Accent1 5 2 6" xfId="23674"/>
    <cellStyle name="40% - Accent1 5 2 7" xfId="22501"/>
    <cellStyle name="40% - Accent1 5 3" xfId="4695"/>
    <cellStyle name="40% - Accent1 5 3 2" xfId="7798"/>
    <cellStyle name="40% - Accent1 5 3 2 2" xfId="13991"/>
    <cellStyle name="40% - Accent1 5 3 2 2 2" xfId="33669"/>
    <cellStyle name="40% - Accent1 5 3 2 3" xfId="20143"/>
    <cellStyle name="40% - Accent1 5 3 2 3 2" xfId="39821"/>
    <cellStyle name="40% - Accent1 5 3 2 4" xfId="27505"/>
    <cellStyle name="40% - Accent1 5 3 3" xfId="10925"/>
    <cellStyle name="40% - Accent1 5 3 3 2" xfId="30603"/>
    <cellStyle name="40% - Accent1 5 3 4" xfId="17077"/>
    <cellStyle name="40% - Accent1 5 3 4 2" xfId="36755"/>
    <cellStyle name="40% - Accent1 5 3 5" xfId="24439"/>
    <cellStyle name="40% - Accent1 5 4" xfId="6263"/>
    <cellStyle name="40% - Accent1 5 4 2" xfId="12457"/>
    <cellStyle name="40% - Accent1 5 4 2 2" xfId="32135"/>
    <cellStyle name="40% - Accent1 5 4 3" xfId="18609"/>
    <cellStyle name="40% - Accent1 5 4 3 2" xfId="38287"/>
    <cellStyle name="40% - Accent1 5 4 4" xfId="25971"/>
    <cellStyle name="40% - Accent1 5 5" xfId="9391"/>
    <cellStyle name="40% - Accent1 5 5 2" xfId="29069"/>
    <cellStyle name="40% - Accent1 5 6" xfId="15543"/>
    <cellStyle name="40% - Accent1 5 6 2" xfId="35221"/>
    <cellStyle name="40% - Accent1 5 7" xfId="22793"/>
    <cellStyle name="40% - Accent1 5 8" xfId="41335"/>
    <cellStyle name="40% - Accent1 5 9" xfId="41685"/>
    <cellStyle name="40% - Accent1 6" xfId="417"/>
    <cellStyle name="40% - Accent1 6 2" xfId="22517"/>
    <cellStyle name="40% - Accent1 6 3" xfId="22794"/>
    <cellStyle name="40% - Accent1 6 4" xfId="41353"/>
    <cellStyle name="40% - Accent1 6 5" xfId="41701"/>
    <cellStyle name="40% - Accent1 6 6" xfId="22128"/>
    <cellStyle name="40% - Accent1 7" xfId="22152"/>
    <cellStyle name="40% - Accent1 7 2" xfId="22533"/>
    <cellStyle name="40% - Accent1 7 3" xfId="41445"/>
    <cellStyle name="40% - Accent1 7 4" xfId="41717"/>
    <cellStyle name="40% - Accent1 8" xfId="22174"/>
    <cellStyle name="40% - Accent1 8 2" xfId="22549"/>
    <cellStyle name="40% - Accent1 8 3" xfId="41460"/>
    <cellStyle name="40% - Accent1 8 4" xfId="41733"/>
    <cellStyle name="40% - Accent1 9" xfId="22211"/>
    <cellStyle name="40% - Accent1 9 2" xfId="22565"/>
    <cellStyle name="40% - Accent1 9 3" xfId="41347"/>
    <cellStyle name="40% - Accent1 9 4" xfId="41749"/>
    <cellStyle name="40% - Accent2" xfId="21666" builtinId="35" customBuiltin="1"/>
    <cellStyle name="40% - Accent2 10" xfId="22243"/>
    <cellStyle name="40% - Accent2 10 2" xfId="22583"/>
    <cellStyle name="40% - Accent2 10 3" xfId="41543"/>
    <cellStyle name="40% - Accent2 10 4" xfId="41767"/>
    <cellStyle name="40% - Accent2 11" xfId="22271"/>
    <cellStyle name="40% - Accent2 11 2" xfId="22599"/>
    <cellStyle name="40% - Accent2 11 3" xfId="22714"/>
    <cellStyle name="40% - Accent2 11 4" xfId="41783"/>
    <cellStyle name="40% - Accent2 12" xfId="22296"/>
    <cellStyle name="40% - Accent2 12 2" xfId="22615"/>
    <cellStyle name="40% - Accent2 12 3" xfId="41363"/>
    <cellStyle name="40% - Accent2 12 4" xfId="41799"/>
    <cellStyle name="40% - Accent2 13" xfId="22319"/>
    <cellStyle name="40% - Accent2 13 2" xfId="22631"/>
    <cellStyle name="40% - Accent2 13 3" xfId="41344"/>
    <cellStyle name="40% - Accent2 13 4" xfId="41815"/>
    <cellStyle name="40% - Accent2 14" xfId="22341"/>
    <cellStyle name="40% - Accent2 14 2" xfId="22647"/>
    <cellStyle name="40% - Accent2 14 3" xfId="41491"/>
    <cellStyle name="40% - Accent2 14 4" xfId="41831"/>
    <cellStyle name="40% - Accent2 15" xfId="22357"/>
    <cellStyle name="40% - Accent2 15 2" xfId="22663"/>
    <cellStyle name="40% - Accent2 15 3" xfId="41473"/>
    <cellStyle name="40% - Accent2 15 4" xfId="41847"/>
    <cellStyle name="40% - Accent2 16" xfId="22379"/>
    <cellStyle name="40% - Accent2 17" xfId="41563"/>
    <cellStyle name="40% - Accent2 2" xfId="418"/>
    <cellStyle name="40% - Accent2 2 2" xfId="3857"/>
    <cellStyle name="40% - Accent2 2 2 2" xfId="5482"/>
    <cellStyle name="40% - Accent2 2 2 2 2" xfId="8568"/>
    <cellStyle name="40% - Accent2 2 2 2 2 2" xfId="14761"/>
    <cellStyle name="40% - Accent2 2 2 2 2 2 2" xfId="34439"/>
    <cellStyle name="40% - Accent2 2 2 2 2 3" xfId="20913"/>
    <cellStyle name="40% - Accent2 2 2 2 2 3 2" xfId="40591"/>
    <cellStyle name="40% - Accent2 2 2 2 2 4" xfId="28275"/>
    <cellStyle name="40% - Accent2 2 2 2 3" xfId="11695"/>
    <cellStyle name="40% - Accent2 2 2 2 3 2" xfId="31373"/>
    <cellStyle name="40% - Accent2 2 2 2 4" xfId="17847"/>
    <cellStyle name="40% - Accent2 2 2 2 4 2" xfId="37525"/>
    <cellStyle name="40% - Accent2 2 2 2 5" xfId="25209"/>
    <cellStyle name="40% - Accent2 2 2 3" xfId="7033"/>
    <cellStyle name="40% - Accent2 2 2 3 2" xfId="13227"/>
    <cellStyle name="40% - Accent2 2 2 3 2 2" xfId="32905"/>
    <cellStyle name="40% - Accent2 2 2 3 3" xfId="19379"/>
    <cellStyle name="40% - Accent2 2 2 3 3 2" xfId="39057"/>
    <cellStyle name="40% - Accent2 2 2 3 4" xfId="26741"/>
    <cellStyle name="40% - Accent2 2 2 4" xfId="10161"/>
    <cellStyle name="40% - Accent2 2 2 4 2" xfId="29839"/>
    <cellStyle name="40% - Accent2 2 2 5" xfId="16313"/>
    <cellStyle name="40% - Accent2 2 2 5 2" xfId="35991"/>
    <cellStyle name="40% - Accent2 2 2 6" xfId="23675"/>
    <cellStyle name="40% - Accent2 2 2 7" xfId="22455"/>
    <cellStyle name="40% - Accent2 2 3" xfId="4696"/>
    <cellStyle name="40% - Accent2 2 3 2" xfId="7799"/>
    <cellStyle name="40% - Accent2 2 3 2 2" xfId="13992"/>
    <cellStyle name="40% - Accent2 2 3 2 2 2" xfId="33670"/>
    <cellStyle name="40% - Accent2 2 3 2 3" xfId="20144"/>
    <cellStyle name="40% - Accent2 2 3 2 3 2" xfId="39822"/>
    <cellStyle name="40% - Accent2 2 3 2 4" xfId="27506"/>
    <cellStyle name="40% - Accent2 2 3 3" xfId="10926"/>
    <cellStyle name="40% - Accent2 2 3 3 2" xfId="30604"/>
    <cellStyle name="40% - Accent2 2 3 4" xfId="17078"/>
    <cellStyle name="40% - Accent2 2 3 4 2" xfId="36756"/>
    <cellStyle name="40% - Accent2 2 3 5" xfId="24440"/>
    <cellStyle name="40% - Accent2 2 4" xfId="6264"/>
    <cellStyle name="40% - Accent2 2 4 2" xfId="12458"/>
    <cellStyle name="40% - Accent2 2 4 2 2" xfId="32136"/>
    <cellStyle name="40% - Accent2 2 4 3" xfId="18610"/>
    <cellStyle name="40% - Accent2 2 4 3 2" xfId="38288"/>
    <cellStyle name="40% - Accent2 2 4 4" xfId="25972"/>
    <cellStyle name="40% - Accent2 2 5" xfId="9392"/>
    <cellStyle name="40% - Accent2 2 5 2" xfId="29070"/>
    <cellStyle name="40% - Accent2 2 6" xfId="15544"/>
    <cellStyle name="40% - Accent2 2 6 2" xfId="35222"/>
    <cellStyle name="40% - Accent2 2 7" xfId="22795"/>
    <cellStyle name="40% - Accent2 2 8" xfId="41639"/>
    <cellStyle name="40% - Accent2 2 9" xfId="22020"/>
    <cellStyle name="40% - Accent2 3" xfId="419"/>
    <cellStyle name="40% - Accent2 3 2" xfId="3858"/>
    <cellStyle name="40% - Accent2 3 2 2" xfId="5483"/>
    <cellStyle name="40% - Accent2 3 2 2 2" xfId="8569"/>
    <cellStyle name="40% - Accent2 3 2 2 2 2" xfId="14762"/>
    <cellStyle name="40% - Accent2 3 2 2 2 2 2" xfId="34440"/>
    <cellStyle name="40% - Accent2 3 2 2 2 3" xfId="20914"/>
    <cellStyle name="40% - Accent2 3 2 2 2 3 2" xfId="40592"/>
    <cellStyle name="40% - Accent2 3 2 2 2 4" xfId="28276"/>
    <cellStyle name="40% - Accent2 3 2 2 3" xfId="11696"/>
    <cellStyle name="40% - Accent2 3 2 2 3 2" xfId="31374"/>
    <cellStyle name="40% - Accent2 3 2 2 4" xfId="17848"/>
    <cellStyle name="40% - Accent2 3 2 2 4 2" xfId="37526"/>
    <cellStyle name="40% - Accent2 3 2 2 5" xfId="25210"/>
    <cellStyle name="40% - Accent2 3 2 3" xfId="7034"/>
    <cellStyle name="40% - Accent2 3 2 3 2" xfId="13228"/>
    <cellStyle name="40% - Accent2 3 2 3 2 2" xfId="32906"/>
    <cellStyle name="40% - Accent2 3 2 3 3" xfId="19380"/>
    <cellStyle name="40% - Accent2 3 2 3 3 2" xfId="39058"/>
    <cellStyle name="40% - Accent2 3 2 3 4" xfId="26742"/>
    <cellStyle name="40% - Accent2 3 2 4" xfId="10162"/>
    <cellStyle name="40% - Accent2 3 2 4 2" xfId="29840"/>
    <cellStyle name="40% - Accent2 3 2 5" xfId="16314"/>
    <cellStyle name="40% - Accent2 3 2 5 2" xfId="35992"/>
    <cellStyle name="40% - Accent2 3 2 6" xfId="23676"/>
    <cellStyle name="40% - Accent2 3 2 7" xfId="22471"/>
    <cellStyle name="40% - Accent2 3 3" xfId="4697"/>
    <cellStyle name="40% - Accent2 3 3 2" xfId="7800"/>
    <cellStyle name="40% - Accent2 3 3 2 2" xfId="13993"/>
    <cellStyle name="40% - Accent2 3 3 2 2 2" xfId="33671"/>
    <cellStyle name="40% - Accent2 3 3 2 3" xfId="20145"/>
    <cellStyle name="40% - Accent2 3 3 2 3 2" xfId="39823"/>
    <cellStyle name="40% - Accent2 3 3 2 4" xfId="27507"/>
    <cellStyle name="40% - Accent2 3 3 3" xfId="10927"/>
    <cellStyle name="40% - Accent2 3 3 3 2" xfId="30605"/>
    <cellStyle name="40% - Accent2 3 3 4" xfId="17079"/>
    <cellStyle name="40% - Accent2 3 3 4 2" xfId="36757"/>
    <cellStyle name="40% - Accent2 3 3 5" xfId="24441"/>
    <cellStyle name="40% - Accent2 3 4" xfId="6265"/>
    <cellStyle name="40% - Accent2 3 4 2" xfId="12459"/>
    <cellStyle name="40% - Accent2 3 4 2 2" xfId="32137"/>
    <cellStyle name="40% - Accent2 3 4 3" xfId="18611"/>
    <cellStyle name="40% - Accent2 3 4 3 2" xfId="38289"/>
    <cellStyle name="40% - Accent2 3 4 4" xfId="25973"/>
    <cellStyle name="40% - Accent2 3 5" xfId="9393"/>
    <cellStyle name="40% - Accent2 3 5 2" xfId="29071"/>
    <cellStyle name="40% - Accent2 3 6" xfId="15545"/>
    <cellStyle name="40% - Accent2 3 6 2" xfId="35223"/>
    <cellStyle name="40% - Accent2 3 7" xfId="22796"/>
    <cellStyle name="40% - Accent2 3 8" xfId="41655"/>
    <cellStyle name="40% - Accent2 3 9" xfId="22050"/>
    <cellStyle name="40% - Accent2 4" xfId="420"/>
    <cellStyle name="40% - Accent2 4 2" xfId="3859"/>
    <cellStyle name="40% - Accent2 4 2 2" xfId="5484"/>
    <cellStyle name="40% - Accent2 4 2 2 2" xfId="8570"/>
    <cellStyle name="40% - Accent2 4 2 2 2 2" xfId="14763"/>
    <cellStyle name="40% - Accent2 4 2 2 2 2 2" xfId="34441"/>
    <cellStyle name="40% - Accent2 4 2 2 2 3" xfId="20915"/>
    <cellStyle name="40% - Accent2 4 2 2 2 3 2" xfId="40593"/>
    <cellStyle name="40% - Accent2 4 2 2 2 4" xfId="28277"/>
    <cellStyle name="40% - Accent2 4 2 2 3" xfId="11697"/>
    <cellStyle name="40% - Accent2 4 2 2 3 2" xfId="31375"/>
    <cellStyle name="40% - Accent2 4 2 2 4" xfId="17849"/>
    <cellStyle name="40% - Accent2 4 2 2 4 2" xfId="37527"/>
    <cellStyle name="40% - Accent2 4 2 2 5" xfId="25211"/>
    <cellStyle name="40% - Accent2 4 2 3" xfId="7035"/>
    <cellStyle name="40% - Accent2 4 2 3 2" xfId="13229"/>
    <cellStyle name="40% - Accent2 4 2 3 2 2" xfId="32907"/>
    <cellStyle name="40% - Accent2 4 2 3 3" xfId="19381"/>
    <cellStyle name="40% - Accent2 4 2 3 3 2" xfId="39059"/>
    <cellStyle name="40% - Accent2 4 2 3 4" xfId="26743"/>
    <cellStyle name="40% - Accent2 4 2 4" xfId="10163"/>
    <cellStyle name="40% - Accent2 4 2 4 2" xfId="29841"/>
    <cellStyle name="40% - Accent2 4 2 5" xfId="16315"/>
    <cellStyle name="40% - Accent2 4 2 5 2" xfId="35993"/>
    <cellStyle name="40% - Accent2 4 2 6" xfId="23677"/>
    <cellStyle name="40% - Accent2 4 2 7" xfId="22487"/>
    <cellStyle name="40% - Accent2 4 3" xfId="4698"/>
    <cellStyle name="40% - Accent2 4 3 2" xfId="7801"/>
    <cellStyle name="40% - Accent2 4 3 2 2" xfId="13994"/>
    <cellStyle name="40% - Accent2 4 3 2 2 2" xfId="33672"/>
    <cellStyle name="40% - Accent2 4 3 2 3" xfId="20146"/>
    <cellStyle name="40% - Accent2 4 3 2 3 2" xfId="39824"/>
    <cellStyle name="40% - Accent2 4 3 2 4" xfId="27508"/>
    <cellStyle name="40% - Accent2 4 3 3" xfId="10928"/>
    <cellStyle name="40% - Accent2 4 3 3 2" xfId="30606"/>
    <cellStyle name="40% - Accent2 4 3 4" xfId="17080"/>
    <cellStyle name="40% - Accent2 4 3 4 2" xfId="36758"/>
    <cellStyle name="40% - Accent2 4 3 5" xfId="24442"/>
    <cellStyle name="40% - Accent2 4 4" xfId="6266"/>
    <cellStyle name="40% - Accent2 4 4 2" xfId="12460"/>
    <cellStyle name="40% - Accent2 4 4 2 2" xfId="32138"/>
    <cellStyle name="40% - Accent2 4 4 3" xfId="18612"/>
    <cellStyle name="40% - Accent2 4 4 3 2" xfId="38290"/>
    <cellStyle name="40% - Accent2 4 4 4" xfId="25974"/>
    <cellStyle name="40% - Accent2 4 5" xfId="9394"/>
    <cellStyle name="40% - Accent2 4 5 2" xfId="29072"/>
    <cellStyle name="40% - Accent2 4 6" xfId="15546"/>
    <cellStyle name="40% - Accent2 4 6 2" xfId="35224"/>
    <cellStyle name="40% - Accent2 4 7" xfId="22797"/>
    <cellStyle name="40% - Accent2 4 8" xfId="41671"/>
    <cellStyle name="40% - Accent2 4 9" xfId="22078"/>
    <cellStyle name="40% - Accent2 5" xfId="421"/>
    <cellStyle name="40% - Accent2 5 2" xfId="22503"/>
    <cellStyle name="40% - Accent2 5 3" xfId="22798"/>
    <cellStyle name="40% - Accent2 5 4" xfId="41423"/>
    <cellStyle name="40% - Accent2 5 5" xfId="41687"/>
    <cellStyle name="40% - Accent2 5 6" xfId="22105"/>
    <cellStyle name="40% - Accent2 6" xfId="22131"/>
    <cellStyle name="40% - Accent2 6 2" xfId="22519"/>
    <cellStyle name="40% - Accent2 6 3" xfId="41459"/>
    <cellStyle name="40% - Accent2 6 4" xfId="41703"/>
    <cellStyle name="40% - Accent2 7" xfId="22155"/>
    <cellStyle name="40% - Accent2 7 2" xfId="22535"/>
    <cellStyle name="40% - Accent2 7 3" xfId="41463"/>
    <cellStyle name="40% - Accent2 7 4" xfId="41719"/>
    <cellStyle name="40% - Accent2 8" xfId="22177"/>
    <cellStyle name="40% - Accent2 8 2" xfId="22551"/>
    <cellStyle name="40% - Accent2 8 3" xfId="41525"/>
    <cellStyle name="40% - Accent2 8 4" xfId="41735"/>
    <cellStyle name="40% - Accent2 9" xfId="22215"/>
    <cellStyle name="40% - Accent2 9 2" xfId="22567"/>
    <cellStyle name="40% - Accent2 9 3" xfId="41360"/>
    <cellStyle name="40% - Accent2 9 4" xfId="41751"/>
    <cellStyle name="40% - Accent3" xfId="21670" builtinId="39" customBuiltin="1"/>
    <cellStyle name="40% - Accent3 10" xfId="22247"/>
    <cellStyle name="40% - Accent3 10 2" xfId="22585"/>
    <cellStyle name="40% - Accent3 10 3" xfId="41367"/>
    <cellStyle name="40% - Accent3 10 4" xfId="41769"/>
    <cellStyle name="40% - Accent3 11" xfId="22274"/>
    <cellStyle name="40% - Accent3 11 2" xfId="22601"/>
    <cellStyle name="40% - Accent3 11 3" xfId="41465"/>
    <cellStyle name="40% - Accent3 11 4" xfId="41785"/>
    <cellStyle name="40% - Accent3 12" xfId="22299"/>
    <cellStyle name="40% - Accent3 12 2" xfId="22617"/>
    <cellStyle name="40% - Accent3 12 3" xfId="41453"/>
    <cellStyle name="40% - Accent3 12 4" xfId="41801"/>
    <cellStyle name="40% - Accent3 13" xfId="22322"/>
    <cellStyle name="40% - Accent3 13 2" xfId="22633"/>
    <cellStyle name="40% - Accent3 13 3" xfId="41528"/>
    <cellStyle name="40% - Accent3 13 4" xfId="41817"/>
    <cellStyle name="40% - Accent3 14" xfId="22343"/>
    <cellStyle name="40% - Accent3 14 2" xfId="22649"/>
    <cellStyle name="40% - Accent3 14 3" xfId="41399"/>
    <cellStyle name="40% - Accent3 14 4" xfId="41833"/>
    <cellStyle name="40% - Accent3 15" xfId="22359"/>
    <cellStyle name="40% - Accent3 15 2" xfId="22665"/>
    <cellStyle name="40% - Accent3 15 3" xfId="41409"/>
    <cellStyle name="40% - Accent3 15 4" xfId="41849"/>
    <cellStyle name="40% - Accent3 16" xfId="22381"/>
    <cellStyle name="40% - Accent3 17" xfId="41565"/>
    <cellStyle name="40% - Accent3 2" xfId="422"/>
    <cellStyle name="40% - Accent3 2 2" xfId="3860"/>
    <cellStyle name="40% - Accent3 2 2 2" xfId="5485"/>
    <cellStyle name="40% - Accent3 2 2 2 2" xfId="8571"/>
    <cellStyle name="40% - Accent3 2 2 2 2 2" xfId="14764"/>
    <cellStyle name="40% - Accent3 2 2 2 2 2 2" xfId="34442"/>
    <cellStyle name="40% - Accent3 2 2 2 2 3" xfId="20916"/>
    <cellStyle name="40% - Accent3 2 2 2 2 3 2" xfId="40594"/>
    <cellStyle name="40% - Accent3 2 2 2 2 4" xfId="28278"/>
    <cellStyle name="40% - Accent3 2 2 2 3" xfId="11698"/>
    <cellStyle name="40% - Accent3 2 2 2 3 2" xfId="31376"/>
    <cellStyle name="40% - Accent3 2 2 2 4" xfId="17850"/>
    <cellStyle name="40% - Accent3 2 2 2 4 2" xfId="37528"/>
    <cellStyle name="40% - Accent3 2 2 2 5" xfId="25212"/>
    <cellStyle name="40% - Accent3 2 2 3" xfId="7036"/>
    <cellStyle name="40% - Accent3 2 2 3 2" xfId="13230"/>
    <cellStyle name="40% - Accent3 2 2 3 2 2" xfId="32908"/>
    <cellStyle name="40% - Accent3 2 2 3 3" xfId="19382"/>
    <cellStyle name="40% - Accent3 2 2 3 3 2" xfId="39060"/>
    <cellStyle name="40% - Accent3 2 2 3 4" xfId="26744"/>
    <cellStyle name="40% - Accent3 2 2 4" xfId="10164"/>
    <cellStyle name="40% - Accent3 2 2 4 2" xfId="29842"/>
    <cellStyle name="40% - Accent3 2 2 5" xfId="16316"/>
    <cellStyle name="40% - Accent3 2 2 5 2" xfId="35994"/>
    <cellStyle name="40% - Accent3 2 2 6" xfId="23678"/>
    <cellStyle name="40% - Accent3 2 2 7" xfId="22457"/>
    <cellStyle name="40% - Accent3 2 3" xfId="4699"/>
    <cellStyle name="40% - Accent3 2 3 2" xfId="7802"/>
    <cellStyle name="40% - Accent3 2 3 2 2" xfId="13995"/>
    <cellStyle name="40% - Accent3 2 3 2 2 2" xfId="33673"/>
    <cellStyle name="40% - Accent3 2 3 2 3" xfId="20147"/>
    <cellStyle name="40% - Accent3 2 3 2 3 2" xfId="39825"/>
    <cellStyle name="40% - Accent3 2 3 2 4" xfId="27509"/>
    <cellStyle name="40% - Accent3 2 3 3" xfId="10929"/>
    <cellStyle name="40% - Accent3 2 3 3 2" xfId="30607"/>
    <cellStyle name="40% - Accent3 2 3 4" xfId="17081"/>
    <cellStyle name="40% - Accent3 2 3 4 2" xfId="36759"/>
    <cellStyle name="40% - Accent3 2 3 5" xfId="24443"/>
    <cellStyle name="40% - Accent3 2 4" xfId="6267"/>
    <cellStyle name="40% - Accent3 2 4 2" xfId="12461"/>
    <cellStyle name="40% - Accent3 2 4 2 2" xfId="32139"/>
    <cellStyle name="40% - Accent3 2 4 3" xfId="18613"/>
    <cellStyle name="40% - Accent3 2 4 3 2" xfId="38291"/>
    <cellStyle name="40% - Accent3 2 4 4" xfId="25975"/>
    <cellStyle name="40% - Accent3 2 5" xfId="9395"/>
    <cellStyle name="40% - Accent3 2 5 2" xfId="29073"/>
    <cellStyle name="40% - Accent3 2 6" xfId="15547"/>
    <cellStyle name="40% - Accent3 2 6 2" xfId="35225"/>
    <cellStyle name="40% - Accent3 2 7" xfId="22799"/>
    <cellStyle name="40% - Accent3 2 8" xfId="41641"/>
    <cellStyle name="40% - Accent3 2 9" xfId="22024"/>
    <cellStyle name="40% - Accent3 3" xfId="423"/>
    <cellStyle name="40% - Accent3 3 2" xfId="3861"/>
    <cellStyle name="40% - Accent3 3 2 2" xfId="5486"/>
    <cellStyle name="40% - Accent3 3 2 2 2" xfId="8572"/>
    <cellStyle name="40% - Accent3 3 2 2 2 2" xfId="14765"/>
    <cellStyle name="40% - Accent3 3 2 2 2 2 2" xfId="34443"/>
    <cellStyle name="40% - Accent3 3 2 2 2 3" xfId="20917"/>
    <cellStyle name="40% - Accent3 3 2 2 2 3 2" xfId="40595"/>
    <cellStyle name="40% - Accent3 3 2 2 2 4" xfId="28279"/>
    <cellStyle name="40% - Accent3 3 2 2 3" xfId="11699"/>
    <cellStyle name="40% - Accent3 3 2 2 3 2" xfId="31377"/>
    <cellStyle name="40% - Accent3 3 2 2 4" xfId="17851"/>
    <cellStyle name="40% - Accent3 3 2 2 4 2" xfId="37529"/>
    <cellStyle name="40% - Accent3 3 2 2 5" xfId="25213"/>
    <cellStyle name="40% - Accent3 3 2 3" xfId="7037"/>
    <cellStyle name="40% - Accent3 3 2 3 2" xfId="13231"/>
    <cellStyle name="40% - Accent3 3 2 3 2 2" xfId="32909"/>
    <cellStyle name="40% - Accent3 3 2 3 3" xfId="19383"/>
    <cellStyle name="40% - Accent3 3 2 3 3 2" xfId="39061"/>
    <cellStyle name="40% - Accent3 3 2 3 4" xfId="26745"/>
    <cellStyle name="40% - Accent3 3 2 4" xfId="10165"/>
    <cellStyle name="40% - Accent3 3 2 4 2" xfId="29843"/>
    <cellStyle name="40% - Accent3 3 2 5" xfId="16317"/>
    <cellStyle name="40% - Accent3 3 2 5 2" xfId="35995"/>
    <cellStyle name="40% - Accent3 3 2 6" xfId="23679"/>
    <cellStyle name="40% - Accent3 3 2 7" xfId="22473"/>
    <cellStyle name="40% - Accent3 3 3" xfId="4700"/>
    <cellStyle name="40% - Accent3 3 3 2" xfId="7803"/>
    <cellStyle name="40% - Accent3 3 3 2 2" xfId="13996"/>
    <cellStyle name="40% - Accent3 3 3 2 2 2" xfId="33674"/>
    <cellStyle name="40% - Accent3 3 3 2 3" xfId="20148"/>
    <cellStyle name="40% - Accent3 3 3 2 3 2" xfId="39826"/>
    <cellStyle name="40% - Accent3 3 3 2 4" xfId="27510"/>
    <cellStyle name="40% - Accent3 3 3 3" xfId="10930"/>
    <cellStyle name="40% - Accent3 3 3 3 2" xfId="30608"/>
    <cellStyle name="40% - Accent3 3 3 4" xfId="17082"/>
    <cellStyle name="40% - Accent3 3 3 4 2" xfId="36760"/>
    <cellStyle name="40% - Accent3 3 3 5" xfId="24444"/>
    <cellStyle name="40% - Accent3 3 4" xfId="6268"/>
    <cellStyle name="40% - Accent3 3 4 2" xfId="12462"/>
    <cellStyle name="40% - Accent3 3 4 2 2" xfId="32140"/>
    <cellStyle name="40% - Accent3 3 4 3" xfId="18614"/>
    <cellStyle name="40% - Accent3 3 4 3 2" xfId="38292"/>
    <cellStyle name="40% - Accent3 3 4 4" xfId="25976"/>
    <cellStyle name="40% - Accent3 3 5" xfId="9396"/>
    <cellStyle name="40% - Accent3 3 5 2" xfId="29074"/>
    <cellStyle name="40% - Accent3 3 6" xfId="15548"/>
    <cellStyle name="40% - Accent3 3 6 2" xfId="35226"/>
    <cellStyle name="40% - Accent3 3 7" xfId="22800"/>
    <cellStyle name="40% - Accent3 3 8" xfId="41657"/>
    <cellStyle name="40% - Accent3 3 9" xfId="22054"/>
    <cellStyle name="40% - Accent3 4" xfId="424"/>
    <cellStyle name="40% - Accent3 4 2" xfId="3862"/>
    <cellStyle name="40% - Accent3 4 2 2" xfId="5487"/>
    <cellStyle name="40% - Accent3 4 2 2 2" xfId="8573"/>
    <cellStyle name="40% - Accent3 4 2 2 2 2" xfId="14766"/>
    <cellStyle name="40% - Accent3 4 2 2 2 2 2" xfId="34444"/>
    <cellStyle name="40% - Accent3 4 2 2 2 3" xfId="20918"/>
    <cellStyle name="40% - Accent3 4 2 2 2 3 2" xfId="40596"/>
    <cellStyle name="40% - Accent3 4 2 2 2 4" xfId="28280"/>
    <cellStyle name="40% - Accent3 4 2 2 3" xfId="11700"/>
    <cellStyle name="40% - Accent3 4 2 2 3 2" xfId="31378"/>
    <cellStyle name="40% - Accent3 4 2 2 4" xfId="17852"/>
    <cellStyle name="40% - Accent3 4 2 2 4 2" xfId="37530"/>
    <cellStyle name="40% - Accent3 4 2 2 5" xfId="25214"/>
    <cellStyle name="40% - Accent3 4 2 3" xfId="7038"/>
    <cellStyle name="40% - Accent3 4 2 3 2" xfId="13232"/>
    <cellStyle name="40% - Accent3 4 2 3 2 2" xfId="32910"/>
    <cellStyle name="40% - Accent3 4 2 3 3" xfId="19384"/>
    <cellStyle name="40% - Accent3 4 2 3 3 2" xfId="39062"/>
    <cellStyle name="40% - Accent3 4 2 3 4" xfId="26746"/>
    <cellStyle name="40% - Accent3 4 2 4" xfId="10166"/>
    <cellStyle name="40% - Accent3 4 2 4 2" xfId="29844"/>
    <cellStyle name="40% - Accent3 4 2 5" xfId="16318"/>
    <cellStyle name="40% - Accent3 4 2 5 2" xfId="35996"/>
    <cellStyle name="40% - Accent3 4 2 6" xfId="23680"/>
    <cellStyle name="40% - Accent3 4 2 7" xfId="22489"/>
    <cellStyle name="40% - Accent3 4 3" xfId="4701"/>
    <cellStyle name="40% - Accent3 4 3 2" xfId="7804"/>
    <cellStyle name="40% - Accent3 4 3 2 2" xfId="13997"/>
    <cellStyle name="40% - Accent3 4 3 2 2 2" xfId="33675"/>
    <cellStyle name="40% - Accent3 4 3 2 3" xfId="20149"/>
    <cellStyle name="40% - Accent3 4 3 2 3 2" xfId="39827"/>
    <cellStyle name="40% - Accent3 4 3 2 4" xfId="27511"/>
    <cellStyle name="40% - Accent3 4 3 3" xfId="10931"/>
    <cellStyle name="40% - Accent3 4 3 3 2" xfId="30609"/>
    <cellStyle name="40% - Accent3 4 3 4" xfId="17083"/>
    <cellStyle name="40% - Accent3 4 3 4 2" xfId="36761"/>
    <cellStyle name="40% - Accent3 4 3 5" xfId="24445"/>
    <cellStyle name="40% - Accent3 4 4" xfId="6269"/>
    <cellStyle name="40% - Accent3 4 4 2" xfId="12463"/>
    <cellStyle name="40% - Accent3 4 4 2 2" xfId="32141"/>
    <cellStyle name="40% - Accent3 4 4 3" xfId="18615"/>
    <cellStyle name="40% - Accent3 4 4 3 2" xfId="38293"/>
    <cellStyle name="40% - Accent3 4 4 4" xfId="25977"/>
    <cellStyle name="40% - Accent3 4 5" xfId="9397"/>
    <cellStyle name="40% - Accent3 4 5 2" xfId="29075"/>
    <cellStyle name="40% - Accent3 4 6" xfId="15549"/>
    <cellStyle name="40% - Accent3 4 6 2" xfId="35227"/>
    <cellStyle name="40% - Accent3 4 7" xfId="22801"/>
    <cellStyle name="40% - Accent3 4 8" xfId="41673"/>
    <cellStyle name="40% - Accent3 4 9" xfId="22081"/>
    <cellStyle name="40% - Accent3 5" xfId="425"/>
    <cellStyle name="40% - Accent3 5 10" xfId="22109"/>
    <cellStyle name="40% - Accent3 5 2" xfId="3863"/>
    <cellStyle name="40% - Accent3 5 2 2" xfId="5488"/>
    <cellStyle name="40% - Accent3 5 2 2 2" xfId="8574"/>
    <cellStyle name="40% - Accent3 5 2 2 2 2" xfId="14767"/>
    <cellStyle name="40% - Accent3 5 2 2 2 2 2" xfId="34445"/>
    <cellStyle name="40% - Accent3 5 2 2 2 3" xfId="20919"/>
    <cellStyle name="40% - Accent3 5 2 2 2 3 2" xfId="40597"/>
    <cellStyle name="40% - Accent3 5 2 2 2 4" xfId="28281"/>
    <cellStyle name="40% - Accent3 5 2 2 3" xfId="11701"/>
    <cellStyle name="40% - Accent3 5 2 2 3 2" xfId="31379"/>
    <cellStyle name="40% - Accent3 5 2 2 4" xfId="17853"/>
    <cellStyle name="40% - Accent3 5 2 2 4 2" xfId="37531"/>
    <cellStyle name="40% - Accent3 5 2 2 5" xfId="25215"/>
    <cellStyle name="40% - Accent3 5 2 3" xfId="7039"/>
    <cellStyle name="40% - Accent3 5 2 3 2" xfId="13233"/>
    <cellStyle name="40% - Accent3 5 2 3 2 2" xfId="32911"/>
    <cellStyle name="40% - Accent3 5 2 3 3" xfId="19385"/>
    <cellStyle name="40% - Accent3 5 2 3 3 2" xfId="39063"/>
    <cellStyle name="40% - Accent3 5 2 3 4" xfId="26747"/>
    <cellStyle name="40% - Accent3 5 2 4" xfId="10167"/>
    <cellStyle name="40% - Accent3 5 2 4 2" xfId="29845"/>
    <cellStyle name="40% - Accent3 5 2 5" xfId="16319"/>
    <cellStyle name="40% - Accent3 5 2 5 2" xfId="35997"/>
    <cellStyle name="40% - Accent3 5 2 6" xfId="23681"/>
    <cellStyle name="40% - Accent3 5 2 7" xfId="22505"/>
    <cellStyle name="40% - Accent3 5 3" xfId="4702"/>
    <cellStyle name="40% - Accent3 5 3 2" xfId="7805"/>
    <cellStyle name="40% - Accent3 5 3 2 2" xfId="13998"/>
    <cellStyle name="40% - Accent3 5 3 2 2 2" xfId="33676"/>
    <cellStyle name="40% - Accent3 5 3 2 3" xfId="20150"/>
    <cellStyle name="40% - Accent3 5 3 2 3 2" xfId="39828"/>
    <cellStyle name="40% - Accent3 5 3 2 4" xfId="27512"/>
    <cellStyle name="40% - Accent3 5 3 3" xfId="10932"/>
    <cellStyle name="40% - Accent3 5 3 3 2" xfId="30610"/>
    <cellStyle name="40% - Accent3 5 3 4" xfId="17084"/>
    <cellStyle name="40% - Accent3 5 3 4 2" xfId="36762"/>
    <cellStyle name="40% - Accent3 5 3 5" xfId="24446"/>
    <cellStyle name="40% - Accent3 5 4" xfId="6270"/>
    <cellStyle name="40% - Accent3 5 4 2" xfId="12464"/>
    <cellStyle name="40% - Accent3 5 4 2 2" xfId="32142"/>
    <cellStyle name="40% - Accent3 5 4 3" xfId="18616"/>
    <cellStyle name="40% - Accent3 5 4 3 2" xfId="38294"/>
    <cellStyle name="40% - Accent3 5 4 4" xfId="25978"/>
    <cellStyle name="40% - Accent3 5 5" xfId="9398"/>
    <cellStyle name="40% - Accent3 5 5 2" xfId="29076"/>
    <cellStyle name="40% - Accent3 5 6" xfId="15550"/>
    <cellStyle name="40% - Accent3 5 6 2" xfId="35228"/>
    <cellStyle name="40% - Accent3 5 7" xfId="22802"/>
    <cellStyle name="40% - Accent3 5 8" xfId="41371"/>
    <cellStyle name="40% - Accent3 5 9" xfId="41689"/>
    <cellStyle name="40% - Accent3 6" xfId="426"/>
    <cellStyle name="40% - Accent3 6 2" xfId="22521"/>
    <cellStyle name="40% - Accent3 6 3" xfId="22803"/>
    <cellStyle name="40% - Accent3 6 4" xfId="41546"/>
    <cellStyle name="40% - Accent3 6 5" xfId="41705"/>
    <cellStyle name="40% - Accent3 6 6" xfId="22134"/>
    <cellStyle name="40% - Accent3 7" xfId="22158"/>
    <cellStyle name="40% - Accent3 7 2" xfId="22537"/>
    <cellStyle name="40% - Accent3 7 3" xfId="41340"/>
    <cellStyle name="40% - Accent3 7 4" xfId="41721"/>
    <cellStyle name="40% - Accent3 8" xfId="22180"/>
    <cellStyle name="40% - Accent3 8 2" xfId="22553"/>
    <cellStyle name="40% - Accent3 8 3" xfId="41462"/>
    <cellStyle name="40% - Accent3 8 4" xfId="41737"/>
    <cellStyle name="40% - Accent3 9" xfId="22219"/>
    <cellStyle name="40% - Accent3 9 2" xfId="22569"/>
    <cellStyle name="40% - Accent3 9 3" xfId="41458"/>
    <cellStyle name="40% - Accent3 9 4" xfId="41753"/>
    <cellStyle name="40% - Accent4" xfId="21674" builtinId="43" customBuiltin="1"/>
    <cellStyle name="40% - Accent4 10" xfId="22251"/>
    <cellStyle name="40% - Accent4 10 2" xfId="22587"/>
    <cellStyle name="40% - Accent4 10 3" xfId="41390"/>
    <cellStyle name="40% - Accent4 10 4" xfId="41771"/>
    <cellStyle name="40% - Accent4 11" xfId="22278"/>
    <cellStyle name="40% - Accent4 11 2" xfId="22603"/>
    <cellStyle name="40% - Accent4 11 3" xfId="41343"/>
    <cellStyle name="40% - Accent4 11 4" xfId="41787"/>
    <cellStyle name="40% - Accent4 12" xfId="22303"/>
    <cellStyle name="40% - Accent4 12 2" xfId="22619"/>
    <cellStyle name="40% - Accent4 12 3" xfId="41402"/>
    <cellStyle name="40% - Accent4 12 4" xfId="41803"/>
    <cellStyle name="40% - Accent4 13" xfId="22326"/>
    <cellStyle name="40% - Accent4 13 2" xfId="22635"/>
    <cellStyle name="40% - Accent4 13 3" xfId="41424"/>
    <cellStyle name="40% - Accent4 13 4" xfId="41819"/>
    <cellStyle name="40% - Accent4 14" xfId="22345"/>
    <cellStyle name="40% - Accent4 14 2" xfId="22651"/>
    <cellStyle name="40% - Accent4 14 3" xfId="41512"/>
    <cellStyle name="40% - Accent4 14 4" xfId="41835"/>
    <cellStyle name="40% - Accent4 15" xfId="22361"/>
    <cellStyle name="40% - Accent4 15 2" xfId="22667"/>
    <cellStyle name="40% - Accent4 15 3" xfId="41384"/>
    <cellStyle name="40% - Accent4 15 4" xfId="41851"/>
    <cellStyle name="40% - Accent4 16" xfId="22383"/>
    <cellStyle name="40% - Accent4 17" xfId="41567"/>
    <cellStyle name="40% - Accent4 2" xfId="427"/>
    <cellStyle name="40% - Accent4 2 2" xfId="3864"/>
    <cellStyle name="40% - Accent4 2 2 2" xfId="5489"/>
    <cellStyle name="40% - Accent4 2 2 2 2" xfId="8575"/>
    <cellStyle name="40% - Accent4 2 2 2 2 2" xfId="14768"/>
    <cellStyle name="40% - Accent4 2 2 2 2 2 2" xfId="34446"/>
    <cellStyle name="40% - Accent4 2 2 2 2 3" xfId="20920"/>
    <cellStyle name="40% - Accent4 2 2 2 2 3 2" xfId="40598"/>
    <cellStyle name="40% - Accent4 2 2 2 2 4" xfId="28282"/>
    <cellStyle name="40% - Accent4 2 2 2 3" xfId="11702"/>
    <cellStyle name="40% - Accent4 2 2 2 3 2" xfId="31380"/>
    <cellStyle name="40% - Accent4 2 2 2 4" xfId="17854"/>
    <cellStyle name="40% - Accent4 2 2 2 4 2" xfId="37532"/>
    <cellStyle name="40% - Accent4 2 2 2 5" xfId="25216"/>
    <cellStyle name="40% - Accent4 2 2 3" xfId="7040"/>
    <cellStyle name="40% - Accent4 2 2 3 2" xfId="13234"/>
    <cellStyle name="40% - Accent4 2 2 3 2 2" xfId="32912"/>
    <cellStyle name="40% - Accent4 2 2 3 3" xfId="19386"/>
    <cellStyle name="40% - Accent4 2 2 3 3 2" xfId="39064"/>
    <cellStyle name="40% - Accent4 2 2 3 4" xfId="26748"/>
    <cellStyle name="40% - Accent4 2 2 4" xfId="10168"/>
    <cellStyle name="40% - Accent4 2 2 4 2" xfId="29846"/>
    <cellStyle name="40% - Accent4 2 2 5" xfId="16320"/>
    <cellStyle name="40% - Accent4 2 2 5 2" xfId="35998"/>
    <cellStyle name="40% - Accent4 2 2 6" xfId="23682"/>
    <cellStyle name="40% - Accent4 2 2 7" xfId="22459"/>
    <cellStyle name="40% - Accent4 2 3" xfId="4703"/>
    <cellStyle name="40% - Accent4 2 3 2" xfId="7806"/>
    <cellStyle name="40% - Accent4 2 3 2 2" xfId="13999"/>
    <cellStyle name="40% - Accent4 2 3 2 2 2" xfId="33677"/>
    <cellStyle name="40% - Accent4 2 3 2 3" xfId="20151"/>
    <cellStyle name="40% - Accent4 2 3 2 3 2" xfId="39829"/>
    <cellStyle name="40% - Accent4 2 3 2 4" xfId="27513"/>
    <cellStyle name="40% - Accent4 2 3 3" xfId="10933"/>
    <cellStyle name="40% - Accent4 2 3 3 2" xfId="30611"/>
    <cellStyle name="40% - Accent4 2 3 4" xfId="17085"/>
    <cellStyle name="40% - Accent4 2 3 4 2" xfId="36763"/>
    <cellStyle name="40% - Accent4 2 3 5" xfId="24447"/>
    <cellStyle name="40% - Accent4 2 4" xfId="6271"/>
    <cellStyle name="40% - Accent4 2 4 2" xfId="12465"/>
    <cellStyle name="40% - Accent4 2 4 2 2" xfId="32143"/>
    <cellStyle name="40% - Accent4 2 4 3" xfId="18617"/>
    <cellStyle name="40% - Accent4 2 4 3 2" xfId="38295"/>
    <cellStyle name="40% - Accent4 2 4 4" xfId="25979"/>
    <cellStyle name="40% - Accent4 2 5" xfId="9399"/>
    <cellStyle name="40% - Accent4 2 5 2" xfId="29077"/>
    <cellStyle name="40% - Accent4 2 6" xfId="15551"/>
    <cellStyle name="40% - Accent4 2 6 2" xfId="35229"/>
    <cellStyle name="40% - Accent4 2 7" xfId="22804"/>
    <cellStyle name="40% - Accent4 2 8" xfId="41643"/>
    <cellStyle name="40% - Accent4 2 9" xfId="22028"/>
    <cellStyle name="40% - Accent4 3" xfId="428"/>
    <cellStyle name="40% - Accent4 3 2" xfId="3865"/>
    <cellStyle name="40% - Accent4 3 2 2" xfId="5490"/>
    <cellStyle name="40% - Accent4 3 2 2 2" xfId="8576"/>
    <cellStyle name="40% - Accent4 3 2 2 2 2" xfId="14769"/>
    <cellStyle name="40% - Accent4 3 2 2 2 2 2" xfId="34447"/>
    <cellStyle name="40% - Accent4 3 2 2 2 3" xfId="20921"/>
    <cellStyle name="40% - Accent4 3 2 2 2 3 2" xfId="40599"/>
    <cellStyle name="40% - Accent4 3 2 2 2 4" xfId="28283"/>
    <cellStyle name="40% - Accent4 3 2 2 3" xfId="11703"/>
    <cellStyle name="40% - Accent4 3 2 2 3 2" xfId="31381"/>
    <cellStyle name="40% - Accent4 3 2 2 4" xfId="17855"/>
    <cellStyle name="40% - Accent4 3 2 2 4 2" xfId="37533"/>
    <cellStyle name="40% - Accent4 3 2 2 5" xfId="25217"/>
    <cellStyle name="40% - Accent4 3 2 3" xfId="7041"/>
    <cellStyle name="40% - Accent4 3 2 3 2" xfId="13235"/>
    <cellStyle name="40% - Accent4 3 2 3 2 2" xfId="32913"/>
    <cellStyle name="40% - Accent4 3 2 3 3" xfId="19387"/>
    <cellStyle name="40% - Accent4 3 2 3 3 2" xfId="39065"/>
    <cellStyle name="40% - Accent4 3 2 3 4" xfId="26749"/>
    <cellStyle name="40% - Accent4 3 2 4" xfId="10169"/>
    <cellStyle name="40% - Accent4 3 2 4 2" xfId="29847"/>
    <cellStyle name="40% - Accent4 3 2 5" xfId="16321"/>
    <cellStyle name="40% - Accent4 3 2 5 2" xfId="35999"/>
    <cellStyle name="40% - Accent4 3 2 6" xfId="23683"/>
    <cellStyle name="40% - Accent4 3 2 7" xfId="22475"/>
    <cellStyle name="40% - Accent4 3 3" xfId="4704"/>
    <cellStyle name="40% - Accent4 3 3 2" xfId="7807"/>
    <cellStyle name="40% - Accent4 3 3 2 2" xfId="14000"/>
    <cellStyle name="40% - Accent4 3 3 2 2 2" xfId="33678"/>
    <cellStyle name="40% - Accent4 3 3 2 3" xfId="20152"/>
    <cellStyle name="40% - Accent4 3 3 2 3 2" xfId="39830"/>
    <cellStyle name="40% - Accent4 3 3 2 4" xfId="27514"/>
    <cellStyle name="40% - Accent4 3 3 3" xfId="10934"/>
    <cellStyle name="40% - Accent4 3 3 3 2" xfId="30612"/>
    <cellStyle name="40% - Accent4 3 3 4" xfId="17086"/>
    <cellStyle name="40% - Accent4 3 3 4 2" xfId="36764"/>
    <cellStyle name="40% - Accent4 3 3 5" xfId="24448"/>
    <cellStyle name="40% - Accent4 3 4" xfId="6272"/>
    <cellStyle name="40% - Accent4 3 4 2" xfId="12466"/>
    <cellStyle name="40% - Accent4 3 4 2 2" xfId="32144"/>
    <cellStyle name="40% - Accent4 3 4 3" xfId="18618"/>
    <cellStyle name="40% - Accent4 3 4 3 2" xfId="38296"/>
    <cellStyle name="40% - Accent4 3 4 4" xfId="25980"/>
    <cellStyle name="40% - Accent4 3 5" xfId="9400"/>
    <cellStyle name="40% - Accent4 3 5 2" xfId="29078"/>
    <cellStyle name="40% - Accent4 3 6" xfId="15552"/>
    <cellStyle name="40% - Accent4 3 6 2" xfId="35230"/>
    <cellStyle name="40% - Accent4 3 7" xfId="22805"/>
    <cellStyle name="40% - Accent4 3 8" xfId="41659"/>
    <cellStyle name="40% - Accent4 3 9" xfId="22058"/>
    <cellStyle name="40% - Accent4 4" xfId="429"/>
    <cellStyle name="40% - Accent4 4 2" xfId="3866"/>
    <cellStyle name="40% - Accent4 4 2 2" xfId="5491"/>
    <cellStyle name="40% - Accent4 4 2 2 2" xfId="8577"/>
    <cellStyle name="40% - Accent4 4 2 2 2 2" xfId="14770"/>
    <cellStyle name="40% - Accent4 4 2 2 2 2 2" xfId="34448"/>
    <cellStyle name="40% - Accent4 4 2 2 2 3" xfId="20922"/>
    <cellStyle name="40% - Accent4 4 2 2 2 3 2" xfId="40600"/>
    <cellStyle name="40% - Accent4 4 2 2 2 4" xfId="28284"/>
    <cellStyle name="40% - Accent4 4 2 2 3" xfId="11704"/>
    <cellStyle name="40% - Accent4 4 2 2 3 2" xfId="31382"/>
    <cellStyle name="40% - Accent4 4 2 2 4" xfId="17856"/>
    <cellStyle name="40% - Accent4 4 2 2 4 2" xfId="37534"/>
    <cellStyle name="40% - Accent4 4 2 2 5" xfId="25218"/>
    <cellStyle name="40% - Accent4 4 2 3" xfId="7042"/>
    <cellStyle name="40% - Accent4 4 2 3 2" xfId="13236"/>
    <cellStyle name="40% - Accent4 4 2 3 2 2" xfId="32914"/>
    <cellStyle name="40% - Accent4 4 2 3 3" xfId="19388"/>
    <cellStyle name="40% - Accent4 4 2 3 3 2" xfId="39066"/>
    <cellStyle name="40% - Accent4 4 2 3 4" xfId="26750"/>
    <cellStyle name="40% - Accent4 4 2 4" xfId="10170"/>
    <cellStyle name="40% - Accent4 4 2 4 2" xfId="29848"/>
    <cellStyle name="40% - Accent4 4 2 5" xfId="16322"/>
    <cellStyle name="40% - Accent4 4 2 5 2" xfId="36000"/>
    <cellStyle name="40% - Accent4 4 2 6" xfId="23684"/>
    <cellStyle name="40% - Accent4 4 2 7" xfId="22491"/>
    <cellStyle name="40% - Accent4 4 3" xfId="4705"/>
    <cellStyle name="40% - Accent4 4 3 2" xfId="7808"/>
    <cellStyle name="40% - Accent4 4 3 2 2" xfId="14001"/>
    <cellStyle name="40% - Accent4 4 3 2 2 2" xfId="33679"/>
    <cellStyle name="40% - Accent4 4 3 2 3" xfId="20153"/>
    <cellStyle name="40% - Accent4 4 3 2 3 2" xfId="39831"/>
    <cellStyle name="40% - Accent4 4 3 2 4" xfId="27515"/>
    <cellStyle name="40% - Accent4 4 3 3" xfId="10935"/>
    <cellStyle name="40% - Accent4 4 3 3 2" xfId="30613"/>
    <cellStyle name="40% - Accent4 4 3 4" xfId="17087"/>
    <cellStyle name="40% - Accent4 4 3 4 2" xfId="36765"/>
    <cellStyle name="40% - Accent4 4 3 5" xfId="24449"/>
    <cellStyle name="40% - Accent4 4 4" xfId="6273"/>
    <cellStyle name="40% - Accent4 4 4 2" xfId="12467"/>
    <cellStyle name="40% - Accent4 4 4 2 2" xfId="32145"/>
    <cellStyle name="40% - Accent4 4 4 3" xfId="18619"/>
    <cellStyle name="40% - Accent4 4 4 3 2" xfId="38297"/>
    <cellStyle name="40% - Accent4 4 4 4" xfId="25981"/>
    <cellStyle name="40% - Accent4 4 5" xfId="9401"/>
    <cellStyle name="40% - Accent4 4 5 2" xfId="29079"/>
    <cellStyle name="40% - Accent4 4 6" xfId="15553"/>
    <cellStyle name="40% - Accent4 4 6 2" xfId="35231"/>
    <cellStyle name="40% - Accent4 4 7" xfId="22806"/>
    <cellStyle name="40% - Accent4 4 8" xfId="41675"/>
    <cellStyle name="40% - Accent4 4 9" xfId="22085"/>
    <cellStyle name="40% - Accent4 5" xfId="430"/>
    <cellStyle name="40% - Accent4 5 10" xfId="22113"/>
    <cellStyle name="40% - Accent4 5 2" xfId="3867"/>
    <cellStyle name="40% - Accent4 5 2 2" xfId="5492"/>
    <cellStyle name="40% - Accent4 5 2 2 2" xfId="8578"/>
    <cellStyle name="40% - Accent4 5 2 2 2 2" xfId="14771"/>
    <cellStyle name="40% - Accent4 5 2 2 2 2 2" xfId="34449"/>
    <cellStyle name="40% - Accent4 5 2 2 2 3" xfId="20923"/>
    <cellStyle name="40% - Accent4 5 2 2 2 3 2" xfId="40601"/>
    <cellStyle name="40% - Accent4 5 2 2 2 4" xfId="28285"/>
    <cellStyle name="40% - Accent4 5 2 2 3" xfId="11705"/>
    <cellStyle name="40% - Accent4 5 2 2 3 2" xfId="31383"/>
    <cellStyle name="40% - Accent4 5 2 2 4" xfId="17857"/>
    <cellStyle name="40% - Accent4 5 2 2 4 2" xfId="37535"/>
    <cellStyle name="40% - Accent4 5 2 2 5" xfId="25219"/>
    <cellStyle name="40% - Accent4 5 2 3" xfId="7043"/>
    <cellStyle name="40% - Accent4 5 2 3 2" xfId="13237"/>
    <cellStyle name="40% - Accent4 5 2 3 2 2" xfId="32915"/>
    <cellStyle name="40% - Accent4 5 2 3 3" xfId="19389"/>
    <cellStyle name="40% - Accent4 5 2 3 3 2" xfId="39067"/>
    <cellStyle name="40% - Accent4 5 2 3 4" xfId="26751"/>
    <cellStyle name="40% - Accent4 5 2 4" xfId="10171"/>
    <cellStyle name="40% - Accent4 5 2 4 2" xfId="29849"/>
    <cellStyle name="40% - Accent4 5 2 5" xfId="16323"/>
    <cellStyle name="40% - Accent4 5 2 5 2" xfId="36001"/>
    <cellStyle name="40% - Accent4 5 2 6" xfId="23685"/>
    <cellStyle name="40% - Accent4 5 2 7" xfId="22507"/>
    <cellStyle name="40% - Accent4 5 3" xfId="4706"/>
    <cellStyle name="40% - Accent4 5 3 2" xfId="7809"/>
    <cellStyle name="40% - Accent4 5 3 2 2" xfId="14002"/>
    <cellStyle name="40% - Accent4 5 3 2 2 2" xfId="33680"/>
    <cellStyle name="40% - Accent4 5 3 2 3" xfId="20154"/>
    <cellStyle name="40% - Accent4 5 3 2 3 2" xfId="39832"/>
    <cellStyle name="40% - Accent4 5 3 2 4" xfId="27516"/>
    <cellStyle name="40% - Accent4 5 3 3" xfId="10936"/>
    <cellStyle name="40% - Accent4 5 3 3 2" xfId="30614"/>
    <cellStyle name="40% - Accent4 5 3 4" xfId="17088"/>
    <cellStyle name="40% - Accent4 5 3 4 2" xfId="36766"/>
    <cellStyle name="40% - Accent4 5 3 5" xfId="24450"/>
    <cellStyle name="40% - Accent4 5 4" xfId="6274"/>
    <cellStyle name="40% - Accent4 5 4 2" xfId="12468"/>
    <cellStyle name="40% - Accent4 5 4 2 2" xfId="32146"/>
    <cellStyle name="40% - Accent4 5 4 3" xfId="18620"/>
    <cellStyle name="40% - Accent4 5 4 3 2" xfId="38298"/>
    <cellStyle name="40% - Accent4 5 4 4" xfId="25982"/>
    <cellStyle name="40% - Accent4 5 5" xfId="9402"/>
    <cellStyle name="40% - Accent4 5 5 2" xfId="29080"/>
    <cellStyle name="40% - Accent4 5 6" xfId="15554"/>
    <cellStyle name="40% - Accent4 5 6 2" xfId="35232"/>
    <cellStyle name="40% - Accent4 5 7" xfId="22807"/>
    <cellStyle name="40% - Accent4 5 8" xfId="41497"/>
    <cellStyle name="40% - Accent4 5 9" xfId="41691"/>
    <cellStyle name="40% - Accent4 6" xfId="431"/>
    <cellStyle name="40% - Accent4 6 2" xfId="22523"/>
    <cellStyle name="40% - Accent4 6 3" xfId="22808"/>
    <cellStyle name="40% - Accent4 6 4" xfId="41434"/>
    <cellStyle name="40% - Accent4 6 5" xfId="41707"/>
    <cellStyle name="40% - Accent4 6 6" xfId="22137"/>
    <cellStyle name="40% - Accent4 7" xfId="22161"/>
    <cellStyle name="40% - Accent4 7 2" xfId="22539"/>
    <cellStyle name="40% - Accent4 7 3" xfId="41417"/>
    <cellStyle name="40% - Accent4 7 4" xfId="41723"/>
    <cellStyle name="40% - Accent4 8" xfId="22184"/>
    <cellStyle name="40% - Accent4 8 2" xfId="22555"/>
    <cellStyle name="40% - Accent4 8 3" xfId="41355"/>
    <cellStyle name="40% - Accent4 8 4" xfId="41739"/>
    <cellStyle name="40% - Accent4 9" xfId="22223"/>
    <cellStyle name="40% - Accent4 9 2" xfId="22571"/>
    <cellStyle name="40% - Accent4 9 3" xfId="41393"/>
    <cellStyle name="40% - Accent4 9 4" xfId="41755"/>
    <cellStyle name="40% - Accent5" xfId="21678" builtinId="47" customBuiltin="1"/>
    <cellStyle name="40% - Accent5 10" xfId="22255"/>
    <cellStyle name="40% - Accent5 10 2" xfId="22589"/>
    <cellStyle name="40% - Accent5 10 3" xfId="41538"/>
    <cellStyle name="40% - Accent5 10 4" xfId="41773"/>
    <cellStyle name="40% - Accent5 11" xfId="22281"/>
    <cellStyle name="40% - Accent5 11 2" xfId="22605"/>
    <cellStyle name="40% - Accent5 11 3" xfId="41534"/>
    <cellStyle name="40% - Accent5 11 4" xfId="41789"/>
    <cellStyle name="40% - Accent5 12" xfId="22306"/>
    <cellStyle name="40% - Accent5 12 2" xfId="22621"/>
    <cellStyle name="40% - Accent5 12 3" xfId="41521"/>
    <cellStyle name="40% - Accent5 12 4" xfId="41805"/>
    <cellStyle name="40% - Accent5 13" xfId="22329"/>
    <cellStyle name="40% - Accent5 13 2" xfId="22637"/>
    <cellStyle name="40% - Accent5 13 3" xfId="41484"/>
    <cellStyle name="40% - Accent5 13 4" xfId="41821"/>
    <cellStyle name="40% - Accent5 14" xfId="22347"/>
    <cellStyle name="40% - Accent5 14 2" xfId="22653"/>
    <cellStyle name="40% - Accent5 14 3" xfId="41350"/>
    <cellStyle name="40% - Accent5 14 4" xfId="41837"/>
    <cellStyle name="40% - Accent5 15" xfId="22363"/>
    <cellStyle name="40% - Accent5 15 2" xfId="22669"/>
    <cellStyle name="40% - Accent5 15 3" xfId="41341"/>
    <cellStyle name="40% - Accent5 15 4" xfId="41853"/>
    <cellStyle name="40% - Accent5 16" xfId="22385"/>
    <cellStyle name="40% - Accent5 17" xfId="41569"/>
    <cellStyle name="40% - Accent5 2" xfId="432"/>
    <cellStyle name="40% - Accent5 2 2" xfId="3868"/>
    <cellStyle name="40% - Accent5 2 2 2" xfId="5493"/>
    <cellStyle name="40% - Accent5 2 2 2 2" xfId="8579"/>
    <cellStyle name="40% - Accent5 2 2 2 2 2" xfId="14772"/>
    <cellStyle name="40% - Accent5 2 2 2 2 2 2" xfId="34450"/>
    <cellStyle name="40% - Accent5 2 2 2 2 3" xfId="20924"/>
    <cellStyle name="40% - Accent5 2 2 2 2 3 2" xfId="40602"/>
    <cellStyle name="40% - Accent5 2 2 2 2 4" xfId="28286"/>
    <cellStyle name="40% - Accent5 2 2 2 3" xfId="11706"/>
    <cellStyle name="40% - Accent5 2 2 2 3 2" xfId="31384"/>
    <cellStyle name="40% - Accent5 2 2 2 4" xfId="17858"/>
    <cellStyle name="40% - Accent5 2 2 2 4 2" xfId="37536"/>
    <cellStyle name="40% - Accent5 2 2 2 5" xfId="25220"/>
    <cellStyle name="40% - Accent5 2 2 3" xfId="7044"/>
    <cellStyle name="40% - Accent5 2 2 3 2" xfId="13238"/>
    <cellStyle name="40% - Accent5 2 2 3 2 2" xfId="32916"/>
    <cellStyle name="40% - Accent5 2 2 3 3" xfId="19390"/>
    <cellStyle name="40% - Accent5 2 2 3 3 2" xfId="39068"/>
    <cellStyle name="40% - Accent5 2 2 3 4" xfId="26752"/>
    <cellStyle name="40% - Accent5 2 2 4" xfId="10172"/>
    <cellStyle name="40% - Accent5 2 2 4 2" xfId="29850"/>
    <cellStyle name="40% - Accent5 2 2 5" xfId="16324"/>
    <cellStyle name="40% - Accent5 2 2 5 2" xfId="36002"/>
    <cellStyle name="40% - Accent5 2 2 6" xfId="23686"/>
    <cellStyle name="40% - Accent5 2 2 7" xfId="22461"/>
    <cellStyle name="40% - Accent5 2 3" xfId="4707"/>
    <cellStyle name="40% - Accent5 2 3 2" xfId="7810"/>
    <cellStyle name="40% - Accent5 2 3 2 2" xfId="14003"/>
    <cellStyle name="40% - Accent5 2 3 2 2 2" xfId="33681"/>
    <cellStyle name="40% - Accent5 2 3 2 3" xfId="20155"/>
    <cellStyle name="40% - Accent5 2 3 2 3 2" xfId="39833"/>
    <cellStyle name="40% - Accent5 2 3 2 4" xfId="27517"/>
    <cellStyle name="40% - Accent5 2 3 3" xfId="10937"/>
    <cellStyle name="40% - Accent5 2 3 3 2" xfId="30615"/>
    <cellStyle name="40% - Accent5 2 3 4" xfId="17089"/>
    <cellStyle name="40% - Accent5 2 3 4 2" xfId="36767"/>
    <cellStyle name="40% - Accent5 2 3 5" xfId="24451"/>
    <cellStyle name="40% - Accent5 2 4" xfId="6275"/>
    <cellStyle name="40% - Accent5 2 4 2" xfId="12469"/>
    <cellStyle name="40% - Accent5 2 4 2 2" xfId="32147"/>
    <cellStyle name="40% - Accent5 2 4 3" xfId="18621"/>
    <cellStyle name="40% - Accent5 2 4 3 2" xfId="38299"/>
    <cellStyle name="40% - Accent5 2 4 4" xfId="25983"/>
    <cellStyle name="40% - Accent5 2 5" xfId="9403"/>
    <cellStyle name="40% - Accent5 2 5 2" xfId="29081"/>
    <cellStyle name="40% - Accent5 2 6" xfId="15555"/>
    <cellStyle name="40% - Accent5 2 6 2" xfId="35233"/>
    <cellStyle name="40% - Accent5 2 7" xfId="22809"/>
    <cellStyle name="40% - Accent5 2 8" xfId="41645"/>
    <cellStyle name="40% - Accent5 2 9" xfId="22032"/>
    <cellStyle name="40% - Accent5 3" xfId="433"/>
    <cellStyle name="40% - Accent5 3 2" xfId="3869"/>
    <cellStyle name="40% - Accent5 3 2 2" xfId="5494"/>
    <cellStyle name="40% - Accent5 3 2 2 2" xfId="8580"/>
    <cellStyle name="40% - Accent5 3 2 2 2 2" xfId="14773"/>
    <cellStyle name="40% - Accent5 3 2 2 2 2 2" xfId="34451"/>
    <cellStyle name="40% - Accent5 3 2 2 2 3" xfId="20925"/>
    <cellStyle name="40% - Accent5 3 2 2 2 3 2" xfId="40603"/>
    <cellStyle name="40% - Accent5 3 2 2 2 4" xfId="28287"/>
    <cellStyle name="40% - Accent5 3 2 2 3" xfId="11707"/>
    <cellStyle name="40% - Accent5 3 2 2 3 2" xfId="31385"/>
    <cellStyle name="40% - Accent5 3 2 2 4" xfId="17859"/>
    <cellStyle name="40% - Accent5 3 2 2 4 2" xfId="37537"/>
    <cellStyle name="40% - Accent5 3 2 2 5" xfId="25221"/>
    <cellStyle name="40% - Accent5 3 2 3" xfId="7045"/>
    <cellStyle name="40% - Accent5 3 2 3 2" xfId="13239"/>
    <cellStyle name="40% - Accent5 3 2 3 2 2" xfId="32917"/>
    <cellStyle name="40% - Accent5 3 2 3 3" xfId="19391"/>
    <cellStyle name="40% - Accent5 3 2 3 3 2" xfId="39069"/>
    <cellStyle name="40% - Accent5 3 2 3 4" xfId="26753"/>
    <cellStyle name="40% - Accent5 3 2 4" xfId="10173"/>
    <cellStyle name="40% - Accent5 3 2 4 2" xfId="29851"/>
    <cellStyle name="40% - Accent5 3 2 5" xfId="16325"/>
    <cellStyle name="40% - Accent5 3 2 5 2" xfId="36003"/>
    <cellStyle name="40% - Accent5 3 2 6" xfId="23687"/>
    <cellStyle name="40% - Accent5 3 2 7" xfId="22477"/>
    <cellStyle name="40% - Accent5 3 3" xfId="4708"/>
    <cellStyle name="40% - Accent5 3 3 2" xfId="7811"/>
    <cellStyle name="40% - Accent5 3 3 2 2" xfId="14004"/>
    <cellStyle name="40% - Accent5 3 3 2 2 2" xfId="33682"/>
    <cellStyle name="40% - Accent5 3 3 2 3" xfId="20156"/>
    <cellStyle name="40% - Accent5 3 3 2 3 2" xfId="39834"/>
    <cellStyle name="40% - Accent5 3 3 2 4" xfId="27518"/>
    <cellStyle name="40% - Accent5 3 3 3" xfId="10938"/>
    <cellStyle name="40% - Accent5 3 3 3 2" xfId="30616"/>
    <cellStyle name="40% - Accent5 3 3 4" xfId="17090"/>
    <cellStyle name="40% - Accent5 3 3 4 2" xfId="36768"/>
    <cellStyle name="40% - Accent5 3 3 5" xfId="24452"/>
    <cellStyle name="40% - Accent5 3 4" xfId="6276"/>
    <cellStyle name="40% - Accent5 3 4 2" xfId="12470"/>
    <cellStyle name="40% - Accent5 3 4 2 2" xfId="32148"/>
    <cellStyle name="40% - Accent5 3 4 3" xfId="18622"/>
    <cellStyle name="40% - Accent5 3 4 3 2" xfId="38300"/>
    <cellStyle name="40% - Accent5 3 4 4" xfId="25984"/>
    <cellStyle name="40% - Accent5 3 5" xfId="9404"/>
    <cellStyle name="40% - Accent5 3 5 2" xfId="29082"/>
    <cellStyle name="40% - Accent5 3 6" xfId="15556"/>
    <cellStyle name="40% - Accent5 3 6 2" xfId="35234"/>
    <cellStyle name="40% - Accent5 3 7" xfId="22810"/>
    <cellStyle name="40% - Accent5 3 8" xfId="41661"/>
    <cellStyle name="40% - Accent5 3 9" xfId="22062"/>
    <cellStyle name="40% - Accent5 4" xfId="434"/>
    <cellStyle name="40% - Accent5 4 2" xfId="3870"/>
    <cellStyle name="40% - Accent5 4 2 2" xfId="5495"/>
    <cellStyle name="40% - Accent5 4 2 2 2" xfId="8581"/>
    <cellStyle name="40% - Accent5 4 2 2 2 2" xfId="14774"/>
    <cellStyle name="40% - Accent5 4 2 2 2 2 2" xfId="34452"/>
    <cellStyle name="40% - Accent5 4 2 2 2 3" xfId="20926"/>
    <cellStyle name="40% - Accent5 4 2 2 2 3 2" xfId="40604"/>
    <cellStyle name="40% - Accent5 4 2 2 2 4" xfId="28288"/>
    <cellStyle name="40% - Accent5 4 2 2 3" xfId="11708"/>
    <cellStyle name="40% - Accent5 4 2 2 3 2" xfId="31386"/>
    <cellStyle name="40% - Accent5 4 2 2 4" xfId="17860"/>
    <cellStyle name="40% - Accent5 4 2 2 4 2" xfId="37538"/>
    <cellStyle name="40% - Accent5 4 2 2 5" xfId="25222"/>
    <cellStyle name="40% - Accent5 4 2 3" xfId="7046"/>
    <cellStyle name="40% - Accent5 4 2 3 2" xfId="13240"/>
    <cellStyle name="40% - Accent5 4 2 3 2 2" xfId="32918"/>
    <cellStyle name="40% - Accent5 4 2 3 3" xfId="19392"/>
    <cellStyle name="40% - Accent5 4 2 3 3 2" xfId="39070"/>
    <cellStyle name="40% - Accent5 4 2 3 4" xfId="26754"/>
    <cellStyle name="40% - Accent5 4 2 4" xfId="10174"/>
    <cellStyle name="40% - Accent5 4 2 4 2" xfId="29852"/>
    <cellStyle name="40% - Accent5 4 2 5" xfId="16326"/>
    <cellStyle name="40% - Accent5 4 2 5 2" xfId="36004"/>
    <cellStyle name="40% - Accent5 4 2 6" xfId="23688"/>
    <cellStyle name="40% - Accent5 4 2 7" xfId="22493"/>
    <cellStyle name="40% - Accent5 4 3" xfId="4709"/>
    <cellStyle name="40% - Accent5 4 3 2" xfId="7812"/>
    <cellStyle name="40% - Accent5 4 3 2 2" xfId="14005"/>
    <cellStyle name="40% - Accent5 4 3 2 2 2" xfId="33683"/>
    <cellStyle name="40% - Accent5 4 3 2 3" xfId="20157"/>
    <cellStyle name="40% - Accent5 4 3 2 3 2" xfId="39835"/>
    <cellStyle name="40% - Accent5 4 3 2 4" xfId="27519"/>
    <cellStyle name="40% - Accent5 4 3 3" xfId="10939"/>
    <cellStyle name="40% - Accent5 4 3 3 2" xfId="30617"/>
    <cellStyle name="40% - Accent5 4 3 4" xfId="17091"/>
    <cellStyle name="40% - Accent5 4 3 4 2" xfId="36769"/>
    <cellStyle name="40% - Accent5 4 3 5" xfId="24453"/>
    <cellStyle name="40% - Accent5 4 4" xfId="6277"/>
    <cellStyle name="40% - Accent5 4 4 2" xfId="12471"/>
    <cellStyle name="40% - Accent5 4 4 2 2" xfId="32149"/>
    <cellStyle name="40% - Accent5 4 4 3" xfId="18623"/>
    <cellStyle name="40% - Accent5 4 4 3 2" xfId="38301"/>
    <cellStyle name="40% - Accent5 4 4 4" xfId="25985"/>
    <cellStyle name="40% - Accent5 4 5" xfId="9405"/>
    <cellStyle name="40% - Accent5 4 5 2" xfId="29083"/>
    <cellStyle name="40% - Accent5 4 6" xfId="15557"/>
    <cellStyle name="40% - Accent5 4 6 2" xfId="35235"/>
    <cellStyle name="40% - Accent5 4 7" xfId="22811"/>
    <cellStyle name="40% - Accent5 4 8" xfId="41677"/>
    <cellStyle name="40% - Accent5 4 9" xfId="22089"/>
    <cellStyle name="40% - Accent5 5" xfId="435"/>
    <cellStyle name="40% - Accent5 5 2" xfId="22509"/>
    <cellStyle name="40% - Accent5 5 3" xfId="22812"/>
    <cellStyle name="40% - Accent5 5 4" xfId="41431"/>
    <cellStyle name="40% - Accent5 5 5" xfId="41693"/>
    <cellStyle name="40% - Accent5 5 6" xfId="22116"/>
    <cellStyle name="40% - Accent5 6" xfId="22141"/>
    <cellStyle name="40% - Accent5 6 2" xfId="22525"/>
    <cellStyle name="40% - Accent5 6 3" xfId="41467"/>
    <cellStyle name="40% - Accent5 6 4" xfId="41709"/>
    <cellStyle name="40% - Accent5 7" xfId="22163"/>
    <cellStyle name="40% - Accent5 7 2" xfId="22541"/>
    <cellStyle name="40% - Accent5 7 3" xfId="41485"/>
    <cellStyle name="40% - Accent5 7 4" xfId="41725"/>
    <cellStyle name="40% - Accent5 8" xfId="22187"/>
    <cellStyle name="40% - Accent5 8 2" xfId="22557"/>
    <cellStyle name="40% - Accent5 8 3" xfId="22682"/>
    <cellStyle name="40% - Accent5 8 4" xfId="41741"/>
    <cellStyle name="40% - Accent5 9" xfId="22227"/>
    <cellStyle name="40% - Accent5 9 2" xfId="22573"/>
    <cellStyle name="40% - Accent5 9 3" xfId="41383"/>
    <cellStyle name="40% - Accent5 9 4" xfId="41757"/>
    <cellStyle name="40% - Accent6" xfId="21682" builtinId="51" customBuiltin="1"/>
    <cellStyle name="40% - Accent6 10" xfId="22259"/>
    <cellStyle name="40% - Accent6 10 2" xfId="22591"/>
    <cellStyle name="40% - Accent6 10 3" xfId="41517"/>
    <cellStyle name="40% - Accent6 10 4" xfId="41775"/>
    <cellStyle name="40% - Accent6 11" xfId="22285"/>
    <cellStyle name="40% - Accent6 11 2" xfId="22607"/>
    <cellStyle name="40% - Accent6 11 3" xfId="41454"/>
    <cellStyle name="40% - Accent6 11 4" xfId="41791"/>
    <cellStyle name="40% - Accent6 12" xfId="22309"/>
    <cellStyle name="40% - Accent6 12 2" xfId="22623"/>
    <cellStyle name="40% - Accent6 12 3" xfId="41376"/>
    <cellStyle name="40% - Accent6 12 4" xfId="41807"/>
    <cellStyle name="40% - Accent6 13" xfId="22332"/>
    <cellStyle name="40% - Accent6 13 2" xfId="22639"/>
    <cellStyle name="40% - Accent6 13 3" xfId="41488"/>
    <cellStyle name="40% - Accent6 13 4" xfId="41823"/>
    <cellStyle name="40% - Accent6 14" xfId="22349"/>
    <cellStyle name="40% - Accent6 14 2" xfId="22655"/>
    <cellStyle name="40% - Accent6 14 3" xfId="41479"/>
    <cellStyle name="40% - Accent6 14 4" xfId="41839"/>
    <cellStyle name="40% - Accent6 15" xfId="22365"/>
    <cellStyle name="40% - Accent6 15 2" xfId="22671"/>
    <cellStyle name="40% - Accent6 15 3" xfId="41549"/>
    <cellStyle name="40% - Accent6 15 4" xfId="41855"/>
    <cellStyle name="40% - Accent6 16" xfId="22387"/>
    <cellStyle name="40% - Accent6 17" xfId="41571"/>
    <cellStyle name="40% - Accent6 2" xfId="436"/>
    <cellStyle name="40% - Accent6 2 2" xfId="3871"/>
    <cellStyle name="40% - Accent6 2 2 2" xfId="5496"/>
    <cellStyle name="40% - Accent6 2 2 2 2" xfId="8582"/>
    <cellStyle name="40% - Accent6 2 2 2 2 2" xfId="14775"/>
    <cellStyle name="40% - Accent6 2 2 2 2 2 2" xfId="34453"/>
    <cellStyle name="40% - Accent6 2 2 2 2 3" xfId="20927"/>
    <cellStyle name="40% - Accent6 2 2 2 2 3 2" xfId="40605"/>
    <cellStyle name="40% - Accent6 2 2 2 2 4" xfId="28289"/>
    <cellStyle name="40% - Accent6 2 2 2 3" xfId="11709"/>
    <cellStyle name="40% - Accent6 2 2 2 3 2" xfId="31387"/>
    <cellStyle name="40% - Accent6 2 2 2 4" xfId="17861"/>
    <cellStyle name="40% - Accent6 2 2 2 4 2" xfId="37539"/>
    <cellStyle name="40% - Accent6 2 2 2 5" xfId="25223"/>
    <cellStyle name="40% - Accent6 2 2 3" xfId="7047"/>
    <cellStyle name="40% - Accent6 2 2 3 2" xfId="13241"/>
    <cellStyle name="40% - Accent6 2 2 3 2 2" xfId="32919"/>
    <cellStyle name="40% - Accent6 2 2 3 3" xfId="19393"/>
    <cellStyle name="40% - Accent6 2 2 3 3 2" xfId="39071"/>
    <cellStyle name="40% - Accent6 2 2 3 4" xfId="26755"/>
    <cellStyle name="40% - Accent6 2 2 4" xfId="10175"/>
    <cellStyle name="40% - Accent6 2 2 4 2" xfId="29853"/>
    <cellStyle name="40% - Accent6 2 2 5" xfId="16327"/>
    <cellStyle name="40% - Accent6 2 2 5 2" xfId="36005"/>
    <cellStyle name="40% - Accent6 2 2 6" xfId="23689"/>
    <cellStyle name="40% - Accent6 2 2 7" xfId="22463"/>
    <cellStyle name="40% - Accent6 2 3" xfId="4710"/>
    <cellStyle name="40% - Accent6 2 3 2" xfId="7813"/>
    <cellStyle name="40% - Accent6 2 3 2 2" xfId="14006"/>
    <cellStyle name="40% - Accent6 2 3 2 2 2" xfId="33684"/>
    <cellStyle name="40% - Accent6 2 3 2 3" xfId="20158"/>
    <cellStyle name="40% - Accent6 2 3 2 3 2" xfId="39836"/>
    <cellStyle name="40% - Accent6 2 3 2 4" xfId="27520"/>
    <cellStyle name="40% - Accent6 2 3 3" xfId="10940"/>
    <cellStyle name="40% - Accent6 2 3 3 2" xfId="30618"/>
    <cellStyle name="40% - Accent6 2 3 4" xfId="17092"/>
    <cellStyle name="40% - Accent6 2 3 4 2" xfId="36770"/>
    <cellStyle name="40% - Accent6 2 3 5" xfId="24454"/>
    <cellStyle name="40% - Accent6 2 4" xfId="6278"/>
    <cellStyle name="40% - Accent6 2 4 2" xfId="12472"/>
    <cellStyle name="40% - Accent6 2 4 2 2" xfId="32150"/>
    <cellStyle name="40% - Accent6 2 4 3" xfId="18624"/>
    <cellStyle name="40% - Accent6 2 4 3 2" xfId="38302"/>
    <cellStyle name="40% - Accent6 2 4 4" xfId="25986"/>
    <cellStyle name="40% - Accent6 2 5" xfId="9406"/>
    <cellStyle name="40% - Accent6 2 5 2" xfId="29084"/>
    <cellStyle name="40% - Accent6 2 6" xfId="15558"/>
    <cellStyle name="40% - Accent6 2 6 2" xfId="35236"/>
    <cellStyle name="40% - Accent6 2 7" xfId="22813"/>
    <cellStyle name="40% - Accent6 2 8" xfId="41647"/>
    <cellStyle name="40% - Accent6 2 9" xfId="22036"/>
    <cellStyle name="40% - Accent6 3" xfId="437"/>
    <cellStyle name="40% - Accent6 3 2" xfId="3872"/>
    <cellStyle name="40% - Accent6 3 2 2" xfId="5497"/>
    <cellStyle name="40% - Accent6 3 2 2 2" xfId="8583"/>
    <cellStyle name="40% - Accent6 3 2 2 2 2" xfId="14776"/>
    <cellStyle name="40% - Accent6 3 2 2 2 2 2" xfId="34454"/>
    <cellStyle name="40% - Accent6 3 2 2 2 3" xfId="20928"/>
    <cellStyle name="40% - Accent6 3 2 2 2 3 2" xfId="40606"/>
    <cellStyle name="40% - Accent6 3 2 2 2 4" xfId="28290"/>
    <cellStyle name="40% - Accent6 3 2 2 3" xfId="11710"/>
    <cellStyle name="40% - Accent6 3 2 2 3 2" xfId="31388"/>
    <cellStyle name="40% - Accent6 3 2 2 4" xfId="17862"/>
    <cellStyle name="40% - Accent6 3 2 2 4 2" xfId="37540"/>
    <cellStyle name="40% - Accent6 3 2 2 5" xfId="25224"/>
    <cellStyle name="40% - Accent6 3 2 3" xfId="7048"/>
    <cellStyle name="40% - Accent6 3 2 3 2" xfId="13242"/>
    <cellStyle name="40% - Accent6 3 2 3 2 2" xfId="32920"/>
    <cellStyle name="40% - Accent6 3 2 3 3" xfId="19394"/>
    <cellStyle name="40% - Accent6 3 2 3 3 2" xfId="39072"/>
    <cellStyle name="40% - Accent6 3 2 3 4" xfId="26756"/>
    <cellStyle name="40% - Accent6 3 2 4" xfId="10176"/>
    <cellStyle name="40% - Accent6 3 2 4 2" xfId="29854"/>
    <cellStyle name="40% - Accent6 3 2 5" xfId="16328"/>
    <cellStyle name="40% - Accent6 3 2 5 2" xfId="36006"/>
    <cellStyle name="40% - Accent6 3 2 6" xfId="23690"/>
    <cellStyle name="40% - Accent6 3 2 7" xfId="22479"/>
    <cellStyle name="40% - Accent6 3 3" xfId="4711"/>
    <cellStyle name="40% - Accent6 3 3 2" xfId="7814"/>
    <cellStyle name="40% - Accent6 3 3 2 2" xfId="14007"/>
    <cellStyle name="40% - Accent6 3 3 2 2 2" xfId="33685"/>
    <cellStyle name="40% - Accent6 3 3 2 3" xfId="20159"/>
    <cellStyle name="40% - Accent6 3 3 2 3 2" xfId="39837"/>
    <cellStyle name="40% - Accent6 3 3 2 4" xfId="27521"/>
    <cellStyle name="40% - Accent6 3 3 3" xfId="10941"/>
    <cellStyle name="40% - Accent6 3 3 3 2" xfId="30619"/>
    <cellStyle name="40% - Accent6 3 3 4" xfId="17093"/>
    <cellStyle name="40% - Accent6 3 3 4 2" xfId="36771"/>
    <cellStyle name="40% - Accent6 3 3 5" xfId="24455"/>
    <cellStyle name="40% - Accent6 3 4" xfId="6279"/>
    <cellStyle name="40% - Accent6 3 4 2" xfId="12473"/>
    <cellStyle name="40% - Accent6 3 4 2 2" xfId="32151"/>
    <cellStyle name="40% - Accent6 3 4 3" xfId="18625"/>
    <cellStyle name="40% - Accent6 3 4 3 2" xfId="38303"/>
    <cellStyle name="40% - Accent6 3 4 4" xfId="25987"/>
    <cellStyle name="40% - Accent6 3 5" xfId="9407"/>
    <cellStyle name="40% - Accent6 3 5 2" xfId="29085"/>
    <cellStyle name="40% - Accent6 3 6" xfId="15559"/>
    <cellStyle name="40% - Accent6 3 6 2" xfId="35237"/>
    <cellStyle name="40% - Accent6 3 7" xfId="22814"/>
    <cellStyle name="40% - Accent6 3 8" xfId="41663"/>
    <cellStyle name="40% - Accent6 3 9" xfId="22066"/>
    <cellStyle name="40% - Accent6 4" xfId="438"/>
    <cellStyle name="40% - Accent6 4 2" xfId="3873"/>
    <cellStyle name="40% - Accent6 4 2 2" xfId="5498"/>
    <cellStyle name="40% - Accent6 4 2 2 2" xfId="8584"/>
    <cellStyle name="40% - Accent6 4 2 2 2 2" xfId="14777"/>
    <cellStyle name="40% - Accent6 4 2 2 2 2 2" xfId="34455"/>
    <cellStyle name="40% - Accent6 4 2 2 2 3" xfId="20929"/>
    <cellStyle name="40% - Accent6 4 2 2 2 3 2" xfId="40607"/>
    <cellStyle name="40% - Accent6 4 2 2 2 4" xfId="28291"/>
    <cellStyle name="40% - Accent6 4 2 2 3" xfId="11711"/>
    <cellStyle name="40% - Accent6 4 2 2 3 2" xfId="31389"/>
    <cellStyle name="40% - Accent6 4 2 2 4" xfId="17863"/>
    <cellStyle name="40% - Accent6 4 2 2 4 2" xfId="37541"/>
    <cellStyle name="40% - Accent6 4 2 2 5" xfId="25225"/>
    <cellStyle name="40% - Accent6 4 2 3" xfId="7049"/>
    <cellStyle name="40% - Accent6 4 2 3 2" xfId="13243"/>
    <cellStyle name="40% - Accent6 4 2 3 2 2" xfId="32921"/>
    <cellStyle name="40% - Accent6 4 2 3 3" xfId="19395"/>
    <cellStyle name="40% - Accent6 4 2 3 3 2" xfId="39073"/>
    <cellStyle name="40% - Accent6 4 2 3 4" xfId="26757"/>
    <cellStyle name="40% - Accent6 4 2 4" xfId="10177"/>
    <cellStyle name="40% - Accent6 4 2 4 2" xfId="29855"/>
    <cellStyle name="40% - Accent6 4 2 5" xfId="16329"/>
    <cellStyle name="40% - Accent6 4 2 5 2" xfId="36007"/>
    <cellStyle name="40% - Accent6 4 2 6" xfId="23691"/>
    <cellStyle name="40% - Accent6 4 2 7" xfId="22495"/>
    <cellStyle name="40% - Accent6 4 3" xfId="4712"/>
    <cellStyle name="40% - Accent6 4 3 2" xfId="7815"/>
    <cellStyle name="40% - Accent6 4 3 2 2" xfId="14008"/>
    <cellStyle name="40% - Accent6 4 3 2 2 2" xfId="33686"/>
    <cellStyle name="40% - Accent6 4 3 2 3" xfId="20160"/>
    <cellStyle name="40% - Accent6 4 3 2 3 2" xfId="39838"/>
    <cellStyle name="40% - Accent6 4 3 2 4" xfId="27522"/>
    <cellStyle name="40% - Accent6 4 3 3" xfId="10942"/>
    <cellStyle name="40% - Accent6 4 3 3 2" xfId="30620"/>
    <cellStyle name="40% - Accent6 4 3 4" xfId="17094"/>
    <cellStyle name="40% - Accent6 4 3 4 2" xfId="36772"/>
    <cellStyle name="40% - Accent6 4 3 5" xfId="24456"/>
    <cellStyle name="40% - Accent6 4 4" xfId="6280"/>
    <cellStyle name="40% - Accent6 4 4 2" xfId="12474"/>
    <cellStyle name="40% - Accent6 4 4 2 2" xfId="32152"/>
    <cellStyle name="40% - Accent6 4 4 3" xfId="18626"/>
    <cellStyle name="40% - Accent6 4 4 3 2" xfId="38304"/>
    <cellStyle name="40% - Accent6 4 4 4" xfId="25988"/>
    <cellStyle name="40% - Accent6 4 5" xfId="9408"/>
    <cellStyle name="40% - Accent6 4 5 2" xfId="29086"/>
    <cellStyle name="40% - Accent6 4 6" xfId="15560"/>
    <cellStyle name="40% - Accent6 4 6 2" xfId="35238"/>
    <cellStyle name="40% - Accent6 4 7" xfId="22815"/>
    <cellStyle name="40% - Accent6 4 8" xfId="41679"/>
    <cellStyle name="40% - Accent6 4 9" xfId="22093"/>
    <cellStyle name="40% - Accent6 5" xfId="439"/>
    <cellStyle name="40% - Accent6 5 10" xfId="22119"/>
    <cellStyle name="40% - Accent6 5 2" xfId="3874"/>
    <cellStyle name="40% - Accent6 5 2 2" xfId="5499"/>
    <cellStyle name="40% - Accent6 5 2 2 2" xfId="8585"/>
    <cellStyle name="40% - Accent6 5 2 2 2 2" xfId="14778"/>
    <cellStyle name="40% - Accent6 5 2 2 2 2 2" xfId="34456"/>
    <cellStyle name="40% - Accent6 5 2 2 2 3" xfId="20930"/>
    <cellStyle name="40% - Accent6 5 2 2 2 3 2" xfId="40608"/>
    <cellStyle name="40% - Accent6 5 2 2 2 4" xfId="28292"/>
    <cellStyle name="40% - Accent6 5 2 2 3" xfId="11712"/>
    <cellStyle name="40% - Accent6 5 2 2 3 2" xfId="31390"/>
    <cellStyle name="40% - Accent6 5 2 2 4" xfId="17864"/>
    <cellStyle name="40% - Accent6 5 2 2 4 2" xfId="37542"/>
    <cellStyle name="40% - Accent6 5 2 2 5" xfId="25226"/>
    <cellStyle name="40% - Accent6 5 2 3" xfId="7050"/>
    <cellStyle name="40% - Accent6 5 2 3 2" xfId="13244"/>
    <cellStyle name="40% - Accent6 5 2 3 2 2" xfId="32922"/>
    <cellStyle name="40% - Accent6 5 2 3 3" xfId="19396"/>
    <cellStyle name="40% - Accent6 5 2 3 3 2" xfId="39074"/>
    <cellStyle name="40% - Accent6 5 2 3 4" xfId="26758"/>
    <cellStyle name="40% - Accent6 5 2 4" xfId="10178"/>
    <cellStyle name="40% - Accent6 5 2 4 2" xfId="29856"/>
    <cellStyle name="40% - Accent6 5 2 5" xfId="16330"/>
    <cellStyle name="40% - Accent6 5 2 5 2" xfId="36008"/>
    <cellStyle name="40% - Accent6 5 2 6" xfId="23692"/>
    <cellStyle name="40% - Accent6 5 2 7" xfId="22511"/>
    <cellStyle name="40% - Accent6 5 3" xfId="4713"/>
    <cellStyle name="40% - Accent6 5 3 2" xfId="7816"/>
    <cellStyle name="40% - Accent6 5 3 2 2" xfId="14009"/>
    <cellStyle name="40% - Accent6 5 3 2 2 2" xfId="33687"/>
    <cellStyle name="40% - Accent6 5 3 2 3" xfId="20161"/>
    <cellStyle name="40% - Accent6 5 3 2 3 2" xfId="39839"/>
    <cellStyle name="40% - Accent6 5 3 2 4" xfId="27523"/>
    <cellStyle name="40% - Accent6 5 3 3" xfId="10943"/>
    <cellStyle name="40% - Accent6 5 3 3 2" xfId="30621"/>
    <cellStyle name="40% - Accent6 5 3 4" xfId="17095"/>
    <cellStyle name="40% - Accent6 5 3 4 2" xfId="36773"/>
    <cellStyle name="40% - Accent6 5 3 5" xfId="24457"/>
    <cellStyle name="40% - Accent6 5 4" xfId="6281"/>
    <cellStyle name="40% - Accent6 5 4 2" xfId="12475"/>
    <cellStyle name="40% - Accent6 5 4 2 2" xfId="32153"/>
    <cellStyle name="40% - Accent6 5 4 3" xfId="18627"/>
    <cellStyle name="40% - Accent6 5 4 3 2" xfId="38305"/>
    <cellStyle name="40% - Accent6 5 4 4" xfId="25989"/>
    <cellStyle name="40% - Accent6 5 5" xfId="9409"/>
    <cellStyle name="40% - Accent6 5 5 2" xfId="29087"/>
    <cellStyle name="40% - Accent6 5 6" xfId="15561"/>
    <cellStyle name="40% - Accent6 5 6 2" xfId="35239"/>
    <cellStyle name="40% - Accent6 5 7" xfId="22816"/>
    <cellStyle name="40% - Accent6 5 8" xfId="41461"/>
    <cellStyle name="40% - Accent6 5 9" xfId="41695"/>
    <cellStyle name="40% - Accent6 6" xfId="440"/>
    <cellStyle name="40% - Accent6 6 2" xfId="22527"/>
    <cellStyle name="40% - Accent6 6 3" xfId="22817"/>
    <cellStyle name="40% - Accent6 6 4" xfId="41357"/>
    <cellStyle name="40% - Accent6 6 5" xfId="41711"/>
    <cellStyle name="40% - Accent6 6 6" xfId="22145"/>
    <cellStyle name="40% - Accent6 7" xfId="22167"/>
    <cellStyle name="40% - Accent6 7 2" xfId="22543"/>
    <cellStyle name="40% - Accent6 7 3" xfId="41526"/>
    <cellStyle name="40% - Accent6 7 4" xfId="41727"/>
    <cellStyle name="40% - Accent6 8" xfId="22191"/>
    <cellStyle name="40% - Accent6 8 2" xfId="22559"/>
    <cellStyle name="40% - Accent6 8 3" xfId="41389"/>
    <cellStyle name="40% - Accent6 8 4" xfId="41743"/>
    <cellStyle name="40% - Accent6 9" xfId="22231"/>
    <cellStyle name="40% - Accent6 9 2" xfId="22575"/>
    <cellStyle name="40% - Accent6 9 3" xfId="41334"/>
    <cellStyle name="40% - Accent6 9 4" xfId="41759"/>
    <cellStyle name="60% - Accent1" xfId="21663" builtinId="32" customBuiltin="1"/>
    <cellStyle name="60% - Accent1 2" xfId="441"/>
    <cellStyle name="60% - Accent1 3" xfId="442"/>
    <cellStyle name="60% - Accent1 4" xfId="443"/>
    <cellStyle name="60% - Accent1 5" xfId="444"/>
    <cellStyle name="60% - Accent1 6" xfId="445"/>
    <cellStyle name="60% - Accent2" xfId="21667" builtinId="36" customBuiltin="1"/>
    <cellStyle name="60% - Accent2 2" xfId="446"/>
    <cellStyle name="60% - Accent2 3" xfId="447"/>
    <cellStyle name="60% - Accent2 4" xfId="448"/>
    <cellStyle name="60% - Accent2 5" xfId="449"/>
    <cellStyle name="60% - Accent3" xfId="21671" builtinId="40" customBuiltin="1"/>
    <cellStyle name="60% - Accent3 2" xfId="450"/>
    <cellStyle name="60% - Accent3 3" xfId="451"/>
    <cellStyle name="60% - Accent3 4" xfId="452"/>
    <cellStyle name="60% - Accent3 5" xfId="453"/>
    <cellStyle name="60% - Accent3 6" xfId="454"/>
    <cellStyle name="60% - Accent4" xfId="21675" builtinId="44" customBuiltin="1"/>
    <cellStyle name="60% - Accent4 2" xfId="455"/>
    <cellStyle name="60% - Accent4 3" xfId="456"/>
    <cellStyle name="60% - Accent4 4" xfId="457"/>
    <cellStyle name="60% - Accent4 5" xfId="458"/>
    <cellStyle name="60% - Accent4 6" xfId="459"/>
    <cellStyle name="60% - Accent5" xfId="21679" builtinId="48" customBuiltin="1"/>
    <cellStyle name="60% - Accent5 2" xfId="460"/>
    <cellStyle name="60% - Accent5 3" xfId="461"/>
    <cellStyle name="60% - Accent5 4" xfId="462"/>
    <cellStyle name="60% - Accent5 5" xfId="463"/>
    <cellStyle name="60% - Accent6" xfId="21683" builtinId="52" customBuiltin="1"/>
    <cellStyle name="60% - Accent6 2" xfId="464"/>
    <cellStyle name="60% - Accent6 3" xfId="465"/>
    <cellStyle name="60% - Accent6 4" xfId="466"/>
    <cellStyle name="60% - Accent6 5" xfId="467"/>
    <cellStyle name="60% - Accent6 6" xfId="468"/>
    <cellStyle name="Accent1" xfId="21660" builtinId="29" customBuiltin="1"/>
    <cellStyle name="Accent1 2" xfId="469"/>
    <cellStyle name="Accent1 3" xfId="470"/>
    <cellStyle name="Accent1 4" xfId="471"/>
    <cellStyle name="Accent1 5" xfId="472"/>
    <cellStyle name="Accent1 6" xfId="473"/>
    <cellStyle name="Accent2" xfId="21664" builtinId="33" customBuiltin="1"/>
    <cellStyle name="Accent2 2" xfId="474"/>
    <cellStyle name="Accent2 3" xfId="475"/>
    <cellStyle name="Accent2 4" xfId="476"/>
    <cellStyle name="Accent2 5" xfId="477"/>
    <cellStyle name="Accent2 6" xfId="478"/>
    <cellStyle name="Accent3" xfId="21668" builtinId="37" customBuiltin="1"/>
    <cellStyle name="Accent3 2" xfId="479"/>
    <cellStyle name="Accent3 3" xfId="480"/>
    <cellStyle name="Accent3 4" xfId="481"/>
    <cellStyle name="Accent3 5" xfId="482"/>
    <cellStyle name="Accent3 6" xfId="483"/>
    <cellStyle name="Accent4" xfId="21672" builtinId="41" customBuiltin="1"/>
    <cellStyle name="Accent4 2" xfId="484"/>
    <cellStyle name="Accent4 3" xfId="485"/>
    <cellStyle name="Accent4 4" xfId="486"/>
    <cellStyle name="Accent4 5" xfId="487"/>
    <cellStyle name="Accent4 6" xfId="488"/>
    <cellStyle name="Accent5" xfId="21676" builtinId="45" customBuiltin="1"/>
    <cellStyle name="Accent5 2" xfId="489"/>
    <cellStyle name="Accent5 3" xfId="490"/>
    <cellStyle name="Accent5 4" xfId="491"/>
    <cellStyle name="Accent5 5" xfId="492"/>
    <cellStyle name="Accent6" xfId="21680" builtinId="49" customBuiltin="1"/>
    <cellStyle name="Accent6 2" xfId="493"/>
    <cellStyle name="Accent6 3" xfId="494"/>
    <cellStyle name="Accent6 4" xfId="495"/>
    <cellStyle name="Accent6 5" xfId="496"/>
    <cellStyle name="alarm" xfId="497"/>
    <cellStyle name="assumption" xfId="498"/>
    <cellStyle name="assumption 2" xfId="499"/>
    <cellStyle name="Bad" xfId="21650" builtinId="27" customBuiltin="1"/>
    <cellStyle name="Bad 2" xfId="500"/>
    <cellStyle name="Bad 3" xfId="501"/>
    <cellStyle name="Bad 4" xfId="502"/>
    <cellStyle name="Bad 5" xfId="503"/>
    <cellStyle name="Bad 6" xfId="504"/>
    <cellStyle name="Blank" xfId="505"/>
    <cellStyle name="Calculation" xfId="21654" builtinId="22" customBuiltin="1"/>
    <cellStyle name="Calculation 2" xfId="506"/>
    <cellStyle name="Calculation 3" xfId="507"/>
    <cellStyle name="Calculation 4" xfId="508"/>
    <cellStyle name="Calculation 5" xfId="509"/>
    <cellStyle name="Calculation 6" xfId="510"/>
    <cellStyle name="Calculation 6 2" xfId="4578"/>
    <cellStyle name="Calculation 6 2 2" xfId="6200"/>
    <cellStyle name="Calculation 6 3" xfId="4620"/>
    <cellStyle name="Calculation 6 3 2" xfId="5332"/>
    <cellStyle name="Calculation 6 4" xfId="4591"/>
    <cellStyle name="Calculation 6 4 2" xfId="5269"/>
    <cellStyle name="Calculation 6 5" xfId="4572"/>
    <cellStyle name="Calculation 6 5 2" xfId="5266"/>
    <cellStyle name="Calculation 6 6" xfId="6203"/>
    <cellStyle name="Centered Heading" xfId="511"/>
    <cellStyle name="Centered Heading 2" xfId="512"/>
    <cellStyle name="Centered Heading 3" xfId="513"/>
    <cellStyle name="Check Cell" xfId="21656" builtinId="23" customBuiltin="1"/>
    <cellStyle name="Check Cell 2" xfId="514"/>
    <cellStyle name="Check Cell 3" xfId="515"/>
    <cellStyle name="Check Cell 4" xfId="516"/>
    <cellStyle name="Check Cell 5" xfId="517"/>
    <cellStyle name="Column Header" xfId="518"/>
    <cellStyle name="ColumnAttributeAbovePrompt" xfId="232"/>
    <cellStyle name="ColumnAttributePrompt" xfId="233"/>
    <cellStyle name="ColumnAttributeValue" xfId="234"/>
    <cellStyle name="ColumnHeadingPrompt" xfId="235"/>
    <cellStyle name="ColumnHeadingValue" xfId="236"/>
    <cellStyle name="Comma" xfId="14" builtinId="3"/>
    <cellStyle name="Comma [0] 2" xfId="22"/>
    <cellStyle name="Comma [0] 2 2" xfId="3692"/>
    <cellStyle name="Comma [0] 2 3" xfId="379"/>
    <cellStyle name="Comma [0] 3" xfId="237"/>
    <cellStyle name="Comma [0] 4" xfId="348"/>
    <cellStyle name="Comma [0] 5" xfId="3689"/>
    <cellStyle name="Comma [0] 6" xfId="3797"/>
    <cellStyle name="Comma [0] 7" xfId="6210"/>
    <cellStyle name="Comma [0] 8" xfId="9338"/>
    <cellStyle name="Comma [0] 9" xfId="224"/>
    <cellStyle name="Comma 0" xfId="519"/>
    <cellStyle name="Comma 0.0" xfId="520"/>
    <cellStyle name="Comma 0.00" xfId="521"/>
    <cellStyle name="Comma 0.000" xfId="522"/>
    <cellStyle name="Comma 10" xfId="96"/>
    <cellStyle name="Comma 10 2" xfId="524"/>
    <cellStyle name="Comma 10 2 2" xfId="525"/>
    <cellStyle name="Comma 10 2 3" xfId="526"/>
    <cellStyle name="Comma 10 2 4" xfId="22818"/>
    <cellStyle name="Comma 10 2 5" xfId="22397"/>
    <cellStyle name="Comma 10 3" xfId="527"/>
    <cellStyle name="Comma 10 4" xfId="3778"/>
    <cellStyle name="Comma 10 5" xfId="523"/>
    <cellStyle name="Comma 10 6" xfId="359"/>
    <cellStyle name="Comma 10 7" xfId="41436"/>
    <cellStyle name="Comma 10 8" xfId="41581"/>
    <cellStyle name="Comma 10 9" xfId="21783"/>
    <cellStyle name="Comma 100" xfId="528"/>
    <cellStyle name="Comma 101" xfId="529"/>
    <cellStyle name="Comma 102" xfId="530"/>
    <cellStyle name="Comma 103" xfId="531"/>
    <cellStyle name="Comma 104" xfId="532"/>
    <cellStyle name="Comma 105" xfId="533"/>
    <cellStyle name="Comma 106" xfId="534"/>
    <cellStyle name="Comma 107" xfId="535"/>
    <cellStyle name="Comma 108" xfId="536"/>
    <cellStyle name="Comma 109" xfId="537"/>
    <cellStyle name="Comma 11" xfId="124"/>
    <cellStyle name="Comma 11 10" xfId="21785"/>
    <cellStyle name="Comma 11 2" xfId="539"/>
    <cellStyle name="Comma 11 2 2" xfId="22819"/>
    <cellStyle name="Comma 11 2 3" xfId="22399"/>
    <cellStyle name="Comma 11 3" xfId="540"/>
    <cellStyle name="Comma 11 3 2" xfId="541"/>
    <cellStyle name="Comma 11 3 3" xfId="542"/>
    <cellStyle name="Comma 11 4" xfId="543"/>
    <cellStyle name="Comma 11 5" xfId="3774"/>
    <cellStyle name="Comma 11 6" xfId="538"/>
    <cellStyle name="Comma 11 7" xfId="355"/>
    <cellStyle name="Comma 11 8" xfId="41554"/>
    <cellStyle name="Comma 11 9" xfId="41583"/>
    <cellStyle name="Comma 110" xfId="544"/>
    <cellStyle name="Comma 111" xfId="545"/>
    <cellStyle name="Comma 112" xfId="546"/>
    <cellStyle name="Comma 113" xfId="547"/>
    <cellStyle name="Comma 114" xfId="548"/>
    <cellStyle name="Comma 115" xfId="549"/>
    <cellStyle name="Comma 116" xfId="550"/>
    <cellStyle name="Comma 117" xfId="551"/>
    <cellStyle name="Comma 118" xfId="552"/>
    <cellStyle name="Comma 119" xfId="553"/>
    <cellStyle name="Comma 12" xfId="90"/>
    <cellStyle name="Comma 12 2" xfId="554"/>
    <cellStyle name="Comma 12 2 2" xfId="555"/>
    <cellStyle name="Comma 12 2 3" xfId="556"/>
    <cellStyle name="Comma 12 2 4" xfId="22821"/>
    <cellStyle name="Comma 12 2 5" xfId="22401"/>
    <cellStyle name="Comma 12 3" xfId="557"/>
    <cellStyle name="Comma 12 4" xfId="22820"/>
    <cellStyle name="Comma 12 5" xfId="41487"/>
    <cellStyle name="Comma 12 6" xfId="41585"/>
    <cellStyle name="Comma 12 7" xfId="21787"/>
    <cellStyle name="Comma 120" xfId="558"/>
    <cellStyle name="Comma 121" xfId="559"/>
    <cellStyle name="Comma 122" xfId="560"/>
    <cellStyle name="Comma 123" xfId="561"/>
    <cellStyle name="Comma 124" xfId="562"/>
    <cellStyle name="Comma 125" xfId="563"/>
    <cellStyle name="Comma 126" xfId="564"/>
    <cellStyle name="Comma 127" xfId="565"/>
    <cellStyle name="Comma 128" xfId="566"/>
    <cellStyle name="Comma 129" xfId="567"/>
    <cellStyle name="Comma 13" xfId="95"/>
    <cellStyle name="Comma 13 2" xfId="568"/>
    <cellStyle name="Comma 13 2 2" xfId="569"/>
    <cellStyle name="Comma 13 2 3" xfId="570"/>
    <cellStyle name="Comma 13 2 4" xfId="22823"/>
    <cellStyle name="Comma 13 2 5" xfId="22402"/>
    <cellStyle name="Comma 13 3" xfId="22822"/>
    <cellStyle name="Comma 13 4" xfId="41482"/>
    <cellStyle name="Comma 13 5" xfId="41586"/>
    <cellStyle name="Comma 13 6" xfId="21788"/>
    <cellStyle name="Comma 130" xfId="571"/>
    <cellStyle name="Comma 131" xfId="572"/>
    <cellStyle name="Comma 132" xfId="573"/>
    <cellStyle name="Comma 133" xfId="574"/>
    <cellStyle name="Comma 134" xfId="575"/>
    <cellStyle name="Comma 135" xfId="576"/>
    <cellStyle name="Comma 136" xfId="577"/>
    <cellStyle name="Comma 137" xfId="578"/>
    <cellStyle name="Comma 138" xfId="579"/>
    <cellStyle name="Comma 139" xfId="580"/>
    <cellStyle name="Comma 14" xfId="85"/>
    <cellStyle name="Comma 14 2" xfId="22400"/>
    <cellStyle name="Comma 14 3" xfId="22824"/>
    <cellStyle name="Comma 14 4" xfId="41510"/>
    <cellStyle name="Comma 14 5" xfId="41584"/>
    <cellStyle name="Comma 14 6" xfId="21786"/>
    <cellStyle name="Comma 140" xfId="581"/>
    <cellStyle name="Comma 141" xfId="582"/>
    <cellStyle name="Comma 141 2" xfId="583"/>
    <cellStyle name="Comma 141 2 2" xfId="584"/>
    <cellStyle name="Comma 141 2 2 2" xfId="585"/>
    <cellStyle name="Comma 141 2 3" xfId="586"/>
    <cellStyle name="Comma 141 3" xfId="587"/>
    <cellStyle name="Comma 141 3 2" xfId="588"/>
    <cellStyle name="Comma 141 4" xfId="589"/>
    <cellStyle name="Comma 141 4 2" xfId="590"/>
    <cellStyle name="Comma 141 5" xfId="591"/>
    <cellStyle name="Comma 142" xfId="592"/>
    <cellStyle name="Comma 142 2" xfId="593"/>
    <cellStyle name="Comma 142 2 2" xfId="594"/>
    <cellStyle name="Comma 142 2 2 2" xfId="595"/>
    <cellStyle name="Comma 142 2 3" xfId="596"/>
    <cellStyle name="Comma 142 3" xfId="597"/>
    <cellStyle name="Comma 142 3 2" xfId="598"/>
    <cellStyle name="Comma 142 4" xfId="599"/>
    <cellStyle name="Comma 142 4 2" xfId="600"/>
    <cellStyle name="Comma 142 5" xfId="601"/>
    <cellStyle name="Comma 143" xfId="602"/>
    <cellStyle name="Comma 143 2" xfId="3875"/>
    <cellStyle name="Comma 143 2 2" xfId="5500"/>
    <cellStyle name="Comma 143 2 2 2" xfId="8586"/>
    <cellStyle name="Comma 143 2 2 2 2" xfId="14779"/>
    <cellStyle name="Comma 143 2 2 2 2 2" xfId="34457"/>
    <cellStyle name="Comma 143 2 2 2 3" xfId="20931"/>
    <cellStyle name="Comma 143 2 2 2 3 2" xfId="40609"/>
    <cellStyle name="Comma 143 2 2 2 4" xfId="28293"/>
    <cellStyle name="Comma 143 2 2 3" xfId="11713"/>
    <cellStyle name="Comma 143 2 2 3 2" xfId="31391"/>
    <cellStyle name="Comma 143 2 2 4" xfId="17865"/>
    <cellStyle name="Comma 143 2 2 4 2" xfId="37543"/>
    <cellStyle name="Comma 143 2 2 5" xfId="25227"/>
    <cellStyle name="Comma 143 2 3" xfId="7051"/>
    <cellStyle name="Comma 143 2 3 2" xfId="13245"/>
    <cellStyle name="Comma 143 2 3 2 2" xfId="32923"/>
    <cellStyle name="Comma 143 2 3 3" xfId="19397"/>
    <cellStyle name="Comma 143 2 3 3 2" xfId="39075"/>
    <cellStyle name="Comma 143 2 3 4" xfId="26759"/>
    <cellStyle name="Comma 143 2 4" xfId="10179"/>
    <cellStyle name="Comma 143 2 4 2" xfId="29857"/>
    <cellStyle name="Comma 143 2 5" xfId="16331"/>
    <cellStyle name="Comma 143 2 5 2" xfId="36009"/>
    <cellStyle name="Comma 143 2 6" xfId="23693"/>
    <cellStyle name="Comma 143 3" xfId="4714"/>
    <cellStyle name="Comma 143 3 2" xfId="7817"/>
    <cellStyle name="Comma 143 3 2 2" xfId="14010"/>
    <cellStyle name="Comma 143 3 2 2 2" xfId="33688"/>
    <cellStyle name="Comma 143 3 2 3" xfId="20162"/>
    <cellStyle name="Comma 143 3 2 3 2" xfId="39840"/>
    <cellStyle name="Comma 143 3 2 4" xfId="27524"/>
    <cellStyle name="Comma 143 3 3" xfId="10944"/>
    <cellStyle name="Comma 143 3 3 2" xfId="30622"/>
    <cellStyle name="Comma 143 3 4" xfId="17096"/>
    <cellStyle name="Comma 143 3 4 2" xfId="36774"/>
    <cellStyle name="Comma 143 3 5" xfId="24458"/>
    <cellStyle name="Comma 143 4" xfId="6282"/>
    <cellStyle name="Comma 143 4 2" xfId="12476"/>
    <cellStyle name="Comma 143 4 2 2" xfId="32154"/>
    <cellStyle name="Comma 143 4 3" xfId="18628"/>
    <cellStyle name="Comma 143 4 3 2" xfId="38306"/>
    <cellStyle name="Comma 143 4 4" xfId="25990"/>
    <cellStyle name="Comma 143 5" xfId="9410"/>
    <cellStyle name="Comma 143 5 2" xfId="29088"/>
    <cellStyle name="Comma 143 6" xfId="15562"/>
    <cellStyle name="Comma 143 6 2" xfId="35240"/>
    <cellStyle name="Comma 143 7" xfId="22825"/>
    <cellStyle name="Comma 144" xfId="603"/>
    <cellStyle name="Comma 144 2" xfId="3876"/>
    <cellStyle name="Comma 144 2 2" xfId="5501"/>
    <cellStyle name="Comma 144 2 2 2" xfId="8587"/>
    <cellStyle name="Comma 144 2 2 2 2" xfId="14780"/>
    <cellStyle name="Comma 144 2 2 2 2 2" xfId="34458"/>
    <cellStyle name="Comma 144 2 2 2 3" xfId="20932"/>
    <cellStyle name="Comma 144 2 2 2 3 2" xfId="40610"/>
    <cellStyle name="Comma 144 2 2 2 4" xfId="28294"/>
    <cellStyle name="Comma 144 2 2 3" xfId="11714"/>
    <cellStyle name="Comma 144 2 2 3 2" xfId="31392"/>
    <cellStyle name="Comma 144 2 2 4" xfId="17866"/>
    <cellStyle name="Comma 144 2 2 4 2" xfId="37544"/>
    <cellStyle name="Comma 144 2 2 5" xfId="25228"/>
    <cellStyle name="Comma 144 2 3" xfId="7052"/>
    <cellStyle name="Comma 144 2 3 2" xfId="13246"/>
    <cellStyle name="Comma 144 2 3 2 2" xfId="32924"/>
    <cellStyle name="Comma 144 2 3 3" xfId="19398"/>
    <cellStyle name="Comma 144 2 3 3 2" xfId="39076"/>
    <cellStyle name="Comma 144 2 3 4" xfId="26760"/>
    <cellStyle name="Comma 144 2 4" xfId="10180"/>
    <cellStyle name="Comma 144 2 4 2" xfId="29858"/>
    <cellStyle name="Comma 144 2 5" xfId="16332"/>
    <cellStyle name="Comma 144 2 5 2" xfId="36010"/>
    <cellStyle name="Comma 144 2 6" xfId="23694"/>
    <cellStyle name="Comma 144 3" xfId="4715"/>
    <cellStyle name="Comma 144 3 2" xfId="7818"/>
    <cellStyle name="Comma 144 3 2 2" xfId="14011"/>
    <cellStyle name="Comma 144 3 2 2 2" xfId="33689"/>
    <cellStyle name="Comma 144 3 2 3" xfId="20163"/>
    <cellStyle name="Comma 144 3 2 3 2" xfId="39841"/>
    <cellStyle name="Comma 144 3 2 4" xfId="27525"/>
    <cellStyle name="Comma 144 3 3" xfId="10945"/>
    <cellStyle name="Comma 144 3 3 2" xfId="30623"/>
    <cellStyle name="Comma 144 3 4" xfId="17097"/>
    <cellStyle name="Comma 144 3 4 2" xfId="36775"/>
    <cellStyle name="Comma 144 3 5" xfId="24459"/>
    <cellStyle name="Comma 144 4" xfId="6283"/>
    <cellStyle name="Comma 144 4 2" xfId="12477"/>
    <cellStyle name="Comma 144 4 2 2" xfId="32155"/>
    <cellStyle name="Comma 144 4 3" xfId="18629"/>
    <cellStyle name="Comma 144 4 3 2" xfId="38307"/>
    <cellStyle name="Comma 144 4 4" xfId="25991"/>
    <cellStyle name="Comma 144 5" xfId="9411"/>
    <cellStyle name="Comma 144 5 2" xfId="29089"/>
    <cellStyle name="Comma 144 6" xfId="15563"/>
    <cellStyle name="Comma 144 6 2" xfId="35241"/>
    <cellStyle name="Comma 144 7" xfId="22826"/>
    <cellStyle name="Comma 145" xfId="604"/>
    <cellStyle name="Comma 145 2" xfId="3877"/>
    <cellStyle name="Comma 145 2 2" xfId="5502"/>
    <cellStyle name="Comma 145 2 2 2" xfId="8588"/>
    <cellStyle name="Comma 145 2 2 2 2" xfId="14781"/>
    <cellStyle name="Comma 145 2 2 2 2 2" xfId="34459"/>
    <cellStyle name="Comma 145 2 2 2 3" xfId="20933"/>
    <cellStyle name="Comma 145 2 2 2 3 2" xfId="40611"/>
    <cellStyle name="Comma 145 2 2 2 4" xfId="28295"/>
    <cellStyle name="Comma 145 2 2 3" xfId="11715"/>
    <cellStyle name="Comma 145 2 2 3 2" xfId="31393"/>
    <cellStyle name="Comma 145 2 2 4" xfId="17867"/>
    <cellStyle name="Comma 145 2 2 4 2" xfId="37545"/>
    <cellStyle name="Comma 145 2 2 5" xfId="25229"/>
    <cellStyle name="Comma 145 2 3" xfId="7053"/>
    <cellStyle name="Comma 145 2 3 2" xfId="13247"/>
    <cellStyle name="Comma 145 2 3 2 2" xfId="32925"/>
    <cellStyle name="Comma 145 2 3 3" xfId="19399"/>
    <cellStyle name="Comma 145 2 3 3 2" xfId="39077"/>
    <cellStyle name="Comma 145 2 3 4" xfId="26761"/>
    <cellStyle name="Comma 145 2 4" xfId="10181"/>
    <cellStyle name="Comma 145 2 4 2" xfId="29859"/>
    <cellStyle name="Comma 145 2 5" xfId="16333"/>
    <cellStyle name="Comma 145 2 5 2" xfId="36011"/>
    <cellStyle name="Comma 145 2 6" xfId="23695"/>
    <cellStyle name="Comma 145 3" xfId="4716"/>
    <cellStyle name="Comma 145 3 2" xfId="7819"/>
    <cellStyle name="Comma 145 3 2 2" xfId="14012"/>
    <cellStyle name="Comma 145 3 2 2 2" xfId="33690"/>
    <cellStyle name="Comma 145 3 2 3" xfId="20164"/>
    <cellStyle name="Comma 145 3 2 3 2" xfId="39842"/>
    <cellStyle name="Comma 145 3 2 4" xfId="27526"/>
    <cellStyle name="Comma 145 3 3" xfId="10946"/>
    <cellStyle name="Comma 145 3 3 2" xfId="30624"/>
    <cellStyle name="Comma 145 3 4" xfId="17098"/>
    <cellStyle name="Comma 145 3 4 2" xfId="36776"/>
    <cellStyle name="Comma 145 3 5" xfId="24460"/>
    <cellStyle name="Comma 145 4" xfId="6284"/>
    <cellStyle name="Comma 145 4 2" xfId="12478"/>
    <cellStyle name="Comma 145 4 2 2" xfId="32156"/>
    <cellStyle name="Comma 145 4 3" xfId="18630"/>
    <cellStyle name="Comma 145 4 3 2" xfId="38308"/>
    <cellStyle name="Comma 145 4 4" xfId="25992"/>
    <cellStyle name="Comma 145 5" xfId="9412"/>
    <cellStyle name="Comma 145 5 2" xfId="29090"/>
    <cellStyle name="Comma 145 6" xfId="15564"/>
    <cellStyle name="Comma 145 6 2" xfId="35242"/>
    <cellStyle name="Comma 145 7" xfId="22827"/>
    <cellStyle name="Comma 146" xfId="605"/>
    <cellStyle name="Comma 146 2" xfId="3878"/>
    <cellStyle name="Comma 146 2 2" xfId="5503"/>
    <cellStyle name="Comma 146 2 2 2" xfId="8589"/>
    <cellStyle name="Comma 146 2 2 2 2" xfId="14782"/>
    <cellStyle name="Comma 146 2 2 2 2 2" xfId="34460"/>
    <cellStyle name="Comma 146 2 2 2 3" xfId="20934"/>
    <cellStyle name="Comma 146 2 2 2 3 2" xfId="40612"/>
    <cellStyle name="Comma 146 2 2 2 4" xfId="28296"/>
    <cellStyle name="Comma 146 2 2 3" xfId="11716"/>
    <cellStyle name="Comma 146 2 2 3 2" xfId="31394"/>
    <cellStyle name="Comma 146 2 2 4" xfId="17868"/>
    <cellStyle name="Comma 146 2 2 4 2" xfId="37546"/>
    <cellStyle name="Comma 146 2 2 5" xfId="25230"/>
    <cellStyle name="Comma 146 2 3" xfId="7054"/>
    <cellStyle name="Comma 146 2 3 2" xfId="13248"/>
    <cellStyle name="Comma 146 2 3 2 2" xfId="32926"/>
    <cellStyle name="Comma 146 2 3 3" xfId="19400"/>
    <cellStyle name="Comma 146 2 3 3 2" xfId="39078"/>
    <cellStyle name="Comma 146 2 3 4" xfId="26762"/>
    <cellStyle name="Comma 146 2 4" xfId="10182"/>
    <cellStyle name="Comma 146 2 4 2" xfId="29860"/>
    <cellStyle name="Comma 146 2 5" xfId="16334"/>
    <cellStyle name="Comma 146 2 5 2" xfId="36012"/>
    <cellStyle name="Comma 146 2 6" xfId="23696"/>
    <cellStyle name="Comma 146 3" xfId="4717"/>
    <cellStyle name="Comma 146 3 2" xfId="7820"/>
    <cellStyle name="Comma 146 3 2 2" xfId="14013"/>
    <cellStyle name="Comma 146 3 2 2 2" xfId="33691"/>
    <cellStyle name="Comma 146 3 2 3" xfId="20165"/>
    <cellStyle name="Comma 146 3 2 3 2" xfId="39843"/>
    <cellStyle name="Comma 146 3 2 4" xfId="27527"/>
    <cellStyle name="Comma 146 3 3" xfId="10947"/>
    <cellStyle name="Comma 146 3 3 2" xfId="30625"/>
    <cellStyle name="Comma 146 3 4" xfId="17099"/>
    <cellStyle name="Comma 146 3 4 2" xfId="36777"/>
    <cellStyle name="Comma 146 3 5" xfId="24461"/>
    <cellStyle name="Comma 146 4" xfId="6285"/>
    <cellStyle name="Comma 146 4 2" xfId="12479"/>
    <cellStyle name="Comma 146 4 2 2" xfId="32157"/>
    <cellStyle name="Comma 146 4 3" xfId="18631"/>
    <cellStyle name="Comma 146 4 3 2" xfId="38309"/>
    <cellStyle name="Comma 146 4 4" xfId="25993"/>
    <cellStyle name="Comma 146 5" xfId="9413"/>
    <cellStyle name="Comma 146 5 2" xfId="29091"/>
    <cellStyle name="Comma 146 6" xfId="15565"/>
    <cellStyle name="Comma 146 6 2" xfId="35243"/>
    <cellStyle name="Comma 146 7" xfId="22828"/>
    <cellStyle name="Comma 147" xfId="606"/>
    <cellStyle name="Comma 147 2" xfId="3879"/>
    <cellStyle name="Comma 147 2 2" xfId="5504"/>
    <cellStyle name="Comma 147 2 2 2" xfId="8590"/>
    <cellStyle name="Comma 147 2 2 2 2" xfId="14783"/>
    <cellStyle name="Comma 147 2 2 2 2 2" xfId="34461"/>
    <cellStyle name="Comma 147 2 2 2 3" xfId="20935"/>
    <cellStyle name="Comma 147 2 2 2 3 2" xfId="40613"/>
    <cellStyle name="Comma 147 2 2 2 4" xfId="28297"/>
    <cellStyle name="Comma 147 2 2 3" xfId="11717"/>
    <cellStyle name="Comma 147 2 2 3 2" xfId="31395"/>
    <cellStyle name="Comma 147 2 2 4" xfId="17869"/>
    <cellStyle name="Comma 147 2 2 4 2" xfId="37547"/>
    <cellStyle name="Comma 147 2 2 5" xfId="25231"/>
    <cellStyle name="Comma 147 2 3" xfId="7055"/>
    <cellStyle name="Comma 147 2 3 2" xfId="13249"/>
    <cellStyle name="Comma 147 2 3 2 2" xfId="32927"/>
    <cellStyle name="Comma 147 2 3 3" xfId="19401"/>
    <cellStyle name="Comma 147 2 3 3 2" xfId="39079"/>
    <cellStyle name="Comma 147 2 3 4" xfId="26763"/>
    <cellStyle name="Comma 147 2 4" xfId="10183"/>
    <cellStyle name="Comma 147 2 4 2" xfId="29861"/>
    <cellStyle name="Comma 147 2 5" xfId="16335"/>
    <cellStyle name="Comma 147 2 5 2" xfId="36013"/>
    <cellStyle name="Comma 147 2 6" xfId="23697"/>
    <cellStyle name="Comma 147 3" xfId="4718"/>
    <cellStyle name="Comma 147 3 2" xfId="7821"/>
    <cellStyle name="Comma 147 3 2 2" xfId="14014"/>
    <cellStyle name="Comma 147 3 2 2 2" xfId="33692"/>
    <cellStyle name="Comma 147 3 2 3" xfId="20166"/>
    <cellStyle name="Comma 147 3 2 3 2" xfId="39844"/>
    <cellStyle name="Comma 147 3 2 4" xfId="27528"/>
    <cellStyle name="Comma 147 3 3" xfId="10948"/>
    <cellStyle name="Comma 147 3 3 2" xfId="30626"/>
    <cellStyle name="Comma 147 3 4" xfId="17100"/>
    <cellStyle name="Comma 147 3 4 2" xfId="36778"/>
    <cellStyle name="Comma 147 3 5" xfId="24462"/>
    <cellStyle name="Comma 147 4" xfId="6286"/>
    <cellStyle name="Comma 147 4 2" xfId="12480"/>
    <cellStyle name="Comma 147 4 2 2" xfId="32158"/>
    <cellStyle name="Comma 147 4 3" xfId="18632"/>
    <cellStyle name="Comma 147 4 3 2" xfId="38310"/>
    <cellStyle name="Comma 147 4 4" xfId="25994"/>
    <cellStyle name="Comma 147 5" xfId="9414"/>
    <cellStyle name="Comma 147 5 2" xfId="29092"/>
    <cellStyle name="Comma 147 6" xfId="15566"/>
    <cellStyle name="Comma 147 6 2" xfId="35244"/>
    <cellStyle name="Comma 147 7" xfId="22829"/>
    <cellStyle name="Comma 148" xfId="607"/>
    <cellStyle name="Comma 148 2" xfId="3880"/>
    <cellStyle name="Comma 148 2 2" xfId="5505"/>
    <cellStyle name="Comma 148 2 2 2" xfId="8591"/>
    <cellStyle name="Comma 148 2 2 2 2" xfId="14784"/>
    <cellStyle name="Comma 148 2 2 2 2 2" xfId="34462"/>
    <cellStyle name="Comma 148 2 2 2 3" xfId="20936"/>
    <cellStyle name="Comma 148 2 2 2 3 2" xfId="40614"/>
    <cellStyle name="Comma 148 2 2 2 4" xfId="28298"/>
    <cellStyle name="Comma 148 2 2 3" xfId="11718"/>
    <cellStyle name="Comma 148 2 2 3 2" xfId="31396"/>
    <cellStyle name="Comma 148 2 2 4" xfId="17870"/>
    <cellStyle name="Comma 148 2 2 4 2" xfId="37548"/>
    <cellStyle name="Comma 148 2 2 5" xfId="25232"/>
    <cellStyle name="Comma 148 2 3" xfId="7056"/>
    <cellStyle name="Comma 148 2 3 2" xfId="13250"/>
    <cellStyle name="Comma 148 2 3 2 2" xfId="32928"/>
    <cellStyle name="Comma 148 2 3 3" xfId="19402"/>
    <cellStyle name="Comma 148 2 3 3 2" xfId="39080"/>
    <cellStyle name="Comma 148 2 3 4" xfId="26764"/>
    <cellStyle name="Comma 148 2 4" xfId="10184"/>
    <cellStyle name="Comma 148 2 4 2" xfId="29862"/>
    <cellStyle name="Comma 148 2 5" xfId="16336"/>
    <cellStyle name="Comma 148 2 5 2" xfId="36014"/>
    <cellStyle name="Comma 148 2 6" xfId="23698"/>
    <cellStyle name="Comma 148 3" xfId="4719"/>
    <cellStyle name="Comma 148 3 2" xfId="7822"/>
    <cellStyle name="Comma 148 3 2 2" xfId="14015"/>
    <cellStyle name="Comma 148 3 2 2 2" xfId="33693"/>
    <cellStyle name="Comma 148 3 2 3" xfId="20167"/>
    <cellStyle name="Comma 148 3 2 3 2" xfId="39845"/>
    <cellStyle name="Comma 148 3 2 4" xfId="27529"/>
    <cellStyle name="Comma 148 3 3" xfId="10949"/>
    <cellStyle name="Comma 148 3 3 2" xfId="30627"/>
    <cellStyle name="Comma 148 3 4" xfId="17101"/>
    <cellStyle name="Comma 148 3 4 2" xfId="36779"/>
    <cellStyle name="Comma 148 3 5" xfId="24463"/>
    <cellStyle name="Comma 148 4" xfId="6287"/>
    <cellStyle name="Comma 148 4 2" xfId="12481"/>
    <cellStyle name="Comma 148 4 2 2" xfId="32159"/>
    <cellStyle name="Comma 148 4 3" xfId="18633"/>
    <cellStyle name="Comma 148 4 3 2" xfId="38311"/>
    <cellStyle name="Comma 148 4 4" xfId="25995"/>
    <cellStyle name="Comma 148 5" xfId="9415"/>
    <cellStyle name="Comma 148 5 2" xfId="29093"/>
    <cellStyle name="Comma 148 6" xfId="15567"/>
    <cellStyle name="Comma 148 6 2" xfId="35245"/>
    <cellStyle name="Comma 148 7" xfId="22830"/>
    <cellStyle name="Comma 149" xfId="608"/>
    <cellStyle name="Comma 149 2" xfId="3881"/>
    <cellStyle name="Comma 149 2 2" xfId="5506"/>
    <cellStyle name="Comma 149 2 2 2" xfId="8592"/>
    <cellStyle name="Comma 149 2 2 2 2" xfId="14785"/>
    <cellStyle name="Comma 149 2 2 2 2 2" xfId="34463"/>
    <cellStyle name="Comma 149 2 2 2 3" xfId="20937"/>
    <cellStyle name="Comma 149 2 2 2 3 2" xfId="40615"/>
    <cellStyle name="Comma 149 2 2 2 4" xfId="28299"/>
    <cellStyle name="Comma 149 2 2 3" xfId="11719"/>
    <cellStyle name="Comma 149 2 2 3 2" xfId="31397"/>
    <cellStyle name="Comma 149 2 2 4" xfId="17871"/>
    <cellStyle name="Comma 149 2 2 4 2" xfId="37549"/>
    <cellStyle name="Comma 149 2 2 5" xfId="25233"/>
    <cellStyle name="Comma 149 2 3" xfId="7057"/>
    <cellStyle name="Comma 149 2 3 2" xfId="13251"/>
    <cellStyle name="Comma 149 2 3 2 2" xfId="32929"/>
    <cellStyle name="Comma 149 2 3 3" xfId="19403"/>
    <cellStyle name="Comma 149 2 3 3 2" xfId="39081"/>
    <cellStyle name="Comma 149 2 3 4" xfId="26765"/>
    <cellStyle name="Comma 149 2 4" xfId="10185"/>
    <cellStyle name="Comma 149 2 4 2" xfId="29863"/>
    <cellStyle name="Comma 149 2 5" xfId="16337"/>
    <cellStyle name="Comma 149 2 5 2" xfId="36015"/>
    <cellStyle name="Comma 149 2 6" xfId="23699"/>
    <cellStyle name="Comma 149 3" xfId="4720"/>
    <cellStyle name="Comma 149 3 2" xfId="7823"/>
    <cellStyle name="Comma 149 3 2 2" xfId="14016"/>
    <cellStyle name="Comma 149 3 2 2 2" xfId="33694"/>
    <cellStyle name="Comma 149 3 2 3" xfId="20168"/>
    <cellStyle name="Comma 149 3 2 3 2" xfId="39846"/>
    <cellStyle name="Comma 149 3 2 4" xfId="27530"/>
    <cellStyle name="Comma 149 3 3" xfId="10950"/>
    <cellStyle name="Comma 149 3 3 2" xfId="30628"/>
    <cellStyle name="Comma 149 3 4" xfId="17102"/>
    <cellStyle name="Comma 149 3 4 2" xfId="36780"/>
    <cellStyle name="Comma 149 3 5" xfId="24464"/>
    <cellStyle name="Comma 149 4" xfId="6288"/>
    <cellStyle name="Comma 149 4 2" xfId="12482"/>
    <cellStyle name="Comma 149 4 2 2" xfId="32160"/>
    <cellStyle name="Comma 149 4 3" xfId="18634"/>
    <cellStyle name="Comma 149 4 3 2" xfId="38312"/>
    <cellStyle name="Comma 149 4 4" xfId="25996"/>
    <cellStyle name="Comma 149 5" xfId="9416"/>
    <cellStyle name="Comma 149 5 2" xfId="29094"/>
    <cellStyle name="Comma 149 6" xfId="15568"/>
    <cellStyle name="Comma 149 6 2" xfId="35246"/>
    <cellStyle name="Comma 149 7" xfId="22831"/>
    <cellStyle name="Comma 15" xfId="125"/>
    <cellStyle name="Comma 15 2" xfId="609"/>
    <cellStyle name="Comma 15 2 2" xfId="22833"/>
    <cellStyle name="Comma 15 2 3" xfId="22403"/>
    <cellStyle name="Comma 15 3" xfId="22832"/>
    <cellStyle name="Comma 15 4" xfId="41362"/>
    <cellStyle name="Comma 15 5" xfId="41587"/>
    <cellStyle name="Comma 15 6" xfId="21789"/>
    <cellStyle name="Comma 150" xfId="610"/>
    <cellStyle name="Comma 150 2" xfId="3882"/>
    <cellStyle name="Comma 150 2 2" xfId="5507"/>
    <cellStyle name="Comma 150 2 2 2" xfId="8593"/>
    <cellStyle name="Comma 150 2 2 2 2" xfId="14786"/>
    <cellStyle name="Comma 150 2 2 2 2 2" xfId="34464"/>
    <cellStyle name="Comma 150 2 2 2 3" xfId="20938"/>
    <cellStyle name="Comma 150 2 2 2 3 2" xfId="40616"/>
    <cellStyle name="Comma 150 2 2 2 4" xfId="28300"/>
    <cellStyle name="Comma 150 2 2 3" xfId="11720"/>
    <cellStyle name="Comma 150 2 2 3 2" xfId="31398"/>
    <cellStyle name="Comma 150 2 2 4" xfId="17872"/>
    <cellStyle name="Comma 150 2 2 4 2" xfId="37550"/>
    <cellStyle name="Comma 150 2 2 5" xfId="25234"/>
    <cellStyle name="Comma 150 2 3" xfId="7058"/>
    <cellStyle name="Comma 150 2 3 2" xfId="13252"/>
    <cellStyle name="Comma 150 2 3 2 2" xfId="32930"/>
    <cellStyle name="Comma 150 2 3 3" xfId="19404"/>
    <cellStyle name="Comma 150 2 3 3 2" xfId="39082"/>
    <cellStyle name="Comma 150 2 3 4" xfId="26766"/>
    <cellStyle name="Comma 150 2 4" xfId="10186"/>
    <cellStyle name="Comma 150 2 4 2" xfId="29864"/>
    <cellStyle name="Comma 150 2 5" xfId="16338"/>
    <cellStyle name="Comma 150 2 5 2" xfId="36016"/>
    <cellStyle name="Comma 150 2 6" xfId="23700"/>
    <cellStyle name="Comma 150 3" xfId="4721"/>
    <cellStyle name="Comma 150 3 2" xfId="7824"/>
    <cellStyle name="Comma 150 3 2 2" xfId="14017"/>
    <cellStyle name="Comma 150 3 2 2 2" xfId="33695"/>
    <cellStyle name="Comma 150 3 2 3" xfId="20169"/>
    <cellStyle name="Comma 150 3 2 3 2" xfId="39847"/>
    <cellStyle name="Comma 150 3 2 4" xfId="27531"/>
    <cellStyle name="Comma 150 3 3" xfId="10951"/>
    <cellStyle name="Comma 150 3 3 2" xfId="30629"/>
    <cellStyle name="Comma 150 3 4" xfId="17103"/>
    <cellStyle name="Comma 150 3 4 2" xfId="36781"/>
    <cellStyle name="Comma 150 3 5" xfId="24465"/>
    <cellStyle name="Comma 150 4" xfId="6289"/>
    <cellStyle name="Comma 150 4 2" xfId="12483"/>
    <cellStyle name="Comma 150 4 2 2" xfId="32161"/>
    <cellStyle name="Comma 150 4 3" xfId="18635"/>
    <cellStyle name="Comma 150 4 3 2" xfId="38313"/>
    <cellStyle name="Comma 150 4 4" xfId="25997"/>
    <cellStyle name="Comma 150 5" xfId="9417"/>
    <cellStyle name="Comma 150 5 2" xfId="29095"/>
    <cellStyle name="Comma 150 6" xfId="15569"/>
    <cellStyle name="Comma 150 6 2" xfId="35247"/>
    <cellStyle name="Comma 150 7" xfId="22834"/>
    <cellStyle name="Comma 151" xfId="611"/>
    <cellStyle name="Comma 151 2" xfId="3883"/>
    <cellStyle name="Comma 151 2 2" xfId="5508"/>
    <cellStyle name="Comma 151 2 2 2" xfId="8594"/>
    <cellStyle name="Comma 151 2 2 2 2" xfId="14787"/>
    <cellStyle name="Comma 151 2 2 2 2 2" xfId="34465"/>
    <cellStyle name="Comma 151 2 2 2 3" xfId="20939"/>
    <cellStyle name="Comma 151 2 2 2 3 2" xfId="40617"/>
    <cellStyle name="Comma 151 2 2 2 4" xfId="28301"/>
    <cellStyle name="Comma 151 2 2 3" xfId="11721"/>
    <cellStyle name="Comma 151 2 2 3 2" xfId="31399"/>
    <cellStyle name="Comma 151 2 2 4" xfId="17873"/>
    <cellStyle name="Comma 151 2 2 4 2" xfId="37551"/>
    <cellStyle name="Comma 151 2 2 5" xfId="25235"/>
    <cellStyle name="Comma 151 2 3" xfId="7059"/>
    <cellStyle name="Comma 151 2 3 2" xfId="13253"/>
    <cellStyle name="Comma 151 2 3 2 2" xfId="32931"/>
    <cellStyle name="Comma 151 2 3 3" xfId="19405"/>
    <cellStyle name="Comma 151 2 3 3 2" xfId="39083"/>
    <cellStyle name="Comma 151 2 3 4" xfId="26767"/>
    <cellStyle name="Comma 151 2 4" xfId="10187"/>
    <cellStyle name="Comma 151 2 4 2" xfId="29865"/>
    <cellStyle name="Comma 151 2 5" xfId="16339"/>
    <cellStyle name="Comma 151 2 5 2" xfId="36017"/>
    <cellStyle name="Comma 151 2 6" xfId="23701"/>
    <cellStyle name="Comma 151 3" xfId="4722"/>
    <cellStyle name="Comma 151 3 2" xfId="7825"/>
    <cellStyle name="Comma 151 3 2 2" xfId="14018"/>
    <cellStyle name="Comma 151 3 2 2 2" xfId="33696"/>
    <cellStyle name="Comma 151 3 2 3" xfId="20170"/>
    <cellStyle name="Comma 151 3 2 3 2" xfId="39848"/>
    <cellStyle name="Comma 151 3 2 4" xfId="27532"/>
    <cellStyle name="Comma 151 3 3" xfId="10952"/>
    <cellStyle name="Comma 151 3 3 2" xfId="30630"/>
    <cellStyle name="Comma 151 3 4" xfId="17104"/>
    <cellStyle name="Comma 151 3 4 2" xfId="36782"/>
    <cellStyle name="Comma 151 3 5" xfId="24466"/>
    <cellStyle name="Comma 151 4" xfId="6290"/>
    <cellStyle name="Comma 151 4 2" xfId="12484"/>
    <cellStyle name="Comma 151 4 2 2" xfId="32162"/>
    <cellStyle name="Comma 151 4 3" xfId="18636"/>
    <cellStyle name="Comma 151 4 3 2" xfId="38314"/>
    <cellStyle name="Comma 151 4 4" xfId="25998"/>
    <cellStyle name="Comma 151 5" xfId="9418"/>
    <cellStyle name="Comma 151 5 2" xfId="29096"/>
    <cellStyle name="Comma 151 6" xfId="15570"/>
    <cellStyle name="Comma 151 6 2" xfId="35248"/>
    <cellStyle name="Comma 151 7" xfId="22835"/>
    <cellStyle name="Comma 152" xfId="612"/>
    <cellStyle name="Comma 152 2" xfId="3884"/>
    <cellStyle name="Comma 152 2 2" xfId="5509"/>
    <cellStyle name="Comma 152 2 2 2" xfId="8595"/>
    <cellStyle name="Comma 152 2 2 2 2" xfId="14788"/>
    <cellStyle name="Comma 152 2 2 2 2 2" xfId="34466"/>
    <cellStyle name="Comma 152 2 2 2 3" xfId="20940"/>
    <cellStyle name="Comma 152 2 2 2 3 2" xfId="40618"/>
    <cellStyle name="Comma 152 2 2 2 4" xfId="28302"/>
    <cellStyle name="Comma 152 2 2 3" xfId="11722"/>
    <cellStyle name="Comma 152 2 2 3 2" xfId="31400"/>
    <cellStyle name="Comma 152 2 2 4" xfId="17874"/>
    <cellStyle name="Comma 152 2 2 4 2" xfId="37552"/>
    <cellStyle name="Comma 152 2 2 5" xfId="25236"/>
    <cellStyle name="Comma 152 2 3" xfId="7060"/>
    <cellStyle name="Comma 152 2 3 2" xfId="13254"/>
    <cellStyle name="Comma 152 2 3 2 2" xfId="32932"/>
    <cellStyle name="Comma 152 2 3 3" xfId="19406"/>
    <cellStyle name="Comma 152 2 3 3 2" xfId="39084"/>
    <cellStyle name="Comma 152 2 3 4" xfId="26768"/>
    <cellStyle name="Comma 152 2 4" xfId="10188"/>
    <cellStyle name="Comma 152 2 4 2" xfId="29866"/>
    <cellStyle name="Comma 152 2 5" xfId="16340"/>
    <cellStyle name="Comma 152 2 5 2" xfId="36018"/>
    <cellStyle name="Comma 152 2 6" xfId="23702"/>
    <cellStyle name="Comma 152 3" xfId="4723"/>
    <cellStyle name="Comma 152 3 2" xfId="7826"/>
    <cellStyle name="Comma 152 3 2 2" xfId="14019"/>
    <cellStyle name="Comma 152 3 2 2 2" xfId="33697"/>
    <cellStyle name="Comma 152 3 2 3" xfId="20171"/>
    <cellStyle name="Comma 152 3 2 3 2" xfId="39849"/>
    <cellStyle name="Comma 152 3 2 4" xfId="27533"/>
    <cellStyle name="Comma 152 3 3" xfId="10953"/>
    <cellStyle name="Comma 152 3 3 2" xfId="30631"/>
    <cellStyle name="Comma 152 3 4" xfId="17105"/>
    <cellStyle name="Comma 152 3 4 2" xfId="36783"/>
    <cellStyle name="Comma 152 3 5" xfId="24467"/>
    <cellStyle name="Comma 152 4" xfId="6291"/>
    <cellStyle name="Comma 152 4 2" xfId="12485"/>
    <cellStyle name="Comma 152 4 2 2" xfId="32163"/>
    <cellStyle name="Comma 152 4 3" xfId="18637"/>
    <cellStyle name="Comma 152 4 3 2" xfId="38315"/>
    <cellStyle name="Comma 152 4 4" xfId="25999"/>
    <cellStyle name="Comma 152 5" xfId="9419"/>
    <cellStyle name="Comma 152 5 2" xfId="29097"/>
    <cellStyle name="Comma 152 6" xfId="15571"/>
    <cellStyle name="Comma 152 6 2" xfId="35249"/>
    <cellStyle name="Comma 152 7" xfId="22836"/>
    <cellStyle name="Comma 153" xfId="613"/>
    <cellStyle name="Comma 153 2" xfId="3885"/>
    <cellStyle name="Comma 153 2 2" xfId="5510"/>
    <cellStyle name="Comma 153 2 2 2" xfId="8596"/>
    <cellStyle name="Comma 153 2 2 2 2" xfId="14789"/>
    <cellStyle name="Comma 153 2 2 2 2 2" xfId="34467"/>
    <cellStyle name="Comma 153 2 2 2 3" xfId="20941"/>
    <cellStyle name="Comma 153 2 2 2 3 2" xfId="40619"/>
    <cellStyle name="Comma 153 2 2 2 4" xfId="28303"/>
    <cellStyle name="Comma 153 2 2 3" xfId="11723"/>
    <cellStyle name="Comma 153 2 2 3 2" xfId="31401"/>
    <cellStyle name="Comma 153 2 2 4" xfId="17875"/>
    <cellStyle name="Comma 153 2 2 4 2" xfId="37553"/>
    <cellStyle name="Comma 153 2 2 5" xfId="25237"/>
    <cellStyle name="Comma 153 2 3" xfId="7061"/>
    <cellStyle name="Comma 153 2 3 2" xfId="13255"/>
    <cellStyle name="Comma 153 2 3 2 2" xfId="32933"/>
    <cellStyle name="Comma 153 2 3 3" xfId="19407"/>
    <cellStyle name="Comma 153 2 3 3 2" xfId="39085"/>
    <cellStyle name="Comma 153 2 3 4" xfId="26769"/>
    <cellStyle name="Comma 153 2 4" xfId="10189"/>
    <cellStyle name="Comma 153 2 4 2" xfId="29867"/>
    <cellStyle name="Comma 153 2 5" xfId="16341"/>
    <cellStyle name="Comma 153 2 5 2" xfId="36019"/>
    <cellStyle name="Comma 153 2 6" xfId="23703"/>
    <cellStyle name="Comma 153 3" xfId="4724"/>
    <cellStyle name="Comma 153 3 2" xfId="7827"/>
    <cellStyle name="Comma 153 3 2 2" xfId="14020"/>
    <cellStyle name="Comma 153 3 2 2 2" xfId="33698"/>
    <cellStyle name="Comma 153 3 2 3" xfId="20172"/>
    <cellStyle name="Comma 153 3 2 3 2" xfId="39850"/>
    <cellStyle name="Comma 153 3 2 4" xfId="27534"/>
    <cellStyle name="Comma 153 3 3" xfId="10954"/>
    <cellStyle name="Comma 153 3 3 2" xfId="30632"/>
    <cellStyle name="Comma 153 3 4" xfId="17106"/>
    <cellStyle name="Comma 153 3 4 2" xfId="36784"/>
    <cellStyle name="Comma 153 3 5" xfId="24468"/>
    <cellStyle name="Comma 153 4" xfId="6292"/>
    <cellStyle name="Comma 153 4 2" xfId="12486"/>
    <cellStyle name="Comma 153 4 2 2" xfId="32164"/>
    <cellStyle name="Comma 153 4 3" xfId="18638"/>
    <cellStyle name="Comma 153 4 3 2" xfId="38316"/>
    <cellStyle name="Comma 153 4 4" xfId="26000"/>
    <cellStyle name="Comma 153 5" xfId="9420"/>
    <cellStyle name="Comma 153 5 2" xfId="29098"/>
    <cellStyle name="Comma 153 6" xfId="15572"/>
    <cellStyle name="Comma 153 6 2" xfId="35250"/>
    <cellStyle name="Comma 153 7" xfId="22837"/>
    <cellStyle name="Comma 154" xfId="614"/>
    <cellStyle name="Comma 154 2" xfId="615"/>
    <cellStyle name="Comma 155" xfId="616"/>
    <cellStyle name="Comma 155 2" xfId="617"/>
    <cellStyle name="Comma 156" xfId="618"/>
    <cellStyle name="Comma 156 2" xfId="619"/>
    <cellStyle name="Comma 157" xfId="620"/>
    <cellStyle name="Comma 158" xfId="621"/>
    <cellStyle name="Comma 159" xfId="622"/>
    <cellStyle name="Comma 16" xfId="150"/>
    <cellStyle name="Comma 16 2" xfId="22404"/>
    <cellStyle name="Comma 16 3" xfId="22838"/>
    <cellStyle name="Comma 16 4" xfId="41556"/>
    <cellStyle name="Comma 16 5" xfId="41588"/>
    <cellStyle name="Comma 16 6" xfId="21790"/>
    <cellStyle name="Comma 160" xfId="623"/>
    <cellStyle name="Comma 161" xfId="624"/>
    <cellStyle name="Comma 162" xfId="625"/>
    <cellStyle name="Comma 163" xfId="626"/>
    <cellStyle name="Comma 164" xfId="627"/>
    <cellStyle name="Comma 165" xfId="628"/>
    <cellStyle name="Comma 166" xfId="629"/>
    <cellStyle name="Comma 167" xfId="630"/>
    <cellStyle name="Comma 168" xfId="631"/>
    <cellStyle name="Comma 169" xfId="632"/>
    <cellStyle name="Comma 17" xfId="633"/>
    <cellStyle name="Comma 17 2" xfId="22405"/>
    <cellStyle name="Comma 17 3" xfId="22839"/>
    <cellStyle name="Comma 17 4" xfId="41356"/>
    <cellStyle name="Comma 17 5" xfId="41589"/>
    <cellStyle name="Comma 17 6" xfId="21791"/>
    <cellStyle name="Comma 170" xfId="634"/>
    <cellStyle name="Comma 171" xfId="635"/>
    <cellStyle name="Comma 172" xfId="636"/>
    <cellStyle name="Comma 173" xfId="637"/>
    <cellStyle name="Comma 174" xfId="638"/>
    <cellStyle name="Comma 175" xfId="639"/>
    <cellStyle name="Comma 176" xfId="640"/>
    <cellStyle name="Comma 177" xfId="641"/>
    <cellStyle name="Comma 178" xfId="642"/>
    <cellStyle name="Comma 179" xfId="643"/>
    <cellStyle name="Comma 18" xfId="644"/>
    <cellStyle name="Comma 18 2" xfId="22407"/>
    <cellStyle name="Comma 18 3" xfId="22840"/>
    <cellStyle name="Comma 18 4" xfId="41502"/>
    <cellStyle name="Comma 18 5" xfId="41591"/>
    <cellStyle name="Comma 18 6" xfId="21793"/>
    <cellStyle name="Comma 180" xfId="645"/>
    <cellStyle name="Comma 181" xfId="646"/>
    <cellStyle name="Comma 182" xfId="647"/>
    <cellStyle name="Comma 182 2" xfId="3886"/>
    <cellStyle name="Comma 182 2 2" xfId="5511"/>
    <cellStyle name="Comma 182 2 2 2" xfId="8597"/>
    <cellStyle name="Comma 182 2 2 2 2" xfId="14790"/>
    <cellStyle name="Comma 182 2 2 2 2 2" xfId="34468"/>
    <cellStyle name="Comma 182 2 2 2 3" xfId="20942"/>
    <cellStyle name="Comma 182 2 2 2 3 2" xfId="40620"/>
    <cellStyle name="Comma 182 2 2 2 4" xfId="28304"/>
    <cellStyle name="Comma 182 2 2 3" xfId="11724"/>
    <cellStyle name="Comma 182 2 2 3 2" xfId="31402"/>
    <cellStyle name="Comma 182 2 2 4" xfId="17876"/>
    <cellStyle name="Comma 182 2 2 4 2" xfId="37554"/>
    <cellStyle name="Comma 182 2 2 5" xfId="25238"/>
    <cellStyle name="Comma 182 2 3" xfId="7062"/>
    <cellStyle name="Comma 182 2 3 2" xfId="13256"/>
    <cellStyle name="Comma 182 2 3 2 2" xfId="32934"/>
    <cellStyle name="Comma 182 2 3 3" xfId="19408"/>
    <cellStyle name="Comma 182 2 3 3 2" xfId="39086"/>
    <cellStyle name="Comma 182 2 3 4" xfId="26770"/>
    <cellStyle name="Comma 182 2 4" xfId="10190"/>
    <cellStyle name="Comma 182 2 4 2" xfId="29868"/>
    <cellStyle name="Comma 182 2 5" xfId="16342"/>
    <cellStyle name="Comma 182 2 5 2" xfId="36020"/>
    <cellStyle name="Comma 182 2 6" xfId="23704"/>
    <cellStyle name="Comma 182 3" xfId="4725"/>
    <cellStyle name="Comma 182 3 2" xfId="7828"/>
    <cellStyle name="Comma 182 3 2 2" xfId="14021"/>
    <cellStyle name="Comma 182 3 2 2 2" xfId="33699"/>
    <cellStyle name="Comma 182 3 2 3" xfId="20173"/>
    <cellStyle name="Comma 182 3 2 3 2" xfId="39851"/>
    <cellStyle name="Comma 182 3 2 4" xfId="27535"/>
    <cellStyle name="Comma 182 3 3" xfId="10955"/>
    <cellStyle name="Comma 182 3 3 2" xfId="30633"/>
    <cellStyle name="Comma 182 3 4" xfId="17107"/>
    <cellStyle name="Comma 182 3 4 2" xfId="36785"/>
    <cellStyle name="Comma 182 3 5" xfId="24469"/>
    <cellStyle name="Comma 182 4" xfId="6293"/>
    <cellStyle name="Comma 182 4 2" xfId="12487"/>
    <cellStyle name="Comma 182 4 2 2" xfId="32165"/>
    <cellStyle name="Comma 182 4 3" xfId="18639"/>
    <cellStyle name="Comma 182 4 3 2" xfId="38317"/>
    <cellStyle name="Comma 182 4 4" xfId="26001"/>
    <cellStyle name="Comma 182 5" xfId="9421"/>
    <cellStyle name="Comma 182 5 2" xfId="29099"/>
    <cellStyle name="Comma 182 6" xfId="15573"/>
    <cellStyle name="Comma 182 6 2" xfId="35251"/>
    <cellStyle name="Comma 182 7" xfId="22841"/>
    <cellStyle name="Comma 183" xfId="648"/>
    <cellStyle name="Comma 184" xfId="378"/>
    <cellStyle name="Comma 185" xfId="3688"/>
    <cellStyle name="Comma 186" xfId="375"/>
    <cellStyle name="Comma 186 2" xfId="3828"/>
    <cellStyle name="Comma 186 2 2" xfId="5453"/>
    <cellStyle name="Comma 186 2 2 2" xfId="8539"/>
    <cellStyle name="Comma 186 2 2 2 2" xfId="14732"/>
    <cellStyle name="Comma 186 2 2 2 2 2" xfId="34410"/>
    <cellStyle name="Comma 186 2 2 2 3" xfId="20884"/>
    <cellStyle name="Comma 186 2 2 2 3 2" xfId="40562"/>
    <cellStyle name="Comma 186 2 2 2 4" xfId="28246"/>
    <cellStyle name="Comma 186 2 2 3" xfId="11666"/>
    <cellStyle name="Comma 186 2 2 3 2" xfId="31344"/>
    <cellStyle name="Comma 186 2 2 4" xfId="17818"/>
    <cellStyle name="Comma 186 2 2 4 2" xfId="37496"/>
    <cellStyle name="Comma 186 2 2 5" xfId="25180"/>
    <cellStyle name="Comma 186 2 3" xfId="7004"/>
    <cellStyle name="Comma 186 2 3 2" xfId="13198"/>
    <cellStyle name="Comma 186 2 3 2 2" xfId="32876"/>
    <cellStyle name="Comma 186 2 3 3" xfId="19350"/>
    <cellStyle name="Comma 186 2 3 3 2" xfId="39028"/>
    <cellStyle name="Comma 186 2 3 4" xfId="26712"/>
    <cellStyle name="Comma 186 2 4" xfId="10132"/>
    <cellStyle name="Comma 186 2 4 2" xfId="29810"/>
    <cellStyle name="Comma 186 2 5" xfId="16284"/>
    <cellStyle name="Comma 186 2 5 2" xfId="35962"/>
    <cellStyle name="Comma 186 2 6" xfId="23646"/>
    <cellStyle name="Comma 186 3" xfId="4667"/>
    <cellStyle name="Comma 186 3 2" xfId="7770"/>
    <cellStyle name="Comma 186 3 2 2" xfId="13963"/>
    <cellStyle name="Comma 186 3 2 2 2" xfId="33641"/>
    <cellStyle name="Comma 186 3 2 3" xfId="20115"/>
    <cellStyle name="Comma 186 3 2 3 2" xfId="39793"/>
    <cellStyle name="Comma 186 3 2 4" xfId="27477"/>
    <cellStyle name="Comma 186 3 3" xfId="10897"/>
    <cellStyle name="Comma 186 3 3 2" xfId="30575"/>
    <cellStyle name="Comma 186 3 4" xfId="17049"/>
    <cellStyle name="Comma 186 3 4 2" xfId="36727"/>
    <cellStyle name="Comma 186 3 5" xfId="24411"/>
    <cellStyle name="Comma 186 4" xfId="6235"/>
    <cellStyle name="Comma 186 4 2" xfId="12429"/>
    <cellStyle name="Comma 186 4 2 2" xfId="32107"/>
    <cellStyle name="Comma 186 4 3" xfId="18581"/>
    <cellStyle name="Comma 186 4 3 2" xfId="38259"/>
    <cellStyle name="Comma 186 4 4" xfId="25943"/>
    <cellStyle name="Comma 186 5" xfId="9363"/>
    <cellStyle name="Comma 186 5 2" xfId="29041"/>
    <cellStyle name="Comma 186 6" xfId="15515"/>
    <cellStyle name="Comma 186 6 2" xfId="35193"/>
    <cellStyle name="Comma 186 7" xfId="22758"/>
    <cellStyle name="Comma 187" xfId="3792"/>
    <cellStyle name="Comma 187 2" xfId="3798"/>
    <cellStyle name="Comma 187 3" xfId="5424"/>
    <cellStyle name="Comma 187 3 2" xfId="8510"/>
    <cellStyle name="Comma 187 3 2 2" xfId="14703"/>
    <cellStyle name="Comma 187 3 2 2 2" xfId="34381"/>
    <cellStyle name="Comma 187 3 2 3" xfId="20855"/>
    <cellStyle name="Comma 187 3 2 3 2" xfId="40533"/>
    <cellStyle name="Comma 187 3 2 4" xfId="28217"/>
    <cellStyle name="Comma 187 3 3" xfId="11637"/>
    <cellStyle name="Comma 187 3 3 2" xfId="31315"/>
    <cellStyle name="Comma 187 3 4" xfId="17789"/>
    <cellStyle name="Comma 187 3 4 2" xfId="37467"/>
    <cellStyle name="Comma 187 3 5" xfId="25151"/>
    <cellStyle name="Comma 187 4" xfId="6975"/>
    <cellStyle name="Comma 187 4 2" xfId="13169"/>
    <cellStyle name="Comma 187 4 2 2" xfId="32847"/>
    <cellStyle name="Comma 187 4 3" xfId="19321"/>
    <cellStyle name="Comma 187 4 3 2" xfId="38999"/>
    <cellStyle name="Comma 187 4 4" xfId="26683"/>
    <cellStyle name="Comma 187 5" xfId="10103"/>
    <cellStyle name="Comma 187 5 2" xfId="29781"/>
    <cellStyle name="Comma 187 6" xfId="16255"/>
    <cellStyle name="Comma 187 6 2" xfId="35933"/>
    <cellStyle name="Comma 187 7" xfId="23617"/>
    <cellStyle name="Comma 188" xfId="4569"/>
    <cellStyle name="Comma 189" xfId="4635"/>
    <cellStyle name="Comma 19" xfId="649"/>
    <cellStyle name="Comma 19 2" xfId="22408"/>
    <cellStyle name="Comma 19 3" xfId="22842"/>
    <cellStyle name="Comma 19 4" xfId="41395"/>
    <cellStyle name="Comma 19 5" xfId="41592"/>
    <cellStyle name="Comma 19 6" xfId="21794"/>
    <cellStyle name="Comma 190" xfId="4577"/>
    <cellStyle name="Comma 191" xfId="4626"/>
    <cellStyle name="Comma 192" xfId="4570"/>
    <cellStyle name="Comma 193" xfId="4632"/>
    <cellStyle name="Comma 194" xfId="4579"/>
    <cellStyle name="Comma 195" xfId="4624"/>
    <cellStyle name="Comma 196" xfId="4592"/>
    <cellStyle name="Comma 197" xfId="4611"/>
    <cellStyle name="Comma 198" xfId="4594"/>
    <cellStyle name="Comma 199" xfId="4605"/>
    <cellStyle name="Comma 2" xfId="23"/>
    <cellStyle name="Comma 2 10" xfId="238"/>
    <cellStyle name="Comma 2 10 2" xfId="3693"/>
    <cellStyle name="Comma 2 10 3" xfId="651"/>
    <cellStyle name="Comma 2 10 4" xfId="22696"/>
    <cellStyle name="Comma 2 10 5" xfId="21859"/>
    <cellStyle name="Comma 2 11" xfId="239"/>
    <cellStyle name="Comma 2 11 2" xfId="3694"/>
    <cellStyle name="Comma 2 11 3" xfId="652"/>
    <cellStyle name="Comma 2 11 4" xfId="22697"/>
    <cellStyle name="Comma 2 11 5" xfId="21901"/>
    <cellStyle name="Comma 2 12" xfId="240"/>
    <cellStyle name="Comma 2 12 2" xfId="3695"/>
    <cellStyle name="Comma 2 12 3" xfId="653"/>
    <cellStyle name="Comma 2 12 4" xfId="22698"/>
    <cellStyle name="Comma 2 12 5" xfId="21914"/>
    <cellStyle name="Comma 2 13" xfId="241"/>
    <cellStyle name="Comma 2 13 2" xfId="3696"/>
    <cellStyle name="Comma 2 13 3" xfId="654"/>
    <cellStyle name="Comma 2 13 4" xfId="22699"/>
    <cellStyle name="Comma 2 13 5" xfId="21927"/>
    <cellStyle name="Comma 2 14" xfId="242"/>
    <cellStyle name="Comma 2 14 2" xfId="3697"/>
    <cellStyle name="Comma 2 14 3" xfId="655"/>
    <cellStyle name="Comma 2 14 4" xfId="22700"/>
    <cellStyle name="Comma 2 14 5" xfId="21938"/>
    <cellStyle name="Comma 2 15" xfId="243"/>
    <cellStyle name="Comma 2 15 2" xfId="3698"/>
    <cellStyle name="Comma 2 15 3" xfId="656"/>
    <cellStyle name="Comma 2 15 4" xfId="22701"/>
    <cellStyle name="Comma 2 15 5" xfId="21949"/>
    <cellStyle name="Comma 2 16" xfId="244"/>
    <cellStyle name="Comma 2 16 2" xfId="3699"/>
    <cellStyle name="Comma 2 16 3" xfId="657"/>
    <cellStyle name="Comma 2 16 4" xfId="22702"/>
    <cellStyle name="Comma 2 16 5" xfId="21954"/>
    <cellStyle name="Comma 2 17" xfId="245"/>
    <cellStyle name="Comma 2 17 2" xfId="3700"/>
    <cellStyle name="Comma 2 17 3" xfId="658"/>
    <cellStyle name="Comma 2 17 4" xfId="22703"/>
    <cellStyle name="Comma 2 17 5" xfId="21987"/>
    <cellStyle name="Comma 2 18" xfId="246"/>
    <cellStyle name="Comma 2 18 2" xfId="3701"/>
    <cellStyle name="Comma 2 18 3" xfId="659"/>
    <cellStyle name="Comma 2 18 4" xfId="22704"/>
    <cellStyle name="Comma 2 18 5" xfId="22012"/>
    <cellStyle name="Comma 2 19" xfId="247"/>
    <cellStyle name="Comma 2 19 2" xfId="3702"/>
    <cellStyle name="Comma 2 19 3" xfId="660"/>
    <cellStyle name="Comma 2 19 4" xfId="22705"/>
    <cellStyle name="Comma 2 19 5" xfId="21984"/>
    <cellStyle name="Comma 2 2" xfId="24"/>
    <cellStyle name="Comma 2 2 10" xfId="661"/>
    <cellStyle name="Comma 2 2 10 2" xfId="3888"/>
    <cellStyle name="Comma 2 2 10 2 2" xfId="5513"/>
    <cellStyle name="Comma 2 2 10 2 2 2" xfId="8599"/>
    <cellStyle name="Comma 2 2 10 2 2 2 2" xfId="14792"/>
    <cellStyle name="Comma 2 2 10 2 2 2 2 2" xfId="34470"/>
    <cellStyle name="Comma 2 2 10 2 2 2 3" xfId="20944"/>
    <cellStyle name="Comma 2 2 10 2 2 2 3 2" xfId="40622"/>
    <cellStyle name="Comma 2 2 10 2 2 2 4" xfId="28306"/>
    <cellStyle name="Comma 2 2 10 2 2 3" xfId="11726"/>
    <cellStyle name="Comma 2 2 10 2 2 3 2" xfId="31404"/>
    <cellStyle name="Comma 2 2 10 2 2 4" xfId="17878"/>
    <cellStyle name="Comma 2 2 10 2 2 4 2" xfId="37556"/>
    <cellStyle name="Comma 2 2 10 2 2 5" xfId="25240"/>
    <cellStyle name="Comma 2 2 10 2 3" xfId="7064"/>
    <cellStyle name="Comma 2 2 10 2 3 2" xfId="13258"/>
    <cellStyle name="Comma 2 2 10 2 3 2 2" xfId="32936"/>
    <cellStyle name="Comma 2 2 10 2 3 3" xfId="19410"/>
    <cellStyle name="Comma 2 2 10 2 3 3 2" xfId="39088"/>
    <cellStyle name="Comma 2 2 10 2 3 4" xfId="26772"/>
    <cellStyle name="Comma 2 2 10 2 4" xfId="10192"/>
    <cellStyle name="Comma 2 2 10 2 4 2" xfId="29870"/>
    <cellStyle name="Comma 2 2 10 2 5" xfId="16344"/>
    <cellStyle name="Comma 2 2 10 2 5 2" xfId="36022"/>
    <cellStyle name="Comma 2 2 10 2 6" xfId="23706"/>
    <cellStyle name="Comma 2 2 10 3" xfId="4727"/>
    <cellStyle name="Comma 2 2 10 3 2" xfId="7830"/>
    <cellStyle name="Comma 2 2 10 3 2 2" xfId="14023"/>
    <cellStyle name="Comma 2 2 10 3 2 2 2" xfId="33701"/>
    <cellStyle name="Comma 2 2 10 3 2 3" xfId="20175"/>
    <cellStyle name="Comma 2 2 10 3 2 3 2" xfId="39853"/>
    <cellStyle name="Comma 2 2 10 3 2 4" xfId="27537"/>
    <cellStyle name="Comma 2 2 10 3 3" xfId="10957"/>
    <cellStyle name="Comma 2 2 10 3 3 2" xfId="30635"/>
    <cellStyle name="Comma 2 2 10 3 4" xfId="17109"/>
    <cellStyle name="Comma 2 2 10 3 4 2" xfId="36787"/>
    <cellStyle name="Comma 2 2 10 3 5" xfId="24471"/>
    <cellStyle name="Comma 2 2 10 4" xfId="6295"/>
    <cellStyle name="Comma 2 2 10 4 2" xfId="12489"/>
    <cellStyle name="Comma 2 2 10 4 2 2" xfId="32167"/>
    <cellStyle name="Comma 2 2 10 4 3" xfId="18641"/>
    <cellStyle name="Comma 2 2 10 4 3 2" xfId="38319"/>
    <cellStyle name="Comma 2 2 10 4 4" xfId="26003"/>
    <cellStyle name="Comma 2 2 10 5" xfId="9423"/>
    <cellStyle name="Comma 2 2 10 5 2" xfId="29101"/>
    <cellStyle name="Comma 2 2 10 6" xfId="15575"/>
    <cellStyle name="Comma 2 2 10 6 2" xfId="35253"/>
    <cellStyle name="Comma 2 2 10 7" xfId="22844"/>
    <cellStyle name="Comma 2 2 11" xfId="662"/>
    <cellStyle name="Comma 2 2 11 2" xfId="3889"/>
    <cellStyle name="Comma 2 2 11 2 2" xfId="5514"/>
    <cellStyle name="Comma 2 2 11 2 2 2" xfId="8600"/>
    <cellStyle name="Comma 2 2 11 2 2 2 2" xfId="14793"/>
    <cellStyle name="Comma 2 2 11 2 2 2 2 2" xfId="34471"/>
    <cellStyle name="Comma 2 2 11 2 2 2 3" xfId="20945"/>
    <cellStyle name="Comma 2 2 11 2 2 2 3 2" xfId="40623"/>
    <cellStyle name="Comma 2 2 11 2 2 2 4" xfId="28307"/>
    <cellStyle name="Comma 2 2 11 2 2 3" xfId="11727"/>
    <cellStyle name="Comma 2 2 11 2 2 3 2" xfId="31405"/>
    <cellStyle name="Comma 2 2 11 2 2 4" xfId="17879"/>
    <cellStyle name="Comma 2 2 11 2 2 4 2" xfId="37557"/>
    <cellStyle name="Comma 2 2 11 2 2 5" xfId="25241"/>
    <cellStyle name="Comma 2 2 11 2 3" xfId="7065"/>
    <cellStyle name="Comma 2 2 11 2 3 2" xfId="13259"/>
    <cellStyle name="Comma 2 2 11 2 3 2 2" xfId="32937"/>
    <cellStyle name="Comma 2 2 11 2 3 3" xfId="19411"/>
    <cellStyle name="Comma 2 2 11 2 3 3 2" xfId="39089"/>
    <cellStyle name="Comma 2 2 11 2 3 4" xfId="26773"/>
    <cellStyle name="Comma 2 2 11 2 4" xfId="10193"/>
    <cellStyle name="Comma 2 2 11 2 4 2" xfId="29871"/>
    <cellStyle name="Comma 2 2 11 2 5" xfId="16345"/>
    <cellStyle name="Comma 2 2 11 2 5 2" xfId="36023"/>
    <cellStyle name="Comma 2 2 11 2 6" xfId="23707"/>
    <cellStyle name="Comma 2 2 11 3" xfId="4728"/>
    <cellStyle name="Comma 2 2 11 3 2" xfId="7831"/>
    <cellStyle name="Comma 2 2 11 3 2 2" xfId="14024"/>
    <cellStyle name="Comma 2 2 11 3 2 2 2" xfId="33702"/>
    <cellStyle name="Comma 2 2 11 3 2 3" xfId="20176"/>
    <cellStyle name="Comma 2 2 11 3 2 3 2" xfId="39854"/>
    <cellStyle name="Comma 2 2 11 3 2 4" xfId="27538"/>
    <cellStyle name="Comma 2 2 11 3 3" xfId="10958"/>
    <cellStyle name="Comma 2 2 11 3 3 2" xfId="30636"/>
    <cellStyle name="Comma 2 2 11 3 4" xfId="17110"/>
    <cellStyle name="Comma 2 2 11 3 4 2" xfId="36788"/>
    <cellStyle name="Comma 2 2 11 3 5" xfId="24472"/>
    <cellStyle name="Comma 2 2 11 4" xfId="6296"/>
    <cellStyle name="Comma 2 2 11 4 2" xfId="12490"/>
    <cellStyle name="Comma 2 2 11 4 2 2" xfId="32168"/>
    <cellStyle name="Comma 2 2 11 4 3" xfId="18642"/>
    <cellStyle name="Comma 2 2 11 4 3 2" xfId="38320"/>
    <cellStyle name="Comma 2 2 11 4 4" xfId="26004"/>
    <cellStyle name="Comma 2 2 11 5" xfId="9424"/>
    <cellStyle name="Comma 2 2 11 5 2" xfId="29102"/>
    <cellStyle name="Comma 2 2 11 6" xfId="15576"/>
    <cellStyle name="Comma 2 2 11 6 2" xfId="35254"/>
    <cellStyle name="Comma 2 2 11 7" xfId="22845"/>
    <cellStyle name="Comma 2 2 12" xfId="663"/>
    <cellStyle name="Comma 2 2 12 2" xfId="3890"/>
    <cellStyle name="Comma 2 2 12 2 2" xfId="5515"/>
    <cellStyle name="Comma 2 2 12 2 2 2" xfId="8601"/>
    <cellStyle name="Comma 2 2 12 2 2 2 2" xfId="14794"/>
    <cellStyle name="Comma 2 2 12 2 2 2 2 2" xfId="34472"/>
    <cellStyle name="Comma 2 2 12 2 2 2 3" xfId="20946"/>
    <cellStyle name="Comma 2 2 12 2 2 2 3 2" xfId="40624"/>
    <cellStyle name="Comma 2 2 12 2 2 2 4" xfId="28308"/>
    <cellStyle name="Comma 2 2 12 2 2 3" xfId="11728"/>
    <cellStyle name="Comma 2 2 12 2 2 3 2" xfId="31406"/>
    <cellStyle name="Comma 2 2 12 2 2 4" xfId="17880"/>
    <cellStyle name="Comma 2 2 12 2 2 4 2" xfId="37558"/>
    <cellStyle name="Comma 2 2 12 2 2 5" xfId="25242"/>
    <cellStyle name="Comma 2 2 12 2 3" xfId="7066"/>
    <cellStyle name="Comma 2 2 12 2 3 2" xfId="13260"/>
    <cellStyle name="Comma 2 2 12 2 3 2 2" xfId="32938"/>
    <cellStyle name="Comma 2 2 12 2 3 3" xfId="19412"/>
    <cellStyle name="Comma 2 2 12 2 3 3 2" xfId="39090"/>
    <cellStyle name="Comma 2 2 12 2 3 4" xfId="26774"/>
    <cellStyle name="Comma 2 2 12 2 4" xfId="10194"/>
    <cellStyle name="Comma 2 2 12 2 4 2" xfId="29872"/>
    <cellStyle name="Comma 2 2 12 2 5" xfId="16346"/>
    <cellStyle name="Comma 2 2 12 2 5 2" xfId="36024"/>
    <cellStyle name="Comma 2 2 12 2 6" xfId="23708"/>
    <cellStyle name="Comma 2 2 12 3" xfId="4729"/>
    <cellStyle name="Comma 2 2 12 3 2" xfId="7832"/>
    <cellStyle name="Comma 2 2 12 3 2 2" xfId="14025"/>
    <cellStyle name="Comma 2 2 12 3 2 2 2" xfId="33703"/>
    <cellStyle name="Comma 2 2 12 3 2 3" xfId="20177"/>
    <cellStyle name="Comma 2 2 12 3 2 3 2" xfId="39855"/>
    <cellStyle name="Comma 2 2 12 3 2 4" xfId="27539"/>
    <cellStyle name="Comma 2 2 12 3 3" xfId="10959"/>
    <cellStyle name="Comma 2 2 12 3 3 2" xfId="30637"/>
    <cellStyle name="Comma 2 2 12 3 4" xfId="17111"/>
    <cellStyle name="Comma 2 2 12 3 4 2" xfId="36789"/>
    <cellStyle name="Comma 2 2 12 3 5" xfId="24473"/>
    <cellStyle name="Comma 2 2 12 4" xfId="6297"/>
    <cellStyle name="Comma 2 2 12 4 2" xfId="12491"/>
    <cellStyle name="Comma 2 2 12 4 2 2" xfId="32169"/>
    <cellStyle name="Comma 2 2 12 4 3" xfId="18643"/>
    <cellStyle name="Comma 2 2 12 4 3 2" xfId="38321"/>
    <cellStyle name="Comma 2 2 12 4 4" xfId="26005"/>
    <cellStyle name="Comma 2 2 12 5" xfId="9425"/>
    <cellStyle name="Comma 2 2 12 5 2" xfId="29103"/>
    <cellStyle name="Comma 2 2 12 6" xfId="15577"/>
    <cellStyle name="Comma 2 2 12 6 2" xfId="35255"/>
    <cellStyle name="Comma 2 2 12 7" xfId="22846"/>
    <cellStyle name="Comma 2 2 13" xfId="664"/>
    <cellStyle name="Comma 2 2 13 2" xfId="3891"/>
    <cellStyle name="Comma 2 2 13 2 2" xfId="5516"/>
    <cellStyle name="Comma 2 2 13 2 2 2" xfId="8602"/>
    <cellStyle name="Comma 2 2 13 2 2 2 2" xfId="14795"/>
    <cellStyle name="Comma 2 2 13 2 2 2 2 2" xfId="34473"/>
    <cellStyle name="Comma 2 2 13 2 2 2 3" xfId="20947"/>
    <cellStyle name="Comma 2 2 13 2 2 2 3 2" xfId="40625"/>
    <cellStyle name="Comma 2 2 13 2 2 2 4" xfId="28309"/>
    <cellStyle name="Comma 2 2 13 2 2 3" xfId="11729"/>
    <cellStyle name="Comma 2 2 13 2 2 3 2" xfId="31407"/>
    <cellStyle name="Comma 2 2 13 2 2 4" xfId="17881"/>
    <cellStyle name="Comma 2 2 13 2 2 4 2" xfId="37559"/>
    <cellStyle name="Comma 2 2 13 2 2 5" xfId="25243"/>
    <cellStyle name="Comma 2 2 13 2 3" xfId="7067"/>
    <cellStyle name="Comma 2 2 13 2 3 2" xfId="13261"/>
    <cellStyle name="Comma 2 2 13 2 3 2 2" xfId="32939"/>
    <cellStyle name="Comma 2 2 13 2 3 3" xfId="19413"/>
    <cellStyle name="Comma 2 2 13 2 3 3 2" xfId="39091"/>
    <cellStyle name="Comma 2 2 13 2 3 4" xfId="26775"/>
    <cellStyle name="Comma 2 2 13 2 4" xfId="10195"/>
    <cellStyle name="Comma 2 2 13 2 4 2" xfId="29873"/>
    <cellStyle name="Comma 2 2 13 2 5" xfId="16347"/>
    <cellStyle name="Comma 2 2 13 2 5 2" xfId="36025"/>
    <cellStyle name="Comma 2 2 13 2 6" xfId="23709"/>
    <cellStyle name="Comma 2 2 13 3" xfId="4730"/>
    <cellStyle name="Comma 2 2 13 3 2" xfId="7833"/>
    <cellStyle name="Comma 2 2 13 3 2 2" xfId="14026"/>
    <cellStyle name="Comma 2 2 13 3 2 2 2" xfId="33704"/>
    <cellStyle name="Comma 2 2 13 3 2 3" xfId="20178"/>
    <cellStyle name="Comma 2 2 13 3 2 3 2" xfId="39856"/>
    <cellStyle name="Comma 2 2 13 3 2 4" xfId="27540"/>
    <cellStyle name="Comma 2 2 13 3 3" xfId="10960"/>
    <cellStyle name="Comma 2 2 13 3 3 2" xfId="30638"/>
    <cellStyle name="Comma 2 2 13 3 4" xfId="17112"/>
    <cellStyle name="Comma 2 2 13 3 4 2" xfId="36790"/>
    <cellStyle name="Comma 2 2 13 3 5" xfId="24474"/>
    <cellStyle name="Comma 2 2 13 4" xfId="6298"/>
    <cellStyle name="Comma 2 2 13 4 2" xfId="12492"/>
    <cellStyle name="Comma 2 2 13 4 2 2" xfId="32170"/>
    <cellStyle name="Comma 2 2 13 4 3" xfId="18644"/>
    <cellStyle name="Comma 2 2 13 4 3 2" xfId="38322"/>
    <cellStyle name="Comma 2 2 13 4 4" xfId="26006"/>
    <cellStyle name="Comma 2 2 13 5" xfId="9426"/>
    <cellStyle name="Comma 2 2 13 5 2" xfId="29104"/>
    <cellStyle name="Comma 2 2 13 6" xfId="15578"/>
    <cellStyle name="Comma 2 2 13 6 2" xfId="35256"/>
    <cellStyle name="Comma 2 2 13 7" xfId="22847"/>
    <cellStyle name="Comma 2 2 14" xfId="665"/>
    <cellStyle name="Comma 2 2 14 2" xfId="3892"/>
    <cellStyle name="Comma 2 2 14 2 2" xfId="5517"/>
    <cellStyle name="Comma 2 2 14 2 2 2" xfId="8603"/>
    <cellStyle name="Comma 2 2 14 2 2 2 2" xfId="14796"/>
    <cellStyle name="Comma 2 2 14 2 2 2 2 2" xfId="34474"/>
    <cellStyle name="Comma 2 2 14 2 2 2 3" xfId="20948"/>
    <cellStyle name="Comma 2 2 14 2 2 2 3 2" xfId="40626"/>
    <cellStyle name="Comma 2 2 14 2 2 2 4" xfId="28310"/>
    <cellStyle name="Comma 2 2 14 2 2 3" xfId="11730"/>
    <cellStyle name="Comma 2 2 14 2 2 3 2" xfId="31408"/>
    <cellStyle name="Comma 2 2 14 2 2 4" xfId="17882"/>
    <cellStyle name="Comma 2 2 14 2 2 4 2" xfId="37560"/>
    <cellStyle name="Comma 2 2 14 2 2 5" xfId="25244"/>
    <cellStyle name="Comma 2 2 14 2 3" xfId="7068"/>
    <cellStyle name="Comma 2 2 14 2 3 2" xfId="13262"/>
    <cellStyle name="Comma 2 2 14 2 3 2 2" xfId="32940"/>
    <cellStyle name="Comma 2 2 14 2 3 3" xfId="19414"/>
    <cellStyle name="Comma 2 2 14 2 3 3 2" xfId="39092"/>
    <cellStyle name="Comma 2 2 14 2 3 4" xfId="26776"/>
    <cellStyle name="Comma 2 2 14 2 4" xfId="10196"/>
    <cellStyle name="Comma 2 2 14 2 4 2" xfId="29874"/>
    <cellStyle name="Comma 2 2 14 2 5" xfId="16348"/>
    <cellStyle name="Comma 2 2 14 2 5 2" xfId="36026"/>
    <cellStyle name="Comma 2 2 14 2 6" xfId="23710"/>
    <cellStyle name="Comma 2 2 14 3" xfId="4731"/>
    <cellStyle name="Comma 2 2 14 3 2" xfId="7834"/>
    <cellStyle name="Comma 2 2 14 3 2 2" xfId="14027"/>
    <cellStyle name="Comma 2 2 14 3 2 2 2" xfId="33705"/>
    <cellStyle name="Comma 2 2 14 3 2 3" xfId="20179"/>
    <cellStyle name="Comma 2 2 14 3 2 3 2" xfId="39857"/>
    <cellStyle name="Comma 2 2 14 3 2 4" xfId="27541"/>
    <cellStyle name="Comma 2 2 14 3 3" xfId="10961"/>
    <cellStyle name="Comma 2 2 14 3 3 2" xfId="30639"/>
    <cellStyle name="Comma 2 2 14 3 4" xfId="17113"/>
    <cellStyle name="Comma 2 2 14 3 4 2" xfId="36791"/>
    <cellStyle name="Comma 2 2 14 3 5" xfId="24475"/>
    <cellStyle name="Comma 2 2 14 4" xfId="6299"/>
    <cellStyle name="Comma 2 2 14 4 2" xfId="12493"/>
    <cellStyle name="Comma 2 2 14 4 2 2" xfId="32171"/>
    <cellStyle name="Comma 2 2 14 4 3" xfId="18645"/>
    <cellStyle name="Comma 2 2 14 4 3 2" xfId="38323"/>
    <cellStyle name="Comma 2 2 14 4 4" xfId="26007"/>
    <cellStyle name="Comma 2 2 14 5" xfId="9427"/>
    <cellStyle name="Comma 2 2 14 5 2" xfId="29105"/>
    <cellStyle name="Comma 2 2 14 6" xfId="15579"/>
    <cellStyle name="Comma 2 2 14 6 2" xfId="35257"/>
    <cellStyle name="Comma 2 2 14 7" xfId="22848"/>
    <cellStyle name="Comma 2 2 15" xfId="666"/>
    <cellStyle name="Comma 2 2 15 2" xfId="3893"/>
    <cellStyle name="Comma 2 2 15 2 2" xfId="5518"/>
    <cellStyle name="Comma 2 2 15 2 2 2" xfId="8604"/>
    <cellStyle name="Comma 2 2 15 2 2 2 2" xfId="14797"/>
    <cellStyle name="Comma 2 2 15 2 2 2 2 2" xfId="34475"/>
    <cellStyle name="Comma 2 2 15 2 2 2 3" xfId="20949"/>
    <cellStyle name="Comma 2 2 15 2 2 2 3 2" xfId="40627"/>
    <cellStyle name="Comma 2 2 15 2 2 2 4" xfId="28311"/>
    <cellStyle name="Comma 2 2 15 2 2 3" xfId="11731"/>
    <cellStyle name="Comma 2 2 15 2 2 3 2" xfId="31409"/>
    <cellStyle name="Comma 2 2 15 2 2 4" xfId="17883"/>
    <cellStyle name="Comma 2 2 15 2 2 4 2" xfId="37561"/>
    <cellStyle name="Comma 2 2 15 2 2 5" xfId="25245"/>
    <cellStyle name="Comma 2 2 15 2 3" xfId="7069"/>
    <cellStyle name="Comma 2 2 15 2 3 2" xfId="13263"/>
    <cellStyle name="Comma 2 2 15 2 3 2 2" xfId="32941"/>
    <cellStyle name="Comma 2 2 15 2 3 3" xfId="19415"/>
    <cellStyle name="Comma 2 2 15 2 3 3 2" xfId="39093"/>
    <cellStyle name="Comma 2 2 15 2 3 4" xfId="26777"/>
    <cellStyle name="Comma 2 2 15 2 4" xfId="10197"/>
    <cellStyle name="Comma 2 2 15 2 4 2" xfId="29875"/>
    <cellStyle name="Comma 2 2 15 2 5" xfId="16349"/>
    <cellStyle name="Comma 2 2 15 2 5 2" xfId="36027"/>
    <cellStyle name="Comma 2 2 15 2 6" xfId="23711"/>
    <cellStyle name="Comma 2 2 15 3" xfId="4732"/>
    <cellStyle name="Comma 2 2 15 3 2" xfId="7835"/>
    <cellStyle name="Comma 2 2 15 3 2 2" xfId="14028"/>
    <cellStyle name="Comma 2 2 15 3 2 2 2" xfId="33706"/>
    <cellStyle name="Comma 2 2 15 3 2 3" xfId="20180"/>
    <cellStyle name="Comma 2 2 15 3 2 3 2" xfId="39858"/>
    <cellStyle name="Comma 2 2 15 3 2 4" xfId="27542"/>
    <cellStyle name="Comma 2 2 15 3 3" xfId="10962"/>
    <cellStyle name="Comma 2 2 15 3 3 2" xfId="30640"/>
    <cellStyle name="Comma 2 2 15 3 4" xfId="17114"/>
    <cellStyle name="Comma 2 2 15 3 4 2" xfId="36792"/>
    <cellStyle name="Comma 2 2 15 3 5" xfId="24476"/>
    <cellStyle name="Comma 2 2 15 4" xfId="6300"/>
    <cellStyle name="Comma 2 2 15 4 2" xfId="12494"/>
    <cellStyle name="Comma 2 2 15 4 2 2" xfId="32172"/>
    <cellStyle name="Comma 2 2 15 4 3" xfId="18646"/>
    <cellStyle name="Comma 2 2 15 4 3 2" xfId="38324"/>
    <cellStyle name="Comma 2 2 15 4 4" xfId="26008"/>
    <cellStyle name="Comma 2 2 15 5" xfId="9428"/>
    <cellStyle name="Comma 2 2 15 5 2" xfId="29106"/>
    <cellStyle name="Comma 2 2 15 6" xfId="15580"/>
    <cellStyle name="Comma 2 2 15 6 2" xfId="35258"/>
    <cellStyle name="Comma 2 2 15 7" xfId="22849"/>
    <cellStyle name="Comma 2 2 16" xfId="667"/>
    <cellStyle name="Comma 2 2 16 2" xfId="3894"/>
    <cellStyle name="Comma 2 2 16 2 2" xfId="5519"/>
    <cellStyle name="Comma 2 2 16 2 2 2" xfId="8605"/>
    <cellStyle name="Comma 2 2 16 2 2 2 2" xfId="14798"/>
    <cellStyle name="Comma 2 2 16 2 2 2 2 2" xfId="34476"/>
    <cellStyle name="Comma 2 2 16 2 2 2 3" xfId="20950"/>
    <cellStyle name="Comma 2 2 16 2 2 2 3 2" xfId="40628"/>
    <cellStyle name="Comma 2 2 16 2 2 2 4" xfId="28312"/>
    <cellStyle name="Comma 2 2 16 2 2 3" xfId="11732"/>
    <cellStyle name="Comma 2 2 16 2 2 3 2" xfId="31410"/>
    <cellStyle name="Comma 2 2 16 2 2 4" xfId="17884"/>
    <cellStyle name="Comma 2 2 16 2 2 4 2" xfId="37562"/>
    <cellStyle name="Comma 2 2 16 2 2 5" xfId="25246"/>
    <cellStyle name="Comma 2 2 16 2 3" xfId="7070"/>
    <cellStyle name="Comma 2 2 16 2 3 2" xfId="13264"/>
    <cellStyle name="Comma 2 2 16 2 3 2 2" xfId="32942"/>
    <cellStyle name="Comma 2 2 16 2 3 3" xfId="19416"/>
    <cellStyle name="Comma 2 2 16 2 3 3 2" xfId="39094"/>
    <cellStyle name="Comma 2 2 16 2 3 4" xfId="26778"/>
    <cellStyle name="Comma 2 2 16 2 4" xfId="10198"/>
    <cellStyle name="Comma 2 2 16 2 4 2" xfId="29876"/>
    <cellStyle name="Comma 2 2 16 2 5" xfId="16350"/>
    <cellStyle name="Comma 2 2 16 2 5 2" xfId="36028"/>
    <cellStyle name="Comma 2 2 16 2 6" xfId="23712"/>
    <cellStyle name="Comma 2 2 16 3" xfId="4733"/>
    <cellStyle name="Comma 2 2 16 3 2" xfId="7836"/>
    <cellStyle name="Comma 2 2 16 3 2 2" xfId="14029"/>
    <cellStyle name="Comma 2 2 16 3 2 2 2" xfId="33707"/>
    <cellStyle name="Comma 2 2 16 3 2 3" xfId="20181"/>
    <cellStyle name="Comma 2 2 16 3 2 3 2" xfId="39859"/>
    <cellStyle name="Comma 2 2 16 3 2 4" xfId="27543"/>
    <cellStyle name="Comma 2 2 16 3 3" xfId="10963"/>
    <cellStyle name="Comma 2 2 16 3 3 2" xfId="30641"/>
    <cellStyle name="Comma 2 2 16 3 4" xfId="17115"/>
    <cellStyle name="Comma 2 2 16 3 4 2" xfId="36793"/>
    <cellStyle name="Comma 2 2 16 3 5" xfId="24477"/>
    <cellStyle name="Comma 2 2 16 4" xfId="6301"/>
    <cellStyle name="Comma 2 2 16 4 2" xfId="12495"/>
    <cellStyle name="Comma 2 2 16 4 2 2" xfId="32173"/>
    <cellStyle name="Comma 2 2 16 4 3" xfId="18647"/>
    <cellStyle name="Comma 2 2 16 4 3 2" xfId="38325"/>
    <cellStyle name="Comma 2 2 16 4 4" xfId="26009"/>
    <cellStyle name="Comma 2 2 16 5" xfId="9429"/>
    <cellStyle name="Comma 2 2 16 5 2" xfId="29107"/>
    <cellStyle name="Comma 2 2 16 6" xfId="15581"/>
    <cellStyle name="Comma 2 2 16 6 2" xfId="35259"/>
    <cellStyle name="Comma 2 2 16 7" xfId="22850"/>
    <cellStyle name="Comma 2 2 17" xfId="668"/>
    <cellStyle name="Comma 2 2 17 2" xfId="3895"/>
    <cellStyle name="Comma 2 2 17 2 2" xfId="5520"/>
    <cellStyle name="Comma 2 2 17 2 2 2" xfId="8606"/>
    <cellStyle name="Comma 2 2 17 2 2 2 2" xfId="14799"/>
    <cellStyle name="Comma 2 2 17 2 2 2 2 2" xfId="34477"/>
    <cellStyle name="Comma 2 2 17 2 2 2 3" xfId="20951"/>
    <cellStyle name="Comma 2 2 17 2 2 2 3 2" xfId="40629"/>
    <cellStyle name="Comma 2 2 17 2 2 2 4" xfId="28313"/>
    <cellStyle name="Comma 2 2 17 2 2 3" xfId="11733"/>
    <cellStyle name="Comma 2 2 17 2 2 3 2" xfId="31411"/>
    <cellStyle name="Comma 2 2 17 2 2 4" xfId="17885"/>
    <cellStyle name="Comma 2 2 17 2 2 4 2" xfId="37563"/>
    <cellStyle name="Comma 2 2 17 2 2 5" xfId="25247"/>
    <cellStyle name="Comma 2 2 17 2 3" xfId="7071"/>
    <cellStyle name="Comma 2 2 17 2 3 2" xfId="13265"/>
    <cellStyle name="Comma 2 2 17 2 3 2 2" xfId="32943"/>
    <cellStyle name="Comma 2 2 17 2 3 3" xfId="19417"/>
    <cellStyle name="Comma 2 2 17 2 3 3 2" xfId="39095"/>
    <cellStyle name="Comma 2 2 17 2 3 4" xfId="26779"/>
    <cellStyle name="Comma 2 2 17 2 4" xfId="10199"/>
    <cellStyle name="Comma 2 2 17 2 4 2" xfId="29877"/>
    <cellStyle name="Comma 2 2 17 2 5" xfId="16351"/>
    <cellStyle name="Comma 2 2 17 2 5 2" xfId="36029"/>
    <cellStyle name="Comma 2 2 17 2 6" xfId="23713"/>
    <cellStyle name="Comma 2 2 17 3" xfId="4734"/>
    <cellStyle name="Comma 2 2 17 3 2" xfId="7837"/>
    <cellStyle name="Comma 2 2 17 3 2 2" xfId="14030"/>
    <cellStyle name="Comma 2 2 17 3 2 2 2" xfId="33708"/>
    <cellStyle name="Comma 2 2 17 3 2 3" xfId="20182"/>
    <cellStyle name="Comma 2 2 17 3 2 3 2" xfId="39860"/>
    <cellStyle name="Comma 2 2 17 3 2 4" xfId="27544"/>
    <cellStyle name="Comma 2 2 17 3 3" xfId="10964"/>
    <cellStyle name="Comma 2 2 17 3 3 2" xfId="30642"/>
    <cellStyle name="Comma 2 2 17 3 4" xfId="17116"/>
    <cellStyle name="Comma 2 2 17 3 4 2" xfId="36794"/>
    <cellStyle name="Comma 2 2 17 3 5" xfId="24478"/>
    <cellStyle name="Comma 2 2 17 4" xfId="6302"/>
    <cellStyle name="Comma 2 2 17 4 2" xfId="12496"/>
    <cellStyle name="Comma 2 2 17 4 2 2" xfId="32174"/>
    <cellStyle name="Comma 2 2 17 4 3" xfId="18648"/>
    <cellStyle name="Comma 2 2 17 4 3 2" xfId="38326"/>
    <cellStyle name="Comma 2 2 17 4 4" xfId="26010"/>
    <cellStyle name="Comma 2 2 17 5" xfId="9430"/>
    <cellStyle name="Comma 2 2 17 5 2" xfId="29108"/>
    <cellStyle name="Comma 2 2 17 6" xfId="15582"/>
    <cellStyle name="Comma 2 2 17 6 2" xfId="35260"/>
    <cellStyle name="Comma 2 2 17 7" xfId="22851"/>
    <cellStyle name="Comma 2 2 18" xfId="669"/>
    <cellStyle name="Comma 2 2 19" xfId="41873"/>
    <cellStyle name="Comma 2 2 2" xfId="670"/>
    <cellStyle name="Comma 2 2 2 2" xfId="671"/>
    <cellStyle name="Comma 2 2 2 2 10" xfId="15583"/>
    <cellStyle name="Comma 2 2 2 2 10 2" xfId="35261"/>
    <cellStyle name="Comma 2 2 2 2 11" xfId="22852"/>
    <cellStyle name="Comma 2 2 2 2 2" xfId="672"/>
    <cellStyle name="Comma 2 2 2 2 2 2" xfId="3897"/>
    <cellStyle name="Comma 2 2 2 2 2 2 2" xfId="5522"/>
    <cellStyle name="Comma 2 2 2 2 2 2 2 2" xfId="8608"/>
    <cellStyle name="Comma 2 2 2 2 2 2 2 2 2" xfId="14801"/>
    <cellStyle name="Comma 2 2 2 2 2 2 2 2 2 2" xfId="34479"/>
    <cellStyle name="Comma 2 2 2 2 2 2 2 2 3" xfId="20953"/>
    <cellStyle name="Comma 2 2 2 2 2 2 2 2 3 2" xfId="40631"/>
    <cellStyle name="Comma 2 2 2 2 2 2 2 2 4" xfId="28315"/>
    <cellStyle name="Comma 2 2 2 2 2 2 2 3" xfId="11735"/>
    <cellStyle name="Comma 2 2 2 2 2 2 2 3 2" xfId="31413"/>
    <cellStyle name="Comma 2 2 2 2 2 2 2 4" xfId="17887"/>
    <cellStyle name="Comma 2 2 2 2 2 2 2 4 2" xfId="37565"/>
    <cellStyle name="Comma 2 2 2 2 2 2 2 5" xfId="25249"/>
    <cellStyle name="Comma 2 2 2 2 2 2 3" xfId="7073"/>
    <cellStyle name="Comma 2 2 2 2 2 2 3 2" xfId="13267"/>
    <cellStyle name="Comma 2 2 2 2 2 2 3 2 2" xfId="32945"/>
    <cellStyle name="Comma 2 2 2 2 2 2 3 3" xfId="19419"/>
    <cellStyle name="Comma 2 2 2 2 2 2 3 3 2" xfId="39097"/>
    <cellStyle name="Comma 2 2 2 2 2 2 3 4" xfId="26781"/>
    <cellStyle name="Comma 2 2 2 2 2 2 4" xfId="10201"/>
    <cellStyle name="Comma 2 2 2 2 2 2 4 2" xfId="29879"/>
    <cellStyle name="Comma 2 2 2 2 2 2 5" xfId="16353"/>
    <cellStyle name="Comma 2 2 2 2 2 2 5 2" xfId="36031"/>
    <cellStyle name="Comma 2 2 2 2 2 2 6" xfId="23715"/>
    <cellStyle name="Comma 2 2 2 2 2 3" xfId="4736"/>
    <cellStyle name="Comma 2 2 2 2 2 3 2" xfId="7839"/>
    <cellStyle name="Comma 2 2 2 2 2 3 2 2" xfId="14032"/>
    <cellStyle name="Comma 2 2 2 2 2 3 2 2 2" xfId="33710"/>
    <cellStyle name="Comma 2 2 2 2 2 3 2 3" xfId="20184"/>
    <cellStyle name="Comma 2 2 2 2 2 3 2 3 2" xfId="39862"/>
    <cellStyle name="Comma 2 2 2 2 2 3 2 4" xfId="27546"/>
    <cellStyle name="Comma 2 2 2 2 2 3 3" xfId="10966"/>
    <cellStyle name="Comma 2 2 2 2 2 3 3 2" xfId="30644"/>
    <cellStyle name="Comma 2 2 2 2 2 3 4" xfId="17118"/>
    <cellStyle name="Comma 2 2 2 2 2 3 4 2" xfId="36796"/>
    <cellStyle name="Comma 2 2 2 2 2 3 5" xfId="24480"/>
    <cellStyle name="Comma 2 2 2 2 2 4" xfId="6304"/>
    <cellStyle name="Comma 2 2 2 2 2 4 2" xfId="12498"/>
    <cellStyle name="Comma 2 2 2 2 2 4 2 2" xfId="32176"/>
    <cellStyle name="Comma 2 2 2 2 2 4 3" xfId="18650"/>
    <cellStyle name="Comma 2 2 2 2 2 4 3 2" xfId="38328"/>
    <cellStyle name="Comma 2 2 2 2 2 4 4" xfId="26012"/>
    <cellStyle name="Comma 2 2 2 2 2 5" xfId="9432"/>
    <cellStyle name="Comma 2 2 2 2 2 5 2" xfId="29110"/>
    <cellStyle name="Comma 2 2 2 2 2 6" xfId="15584"/>
    <cellStyle name="Comma 2 2 2 2 2 6 2" xfId="35262"/>
    <cellStyle name="Comma 2 2 2 2 2 7" xfId="22853"/>
    <cellStyle name="Comma 2 2 2 2 3" xfId="673"/>
    <cellStyle name="Comma 2 2 2 2 3 2" xfId="3898"/>
    <cellStyle name="Comma 2 2 2 2 3 2 2" xfId="5523"/>
    <cellStyle name="Comma 2 2 2 2 3 2 2 2" xfId="8609"/>
    <cellStyle name="Comma 2 2 2 2 3 2 2 2 2" xfId="14802"/>
    <cellStyle name="Comma 2 2 2 2 3 2 2 2 2 2" xfId="34480"/>
    <cellStyle name="Comma 2 2 2 2 3 2 2 2 3" xfId="20954"/>
    <cellStyle name="Comma 2 2 2 2 3 2 2 2 3 2" xfId="40632"/>
    <cellStyle name="Comma 2 2 2 2 3 2 2 2 4" xfId="28316"/>
    <cellStyle name="Comma 2 2 2 2 3 2 2 3" xfId="11736"/>
    <cellStyle name="Comma 2 2 2 2 3 2 2 3 2" xfId="31414"/>
    <cellStyle name="Comma 2 2 2 2 3 2 2 4" xfId="17888"/>
    <cellStyle name="Comma 2 2 2 2 3 2 2 4 2" xfId="37566"/>
    <cellStyle name="Comma 2 2 2 2 3 2 2 5" xfId="25250"/>
    <cellStyle name="Comma 2 2 2 2 3 2 3" xfId="7074"/>
    <cellStyle name="Comma 2 2 2 2 3 2 3 2" xfId="13268"/>
    <cellStyle name="Comma 2 2 2 2 3 2 3 2 2" xfId="32946"/>
    <cellStyle name="Comma 2 2 2 2 3 2 3 3" xfId="19420"/>
    <cellStyle name="Comma 2 2 2 2 3 2 3 3 2" xfId="39098"/>
    <cellStyle name="Comma 2 2 2 2 3 2 3 4" xfId="26782"/>
    <cellStyle name="Comma 2 2 2 2 3 2 4" xfId="10202"/>
    <cellStyle name="Comma 2 2 2 2 3 2 4 2" xfId="29880"/>
    <cellStyle name="Comma 2 2 2 2 3 2 5" xfId="16354"/>
    <cellStyle name="Comma 2 2 2 2 3 2 5 2" xfId="36032"/>
    <cellStyle name="Comma 2 2 2 2 3 2 6" xfId="23716"/>
    <cellStyle name="Comma 2 2 2 2 3 3" xfId="4737"/>
    <cellStyle name="Comma 2 2 2 2 3 3 2" xfId="7840"/>
    <cellStyle name="Comma 2 2 2 2 3 3 2 2" xfId="14033"/>
    <cellStyle name="Comma 2 2 2 2 3 3 2 2 2" xfId="33711"/>
    <cellStyle name="Comma 2 2 2 2 3 3 2 3" xfId="20185"/>
    <cellStyle name="Comma 2 2 2 2 3 3 2 3 2" xfId="39863"/>
    <cellStyle name="Comma 2 2 2 2 3 3 2 4" xfId="27547"/>
    <cellStyle name="Comma 2 2 2 2 3 3 3" xfId="10967"/>
    <cellStyle name="Comma 2 2 2 2 3 3 3 2" xfId="30645"/>
    <cellStyle name="Comma 2 2 2 2 3 3 4" xfId="17119"/>
    <cellStyle name="Comma 2 2 2 2 3 3 4 2" xfId="36797"/>
    <cellStyle name="Comma 2 2 2 2 3 3 5" xfId="24481"/>
    <cellStyle name="Comma 2 2 2 2 3 4" xfId="6305"/>
    <cellStyle name="Comma 2 2 2 2 3 4 2" xfId="12499"/>
    <cellStyle name="Comma 2 2 2 2 3 4 2 2" xfId="32177"/>
    <cellStyle name="Comma 2 2 2 2 3 4 3" xfId="18651"/>
    <cellStyle name="Comma 2 2 2 2 3 4 3 2" xfId="38329"/>
    <cellStyle name="Comma 2 2 2 2 3 4 4" xfId="26013"/>
    <cellStyle name="Comma 2 2 2 2 3 5" xfId="9433"/>
    <cellStyle name="Comma 2 2 2 2 3 5 2" xfId="29111"/>
    <cellStyle name="Comma 2 2 2 2 3 6" xfId="15585"/>
    <cellStyle name="Comma 2 2 2 2 3 6 2" xfId="35263"/>
    <cellStyle name="Comma 2 2 2 2 3 7" xfId="22854"/>
    <cellStyle name="Comma 2 2 2 2 4" xfId="674"/>
    <cellStyle name="Comma 2 2 2 2 4 2" xfId="3899"/>
    <cellStyle name="Comma 2 2 2 2 4 2 2" xfId="5524"/>
    <cellStyle name="Comma 2 2 2 2 4 2 2 2" xfId="8610"/>
    <cellStyle name="Comma 2 2 2 2 4 2 2 2 2" xfId="14803"/>
    <cellStyle name="Comma 2 2 2 2 4 2 2 2 2 2" xfId="34481"/>
    <cellStyle name="Comma 2 2 2 2 4 2 2 2 3" xfId="20955"/>
    <cellStyle name="Comma 2 2 2 2 4 2 2 2 3 2" xfId="40633"/>
    <cellStyle name="Comma 2 2 2 2 4 2 2 2 4" xfId="28317"/>
    <cellStyle name="Comma 2 2 2 2 4 2 2 3" xfId="11737"/>
    <cellStyle name="Comma 2 2 2 2 4 2 2 3 2" xfId="31415"/>
    <cellStyle name="Comma 2 2 2 2 4 2 2 4" xfId="17889"/>
    <cellStyle name="Comma 2 2 2 2 4 2 2 4 2" xfId="37567"/>
    <cellStyle name="Comma 2 2 2 2 4 2 2 5" xfId="25251"/>
    <cellStyle name="Comma 2 2 2 2 4 2 3" xfId="7075"/>
    <cellStyle name="Comma 2 2 2 2 4 2 3 2" xfId="13269"/>
    <cellStyle name="Comma 2 2 2 2 4 2 3 2 2" xfId="32947"/>
    <cellStyle name="Comma 2 2 2 2 4 2 3 3" xfId="19421"/>
    <cellStyle name="Comma 2 2 2 2 4 2 3 3 2" xfId="39099"/>
    <cellStyle name="Comma 2 2 2 2 4 2 3 4" xfId="26783"/>
    <cellStyle name="Comma 2 2 2 2 4 2 4" xfId="10203"/>
    <cellStyle name="Comma 2 2 2 2 4 2 4 2" xfId="29881"/>
    <cellStyle name="Comma 2 2 2 2 4 2 5" xfId="16355"/>
    <cellStyle name="Comma 2 2 2 2 4 2 5 2" xfId="36033"/>
    <cellStyle name="Comma 2 2 2 2 4 2 6" xfId="23717"/>
    <cellStyle name="Comma 2 2 2 2 4 3" xfId="4738"/>
    <cellStyle name="Comma 2 2 2 2 4 3 2" xfId="7841"/>
    <cellStyle name="Comma 2 2 2 2 4 3 2 2" xfId="14034"/>
    <cellStyle name="Comma 2 2 2 2 4 3 2 2 2" xfId="33712"/>
    <cellStyle name="Comma 2 2 2 2 4 3 2 3" xfId="20186"/>
    <cellStyle name="Comma 2 2 2 2 4 3 2 3 2" xfId="39864"/>
    <cellStyle name="Comma 2 2 2 2 4 3 2 4" xfId="27548"/>
    <cellStyle name="Comma 2 2 2 2 4 3 3" xfId="10968"/>
    <cellStyle name="Comma 2 2 2 2 4 3 3 2" xfId="30646"/>
    <cellStyle name="Comma 2 2 2 2 4 3 4" xfId="17120"/>
    <cellStyle name="Comma 2 2 2 2 4 3 4 2" xfId="36798"/>
    <cellStyle name="Comma 2 2 2 2 4 3 5" xfId="24482"/>
    <cellStyle name="Comma 2 2 2 2 4 4" xfId="6306"/>
    <cellStyle name="Comma 2 2 2 2 4 4 2" xfId="12500"/>
    <cellStyle name="Comma 2 2 2 2 4 4 2 2" xfId="32178"/>
    <cellStyle name="Comma 2 2 2 2 4 4 3" xfId="18652"/>
    <cellStyle name="Comma 2 2 2 2 4 4 3 2" xfId="38330"/>
    <cellStyle name="Comma 2 2 2 2 4 4 4" xfId="26014"/>
    <cellStyle name="Comma 2 2 2 2 4 5" xfId="9434"/>
    <cellStyle name="Comma 2 2 2 2 4 5 2" xfId="29112"/>
    <cellStyle name="Comma 2 2 2 2 4 6" xfId="15586"/>
    <cellStyle name="Comma 2 2 2 2 4 6 2" xfId="35264"/>
    <cellStyle name="Comma 2 2 2 2 4 7" xfId="22855"/>
    <cellStyle name="Comma 2 2 2 2 5" xfId="675"/>
    <cellStyle name="Comma 2 2 2 2 5 2" xfId="3900"/>
    <cellStyle name="Comma 2 2 2 2 5 2 2" xfId="5525"/>
    <cellStyle name="Comma 2 2 2 2 5 2 2 2" xfId="8611"/>
    <cellStyle name="Comma 2 2 2 2 5 2 2 2 2" xfId="14804"/>
    <cellStyle name="Comma 2 2 2 2 5 2 2 2 2 2" xfId="34482"/>
    <cellStyle name="Comma 2 2 2 2 5 2 2 2 3" xfId="20956"/>
    <cellStyle name="Comma 2 2 2 2 5 2 2 2 3 2" xfId="40634"/>
    <cellStyle name="Comma 2 2 2 2 5 2 2 2 4" xfId="28318"/>
    <cellStyle name="Comma 2 2 2 2 5 2 2 3" xfId="11738"/>
    <cellStyle name="Comma 2 2 2 2 5 2 2 3 2" xfId="31416"/>
    <cellStyle name="Comma 2 2 2 2 5 2 2 4" xfId="17890"/>
    <cellStyle name="Comma 2 2 2 2 5 2 2 4 2" xfId="37568"/>
    <cellStyle name="Comma 2 2 2 2 5 2 2 5" xfId="25252"/>
    <cellStyle name="Comma 2 2 2 2 5 2 3" xfId="7076"/>
    <cellStyle name="Comma 2 2 2 2 5 2 3 2" xfId="13270"/>
    <cellStyle name="Comma 2 2 2 2 5 2 3 2 2" xfId="32948"/>
    <cellStyle name="Comma 2 2 2 2 5 2 3 3" xfId="19422"/>
    <cellStyle name="Comma 2 2 2 2 5 2 3 3 2" xfId="39100"/>
    <cellStyle name="Comma 2 2 2 2 5 2 3 4" xfId="26784"/>
    <cellStyle name="Comma 2 2 2 2 5 2 4" xfId="10204"/>
    <cellStyle name="Comma 2 2 2 2 5 2 4 2" xfId="29882"/>
    <cellStyle name="Comma 2 2 2 2 5 2 5" xfId="16356"/>
    <cellStyle name="Comma 2 2 2 2 5 2 5 2" xfId="36034"/>
    <cellStyle name="Comma 2 2 2 2 5 2 6" xfId="23718"/>
    <cellStyle name="Comma 2 2 2 2 5 3" xfId="4739"/>
    <cellStyle name="Comma 2 2 2 2 5 3 2" xfId="7842"/>
    <cellStyle name="Comma 2 2 2 2 5 3 2 2" xfId="14035"/>
    <cellStyle name="Comma 2 2 2 2 5 3 2 2 2" xfId="33713"/>
    <cellStyle name="Comma 2 2 2 2 5 3 2 3" xfId="20187"/>
    <cellStyle name="Comma 2 2 2 2 5 3 2 3 2" xfId="39865"/>
    <cellStyle name="Comma 2 2 2 2 5 3 2 4" xfId="27549"/>
    <cellStyle name="Comma 2 2 2 2 5 3 3" xfId="10969"/>
    <cellStyle name="Comma 2 2 2 2 5 3 3 2" xfId="30647"/>
    <cellStyle name="Comma 2 2 2 2 5 3 4" xfId="17121"/>
    <cellStyle name="Comma 2 2 2 2 5 3 4 2" xfId="36799"/>
    <cellStyle name="Comma 2 2 2 2 5 3 5" xfId="24483"/>
    <cellStyle name="Comma 2 2 2 2 5 4" xfId="6307"/>
    <cellStyle name="Comma 2 2 2 2 5 4 2" xfId="12501"/>
    <cellStyle name="Comma 2 2 2 2 5 4 2 2" xfId="32179"/>
    <cellStyle name="Comma 2 2 2 2 5 4 3" xfId="18653"/>
    <cellStyle name="Comma 2 2 2 2 5 4 3 2" xfId="38331"/>
    <cellStyle name="Comma 2 2 2 2 5 4 4" xfId="26015"/>
    <cellStyle name="Comma 2 2 2 2 5 5" xfId="9435"/>
    <cellStyle name="Comma 2 2 2 2 5 5 2" xfId="29113"/>
    <cellStyle name="Comma 2 2 2 2 5 6" xfId="15587"/>
    <cellStyle name="Comma 2 2 2 2 5 6 2" xfId="35265"/>
    <cellStyle name="Comma 2 2 2 2 5 7" xfId="22856"/>
    <cellStyle name="Comma 2 2 2 2 6" xfId="3896"/>
    <cellStyle name="Comma 2 2 2 2 6 2" xfId="5521"/>
    <cellStyle name="Comma 2 2 2 2 6 2 2" xfId="8607"/>
    <cellStyle name="Comma 2 2 2 2 6 2 2 2" xfId="14800"/>
    <cellStyle name="Comma 2 2 2 2 6 2 2 2 2" xfId="34478"/>
    <cellStyle name="Comma 2 2 2 2 6 2 2 3" xfId="20952"/>
    <cellStyle name="Comma 2 2 2 2 6 2 2 3 2" xfId="40630"/>
    <cellStyle name="Comma 2 2 2 2 6 2 2 4" xfId="28314"/>
    <cellStyle name="Comma 2 2 2 2 6 2 3" xfId="11734"/>
    <cellStyle name="Comma 2 2 2 2 6 2 3 2" xfId="31412"/>
    <cellStyle name="Comma 2 2 2 2 6 2 4" xfId="17886"/>
    <cellStyle name="Comma 2 2 2 2 6 2 4 2" xfId="37564"/>
    <cellStyle name="Comma 2 2 2 2 6 2 5" xfId="25248"/>
    <cellStyle name="Comma 2 2 2 2 6 3" xfId="7072"/>
    <cellStyle name="Comma 2 2 2 2 6 3 2" xfId="13266"/>
    <cellStyle name="Comma 2 2 2 2 6 3 2 2" xfId="32944"/>
    <cellStyle name="Comma 2 2 2 2 6 3 3" xfId="19418"/>
    <cellStyle name="Comma 2 2 2 2 6 3 3 2" xfId="39096"/>
    <cellStyle name="Comma 2 2 2 2 6 3 4" xfId="26780"/>
    <cellStyle name="Comma 2 2 2 2 6 4" xfId="10200"/>
    <cellStyle name="Comma 2 2 2 2 6 4 2" xfId="29878"/>
    <cellStyle name="Comma 2 2 2 2 6 5" xfId="16352"/>
    <cellStyle name="Comma 2 2 2 2 6 5 2" xfId="36030"/>
    <cellStyle name="Comma 2 2 2 2 6 6" xfId="23714"/>
    <cellStyle name="Comma 2 2 2 2 7" xfId="4735"/>
    <cellStyle name="Comma 2 2 2 2 7 2" xfId="7838"/>
    <cellStyle name="Comma 2 2 2 2 7 2 2" xfId="14031"/>
    <cellStyle name="Comma 2 2 2 2 7 2 2 2" xfId="33709"/>
    <cellStyle name="Comma 2 2 2 2 7 2 3" xfId="20183"/>
    <cellStyle name="Comma 2 2 2 2 7 2 3 2" xfId="39861"/>
    <cellStyle name="Comma 2 2 2 2 7 2 4" xfId="27545"/>
    <cellStyle name="Comma 2 2 2 2 7 3" xfId="10965"/>
    <cellStyle name="Comma 2 2 2 2 7 3 2" xfId="30643"/>
    <cellStyle name="Comma 2 2 2 2 7 4" xfId="17117"/>
    <cellStyle name="Comma 2 2 2 2 7 4 2" xfId="36795"/>
    <cellStyle name="Comma 2 2 2 2 7 5" xfId="24479"/>
    <cellStyle name="Comma 2 2 2 2 8" xfId="6303"/>
    <cellStyle name="Comma 2 2 2 2 8 2" xfId="12497"/>
    <cellStyle name="Comma 2 2 2 2 8 2 2" xfId="32175"/>
    <cellStyle name="Comma 2 2 2 2 8 3" xfId="18649"/>
    <cellStyle name="Comma 2 2 2 2 8 3 2" xfId="38327"/>
    <cellStyle name="Comma 2 2 2 2 8 4" xfId="26011"/>
    <cellStyle name="Comma 2 2 2 2 9" xfId="9431"/>
    <cellStyle name="Comma 2 2 2 2 9 2" xfId="29109"/>
    <cellStyle name="Comma 2 2 2 3" xfId="676"/>
    <cellStyle name="Comma 2 2 2 3 2" xfId="3901"/>
    <cellStyle name="Comma 2 2 2 3 2 2" xfId="5526"/>
    <cellStyle name="Comma 2 2 2 3 2 2 2" xfId="8612"/>
    <cellStyle name="Comma 2 2 2 3 2 2 2 2" xfId="14805"/>
    <cellStyle name="Comma 2 2 2 3 2 2 2 2 2" xfId="34483"/>
    <cellStyle name="Comma 2 2 2 3 2 2 2 3" xfId="20957"/>
    <cellStyle name="Comma 2 2 2 3 2 2 2 3 2" xfId="40635"/>
    <cellStyle name="Comma 2 2 2 3 2 2 2 4" xfId="28319"/>
    <cellStyle name="Comma 2 2 2 3 2 2 3" xfId="11739"/>
    <cellStyle name="Comma 2 2 2 3 2 2 3 2" xfId="31417"/>
    <cellStyle name="Comma 2 2 2 3 2 2 4" xfId="17891"/>
    <cellStyle name="Comma 2 2 2 3 2 2 4 2" xfId="37569"/>
    <cellStyle name="Comma 2 2 2 3 2 2 5" xfId="25253"/>
    <cellStyle name="Comma 2 2 2 3 2 3" xfId="7077"/>
    <cellStyle name="Comma 2 2 2 3 2 3 2" xfId="13271"/>
    <cellStyle name="Comma 2 2 2 3 2 3 2 2" xfId="32949"/>
    <cellStyle name="Comma 2 2 2 3 2 3 3" xfId="19423"/>
    <cellStyle name="Comma 2 2 2 3 2 3 3 2" xfId="39101"/>
    <cellStyle name="Comma 2 2 2 3 2 3 4" xfId="26785"/>
    <cellStyle name="Comma 2 2 2 3 2 4" xfId="10205"/>
    <cellStyle name="Comma 2 2 2 3 2 4 2" xfId="29883"/>
    <cellStyle name="Comma 2 2 2 3 2 5" xfId="16357"/>
    <cellStyle name="Comma 2 2 2 3 2 5 2" xfId="36035"/>
    <cellStyle name="Comma 2 2 2 3 2 6" xfId="23719"/>
    <cellStyle name="Comma 2 2 2 3 3" xfId="4740"/>
    <cellStyle name="Comma 2 2 2 3 3 2" xfId="7843"/>
    <cellStyle name="Comma 2 2 2 3 3 2 2" xfId="14036"/>
    <cellStyle name="Comma 2 2 2 3 3 2 2 2" xfId="33714"/>
    <cellStyle name="Comma 2 2 2 3 3 2 3" xfId="20188"/>
    <cellStyle name="Comma 2 2 2 3 3 2 3 2" xfId="39866"/>
    <cellStyle name="Comma 2 2 2 3 3 2 4" xfId="27550"/>
    <cellStyle name="Comma 2 2 2 3 3 3" xfId="10970"/>
    <cellStyle name="Comma 2 2 2 3 3 3 2" xfId="30648"/>
    <cellStyle name="Comma 2 2 2 3 3 4" xfId="17122"/>
    <cellStyle name="Comma 2 2 2 3 3 4 2" xfId="36800"/>
    <cellStyle name="Comma 2 2 2 3 3 5" xfId="24484"/>
    <cellStyle name="Comma 2 2 2 3 4" xfId="6308"/>
    <cellStyle name="Comma 2 2 2 3 4 2" xfId="12502"/>
    <cellStyle name="Comma 2 2 2 3 4 2 2" xfId="32180"/>
    <cellStyle name="Comma 2 2 2 3 4 3" xfId="18654"/>
    <cellStyle name="Comma 2 2 2 3 4 3 2" xfId="38332"/>
    <cellStyle name="Comma 2 2 2 3 4 4" xfId="26016"/>
    <cellStyle name="Comma 2 2 2 3 5" xfId="9436"/>
    <cellStyle name="Comma 2 2 2 3 5 2" xfId="29114"/>
    <cellStyle name="Comma 2 2 2 3 6" xfId="15588"/>
    <cellStyle name="Comma 2 2 2 3 6 2" xfId="35266"/>
    <cellStyle name="Comma 2 2 2 3 7" xfId="22857"/>
    <cellStyle name="Comma 2 2 2 4" xfId="677"/>
    <cellStyle name="Comma 2 2 2 4 2" xfId="3902"/>
    <cellStyle name="Comma 2 2 2 4 2 2" xfId="5527"/>
    <cellStyle name="Comma 2 2 2 4 2 2 2" xfId="8613"/>
    <cellStyle name="Comma 2 2 2 4 2 2 2 2" xfId="14806"/>
    <cellStyle name="Comma 2 2 2 4 2 2 2 2 2" xfId="34484"/>
    <cellStyle name="Comma 2 2 2 4 2 2 2 3" xfId="20958"/>
    <cellStyle name="Comma 2 2 2 4 2 2 2 3 2" xfId="40636"/>
    <cellStyle name="Comma 2 2 2 4 2 2 2 4" xfId="28320"/>
    <cellStyle name="Comma 2 2 2 4 2 2 3" xfId="11740"/>
    <cellStyle name="Comma 2 2 2 4 2 2 3 2" xfId="31418"/>
    <cellStyle name="Comma 2 2 2 4 2 2 4" xfId="17892"/>
    <cellStyle name="Comma 2 2 2 4 2 2 4 2" xfId="37570"/>
    <cellStyle name="Comma 2 2 2 4 2 2 5" xfId="25254"/>
    <cellStyle name="Comma 2 2 2 4 2 3" xfId="7078"/>
    <cellStyle name="Comma 2 2 2 4 2 3 2" xfId="13272"/>
    <cellStyle name="Comma 2 2 2 4 2 3 2 2" xfId="32950"/>
    <cellStyle name="Comma 2 2 2 4 2 3 3" xfId="19424"/>
    <cellStyle name="Comma 2 2 2 4 2 3 3 2" xfId="39102"/>
    <cellStyle name="Comma 2 2 2 4 2 3 4" xfId="26786"/>
    <cellStyle name="Comma 2 2 2 4 2 4" xfId="10206"/>
    <cellStyle name="Comma 2 2 2 4 2 4 2" xfId="29884"/>
    <cellStyle name="Comma 2 2 2 4 2 5" xfId="16358"/>
    <cellStyle name="Comma 2 2 2 4 2 5 2" xfId="36036"/>
    <cellStyle name="Comma 2 2 2 4 2 6" xfId="23720"/>
    <cellStyle name="Comma 2 2 2 4 3" xfId="4741"/>
    <cellStyle name="Comma 2 2 2 4 3 2" xfId="7844"/>
    <cellStyle name="Comma 2 2 2 4 3 2 2" xfId="14037"/>
    <cellStyle name="Comma 2 2 2 4 3 2 2 2" xfId="33715"/>
    <cellStyle name="Comma 2 2 2 4 3 2 3" xfId="20189"/>
    <cellStyle name="Comma 2 2 2 4 3 2 3 2" xfId="39867"/>
    <cellStyle name="Comma 2 2 2 4 3 2 4" xfId="27551"/>
    <cellStyle name="Comma 2 2 2 4 3 3" xfId="10971"/>
    <cellStyle name="Comma 2 2 2 4 3 3 2" xfId="30649"/>
    <cellStyle name="Comma 2 2 2 4 3 4" xfId="17123"/>
    <cellStyle name="Comma 2 2 2 4 3 4 2" xfId="36801"/>
    <cellStyle name="Comma 2 2 2 4 3 5" xfId="24485"/>
    <cellStyle name="Comma 2 2 2 4 4" xfId="6309"/>
    <cellStyle name="Comma 2 2 2 4 4 2" xfId="12503"/>
    <cellStyle name="Comma 2 2 2 4 4 2 2" xfId="32181"/>
    <cellStyle name="Comma 2 2 2 4 4 3" xfId="18655"/>
    <cellStyle name="Comma 2 2 2 4 4 3 2" xfId="38333"/>
    <cellStyle name="Comma 2 2 2 4 4 4" xfId="26017"/>
    <cellStyle name="Comma 2 2 2 4 5" xfId="9437"/>
    <cellStyle name="Comma 2 2 2 4 5 2" xfId="29115"/>
    <cellStyle name="Comma 2 2 2 4 6" xfId="15589"/>
    <cellStyle name="Comma 2 2 2 4 6 2" xfId="35267"/>
    <cellStyle name="Comma 2 2 2 4 7" xfId="22858"/>
    <cellStyle name="Comma 2 2 2 5" xfId="678"/>
    <cellStyle name="Comma 2 2 2 5 2" xfId="3903"/>
    <cellStyle name="Comma 2 2 2 5 2 2" xfId="5528"/>
    <cellStyle name="Comma 2 2 2 5 2 2 2" xfId="8614"/>
    <cellStyle name="Comma 2 2 2 5 2 2 2 2" xfId="14807"/>
    <cellStyle name="Comma 2 2 2 5 2 2 2 2 2" xfId="34485"/>
    <cellStyle name="Comma 2 2 2 5 2 2 2 3" xfId="20959"/>
    <cellStyle name="Comma 2 2 2 5 2 2 2 3 2" xfId="40637"/>
    <cellStyle name="Comma 2 2 2 5 2 2 2 4" xfId="28321"/>
    <cellStyle name="Comma 2 2 2 5 2 2 3" xfId="11741"/>
    <cellStyle name="Comma 2 2 2 5 2 2 3 2" xfId="31419"/>
    <cellStyle name="Comma 2 2 2 5 2 2 4" xfId="17893"/>
    <cellStyle name="Comma 2 2 2 5 2 2 4 2" xfId="37571"/>
    <cellStyle name="Comma 2 2 2 5 2 2 5" xfId="25255"/>
    <cellStyle name="Comma 2 2 2 5 2 3" xfId="7079"/>
    <cellStyle name="Comma 2 2 2 5 2 3 2" xfId="13273"/>
    <cellStyle name="Comma 2 2 2 5 2 3 2 2" xfId="32951"/>
    <cellStyle name="Comma 2 2 2 5 2 3 3" xfId="19425"/>
    <cellStyle name="Comma 2 2 2 5 2 3 3 2" xfId="39103"/>
    <cellStyle name="Comma 2 2 2 5 2 3 4" xfId="26787"/>
    <cellStyle name="Comma 2 2 2 5 2 4" xfId="10207"/>
    <cellStyle name="Comma 2 2 2 5 2 4 2" xfId="29885"/>
    <cellStyle name="Comma 2 2 2 5 2 5" xfId="16359"/>
    <cellStyle name="Comma 2 2 2 5 2 5 2" xfId="36037"/>
    <cellStyle name="Comma 2 2 2 5 2 6" xfId="23721"/>
    <cellStyle name="Comma 2 2 2 5 3" xfId="4742"/>
    <cellStyle name="Comma 2 2 2 5 3 2" xfId="7845"/>
    <cellStyle name="Comma 2 2 2 5 3 2 2" xfId="14038"/>
    <cellStyle name="Comma 2 2 2 5 3 2 2 2" xfId="33716"/>
    <cellStyle name="Comma 2 2 2 5 3 2 3" xfId="20190"/>
    <cellStyle name="Comma 2 2 2 5 3 2 3 2" xfId="39868"/>
    <cellStyle name="Comma 2 2 2 5 3 2 4" xfId="27552"/>
    <cellStyle name="Comma 2 2 2 5 3 3" xfId="10972"/>
    <cellStyle name="Comma 2 2 2 5 3 3 2" xfId="30650"/>
    <cellStyle name="Comma 2 2 2 5 3 4" xfId="17124"/>
    <cellStyle name="Comma 2 2 2 5 3 4 2" xfId="36802"/>
    <cellStyle name="Comma 2 2 2 5 3 5" xfId="24486"/>
    <cellStyle name="Comma 2 2 2 5 4" xfId="6310"/>
    <cellStyle name="Comma 2 2 2 5 4 2" xfId="12504"/>
    <cellStyle name="Comma 2 2 2 5 4 2 2" xfId="32182"/>
    <cellStyle name="Comma 2 2 2 5 4 3" xfId="18656"/>
    <cellStyle name="Comma 2 2 2 5 4 3 2" xfId="38334"/>
    <cellStyle name="Comma 2 2 2 5 4 4" xfId="26018"/>
    <cellStyle name="Comma 2 2 2 5 5" xfId="9438"/>
    <cellStyle name="Comma 2 2 2 5 5 2" xfId="29116"/>
    <cellStyle name="Comma 2 2 2 5 6" xfId="15590"/>
    <cellStyle name="Comma 2 2 2 5 6 2" xfId="35268"/>
    <cellStyle name="Comma 2 2 2 5 7" xfId="22859"/>
    <cellStyle name="Comma 2 2 2 6" xfId="679"/>
    <cellStyle name="Comma 2 2 2 6 2" xfId="3904"/>
    <cellStyle name="Comma 2 2 2 6 2 2" xfId="5529"/>
    <cellStyle name="Comma 2 2 2 6 2 2 2" xfId="8615"/>
    <cellStyle name="Comma 2 2 2 6 2 2 2 2" xfId="14808"/>
    <cellStyle name="Comma 2 2 2 6 2 2 2 2 2" xfId="34486"/>
    <cellStyle name="Comma 2 2 2 6 2 2 2 3" xfId="20960"/>
    <cellStyle name="Comma 2 2 2 6 2 2 2 3 2" xfId="40638"/>
    <cellStyle name="Comma 2 2 2 6 2 2 2 4" xfId="28322"/>
    <cellStyle name="Comma 2 2 2 6 2 2 3" xfId="11742"/>
    <cellStyle name="Comma 2 2 2 6 2 2 3 2" xfId="31420"/>
    <cellStyle name="Comma 2 2 2 6 2 2 4" xfId="17894"/>
    <cellStyle name="Comma 2 2 2 6 2 2 4 2" xfId="37572"/>
    <cellStyle name="Comma 2 2 2 6 2 2 5" xfId="25256"/>
    <cellStyle name="Comma 2 2 2 6 2 3" xfId="7080"/>
    <cellStyle name="Comma 2 2 2 6 2 3 2" xfId="13274"/>
    <cellStyle name="Comma 2 2 2 6 2 3 2 2" xfId="32952"/>
    <cellStyle name="Comma 2 2 2 6 2 3 3" xfId="19426"/>
    <cellStyle name="Comma 2 2 2 6 2 3 3 2" xfId="39104"/>
    <cellStyle name="Comma 2 2 2 6 2 3 4" xfId="26788"/>
    <cellStyle name="Comma 2 2 2 6 2 4" xfId="10208"/>
    <cellStyle name="Comma 2 2 2 6 2 4 2" xfId="29886"/>
    <cellStyle name="Comma 2 2 2 6 2 5" xfId="16360"/>
    <cellStyle name="Comma 2 2 2 6 2 5 2" xfId="36038"/>
    <cellStyle name="Comma 2 2 2 6 2 6" xfId="23722"/>
    <cellStyle name="Comma 2 2 2 6 3" xfId="4743"/>
    <cellStyle name="Comma 2 2 2 6 3 2" xfId="7846"/>
    <cellStyle name="Comma 2 2 2 6 3 2 2" xfId="14039"/>
    <cellStyle name="Comma 2 2 2 6 3 2 2 2" xfId="33717"/>
    <cellStyle name="Comma 2 2 2 6 3 2 3" xfId="20191"/>
    <cellStyle name="Comma 2 2 2 6 3 2 3 2" xfId="39869"/>
    <cellStyle name="Comma 2 2 2 6 3 2 4" xfId="27553"/>
    <cellStyle name="Comma 2 2 2 6 3 3" xfId="10973"/>
    <cellStyle name="Comma 2 2 2 6 3 3 2" xfId="30651"/>
    <cellStyle name="Comma 2 2 2 6 3 4" xfId="17125"/>
    <cellStyle name="Comma 2 2 2 6 3 4 2" xfId="36803"/>
    <cellStyle name="Comma 2 2 2 6 3 5" xfId="24487"/>
    <cellStyle name="Comma 2 2 2 6 4" xfId="6311"/>
    <cellStyle name="Comma 2 2 2 6 4 2" xfId="12505"/>
    <cellStyle name="Comma 2 2 2 6 4 2 2" xfId="32183"/>
    <cellStyle name="Comma 2 2 2 6 4 3" xfId="18657"/>
    <cellStyle name="Comma 2 2 2 6 4 3 2" xfId="38335"/>
    <cellStyle name="Comma 2 2 2 6 4 4" xfId="26019"/>
    <cellStyle name="Comma 2 2 2 6 5" xfId="9439"/>
    <cellStyle name="Comma 2 2 2 6 5 2" xfId="29117"/>
    <cellStyle name="Comma 2 2 2 6 6" xfId="15591"/>
    <cellStyle name="Comma 2 2 2 6 6 2" xfId="35269"/>
    <cellStyle name="Comma 2 2 2 6 7" xfId="22860"/>
    <cellStyle name="Comma 2 2 2 7" xfId="680"/>
    <cellStyle name="Comma 2 2 2 8" xfId="681"/>
    <cellStyle name="Comma 2 2 2 9" xfId="41874"/>
    <cellStyle name="Comma 2 2 3" xfId="682"/>
    <cellStyle name="Comma 2 2 3 10" xfId="15592"/>
    <cellStyle name="Comma 2 2 3 10 2" xfId="35270"/>
    <cellStyle name="Comma 2 2 3 11" xfId="41875"/>
    <cellStyle name="Comma 2 2 3 12" xfId="22861"/>
    <cellStyle name="Comma 2 2 3 2" xfId="683"/>
    <cellStyle name="Comma 2 2 3 2 2" xfId="684"/>
    <cellStyle name="Comma 2 2 3 2 2 2" xfId="3906"/>
    <cellStyle name="Comma 2 2 3 2 2 2 2" xfId="5531"/>
    <cellStyle name="Comma 2 2 3 2 2 2 2 2" xfId="8617"/>
    <cellStyle name="Comma 2 2 3 2 2 2 2 2 2" xfId="14810"/>
    <cellStyle name="Comma 2 2 3 2 2 2 2 2 2 2" xfId="34488"/>
    <cellStyle name="Comma 2 2 3 2 2 2 2 2 3" xfId="20962"/>
    <cellStyle name="Comma 2 2 3 2 2 2 2 2 3 2" xfId="40640"/>
    <cellStyle name="Comma 2 2 3 2 2 2 2 2 4" xfId="28324"/>
    <cellStyle name="Comma 2 2 3 2 2 2 2 3" xfId="11744"/>
    <cellStyle name="Comma 2 2 3 2 2 2 2 3 2" xfId="31422"/>
    <cellStyle name="Comma 2 2 3 2 2 2 2 4" xfId="17896"/>
    <cellStyle name="Comma 2 2 3 2 2 2 2 4 2" xfId="37574"/>
    <cellStyle name="Comma 2 2 3 2 2 2 2 5" xfId="25258"/>
    <cellStyle name="Comma 2 2 3 2 2 2 3" xfId="7082"/>
    <cellStyle name="Comma 2 2 3 2 2 2 3 2" xfId="13276"/>
    <cellStyle name="Comma 2 2 3 2 2 2 3 2 2" xfId="32954"/>
    <cellStyle name="Comma 2 2 3 2 2 2 3 3" xfId="19428"/>
    <cellStyle name="Comma 2 2 3 2 2 2 3 3 2" xfId="39106"/>
    <cellStyle name="Comma 2 2 3 2 2 2 3 4" xfId="26790"/>
    <cellStyle name="Comma 2 2 3 2 2 2 4" xfId="10210"/>
    <cellStyle name="Comma 2 2 3 2 2 2 4 2" xfId="29888"/>
    <cellStyle name="Comma 2 2 3 2 2 2 5" xfId="16362"/>
    <cellStyle name="Comma 2 2 3 2 2 2 5 2" xfId="36040"/>
    <cellStyle name="Comma 2 2 3 2 2 2 6" xfId="23724"/>
    <cellStyle name="Comma 2 2 3 2 2 3" xfId="4745"/>
    <cellStyle name="Comma 2 2 3 2 2 3 2" xfId="7848"/>
    <cellStyle name="Comma 2 2 3 2 2 3 2 2" xfId="14041"/>
    <cellStyle name="Comma 2 2 3 2 2 3 2 2 2" xfId="33719"/>
    <cellStyle name="Comma 2 2 3 2 2 3 2 3" xfId="20193"/>
    <cellStyle name="Comma 2 2 3 2 2 3 2 3 2" xfId="39871"/>
    <cellStyle name="Comma 2 2 3 2 2 3 2 4" xfId="27555"/>
    <cellStyle name="Comma 2 2 3 2 2 3 3" xfId="10975"/>
    <cellStyle name="Comma 2 2 3 2 2 3 3 2" xfId="30653"/>
    <cellStyle name="Comma 2 2 3 2 2 3 4" xfId="17127"/>
    <cellStyle name="Comma 2 2 3 2 2 3 4 2" xfId="36805"/>
    <cellStyle name="Comma 2 2 3 2 2 3 5" xfId="24489"/>
    <cellStyle name="Comma 2 2 3 2 2 4" xfId="6313"/>
    <cellStyle name="Comma 2 2 3 2 2 4 2" xfId="12507"/>
    <cellStyle name="Comma 2 2 3 2 2 4 2 2" xfId="32185"/>
    <cellStyle name="Comma 2 2 3 2 2 4 3" xfId="18659"/>
    <cellStyle name="Comma 2 2 3 2 2 4 3 2" xfId="38337"/>
    <cellStyle name="Comma 2 2 3 2 2 4 4" xfId="26021"/>
    <cellStyle name="Comma 2 2 3 2 2 5" xfId="9441"/>
    <cellStyle name="Comma 2 2 3 2 2 5 2" xfId="29119"/>
    <cellStyle name="Comma 2 2 3 2 2 6" xfId="15593"/>
    <cellStyle name="Comma 2 2 3 2 2 6 2" xfId="35271"/>
    <cellStyle name="Comma 2 2 3 2 2 7" xfId="22862"/>
    <cellStyle name="Comma 2 2 3 2 3" xfId="685"/>
    <cellStyle name="Comma 2 2 3 2 3 2" xfId="3907"/>
    <cellStyle name="Comma 2 2 3 2 3 2 2" xfId="5532"/>
    <cellStyle name="Comma 2 2 3 2 3 2 2 2" xfId="8618"/>
    <cellStyle name="Comma 2 2 3 2 3 2 2 2 2" xfId="14811"/>
    <cellStyle name="Comma 2 2 3 2 3 2 2 2 2 2" xfId="34489"/>
    <cellStyle name="Comma 2 2 3 2 3 2 2 2 3" xfId="20963"/>
    <cellStyle name="Comma 2 2 3 2 3 2 2 2 3 2" xfId="40641"/>
    <cellStyle name="Comma 2 2 3 2 3 2 2 2 4" xfId="28325"/>
    <cellStyle name="Comma 2 2 3 2 3 2 2 3" xfId="11745"/>
    <cellStyle name="Comma 2 2 3 2 3 2 2 3 2" xfId="31423"/>
    <cellStyle name="Comma 2 2 3 2 3 2 2 4" xfId="17897"/>
    <cellStyle name="Comma 2 2 3 2 3 2 2 4 2" xfId="37575"/>
    <cellStyle name="Comma 2 2 3 2 3 2 2 5" xfId="25259"/>
    <cellStyle name="Comma 2 2 3 2 3 2 3" xfId="7083"/>
    <cellStyle name="Comma 2 2 3 2 3 2 3 2" xfId="13277"/>
    <cellStyle name="Comma 2 2 3 2 3 2 3 2 2" xfId="32955"/>
    <cellStyle name="Comma 2 2 3 2 3 2 3 3" xfId="19429"/>
    <cellStyle name="Comma 2 2 3 2 3 2 3 3 2" xfId="39107"/>
    <cellStyle name="Comma 2 2 3 2 3 2 3 4" xfId="26791"/>
    <cellStyle name="Comma 2 2 3 2 3 2 4" xfId="10211"/>
    <cellStyle name="Comma 2 2 3 2 3 2 4 2" xfId="29889"/>
    <cellStyle name="Comma 2 2 3 2 3 2 5" xfId="16363"/>
    <cellStyle name="Comma 2 2 3 2 3 2 5 2" xfId="36041"/>
    <cellStyle name="Comma 2 2 3 2 3 2 6" xfId="23725"/>
    <cellStyle name="Comma 2 2 3 2 3 3" xfId="4746"/>
    <cellStyle name="Comma 2 2 3 2 3 3 2" xfId="7849"/>
    <cellStyle name="Comma 2 2 3 2 3 3 2 2" xfId="14042"/>
    <cellStyle name="Comma 2 2 3 2 3 3 2 2 2" xfId="33720"/>
    <cellStyle name="Comma 2 2 3 2 3 3 2 3" xfId="20194"/>
    <cellStyle name="Comma 2 2 3 2 3 3 2 3 2" xfId="39872"/>
    <cellStyle name="Comma 2 2 3 2 3 3 2 4" xfId="27556"/>
    <cellStyle name="Comma 2 2 3 2 3 3 3" xfId="10976"/>
    <cellStyle name="Comma 2 2 3 2 3 3 3 2" xfId="30654"/>
    <cellStyle name="Comma 2 2 3 2 3 3 4" xfId="17128"/>
    <cellStyle name="Comma 2 2 3 2 3 3 4 2" xfId="36806"/>
    <cellStyle name="Comma 2 2 3 2 3 3 5" xfId="24490"/>
    <cellStyle name="Comma 2 2 3 2 3 4" xfId="6314"/>
    <cellStyle name="Comma 2 2 3 2 3 4 2" xfId="12508"/>
    <cellStyle name="Comma 2 2 3 2 3 4 2 2" xfId="32186"/>
    <cellStyle name="Comma 2 2 3 2 3 4 3" xfId="18660"/>
    <cellStyle name="Comma 2 2 3 2 3 4 3 2" xfId="38338"/>
    <cellStyle name="Comma 2 2 3 2 3 4 4" xfId="26022"/>
    <cellStyle name="Comma 2 2 3 2 3 5" xfId="9442"/>
    <cellStyle name="Comma 2 2 3 2 3 5 2" xfId="29120"/>
    <cellStyle name="Comma 2 2 3 2 3 6" xfId="15594"/>
    <cellStyle name="Comma 2 2 3 2 3 6 2" xfId="35272"/>
    <cellStyle name="Comma 2 2 3 2 3 7" xfId="22863"/>
    <cellStyle name="Comma 2 2 3 2 4" xfId="686"/>
    <cellStyle name="Comma 2 2 3 2 4 2" xfId="3908"/>
    <cellStyle name="Comma 2 2 3 2 4 2 2" xfId="5533"/>
    <cellStyle name="Comma 2 2 3 2 4 2 2 2" xfId="8619"/>
    <cellStyle name="Comma 2 2 3 2 4 2 2 2 2" xfId="14812"/>
    <cellStyle name="Comma 2 2 3 2 4 2 2 2 2 2" xfId="34490"/>
    <cellStyle name="Comma 2 2 3 2 4 2 2 2 3" xfId="20964"/>
    <cellStyle name="Comma 2 2 3 2 4 2 2 2 3 2" xfId="40642"/>
    <cellStyle name="Comma 2 2 3 2 4 2 2 2 4" xfId="28326"/>
    <cellStyle name="Comma 2 2 3 2 4 2 2 3" xfId="11746"/>
    <cellStyle name="Comma 2 2 3 2 4 2 2 3 2" xfId="31424"/>
    <cellStyle name="Comma 2 2 3 2 4 2 2 4" xfId="17898"/>
    <cellStyle name="Comma 2 2 3 2 4 2 2 4 2" xfId="37576"/>
    <cellStyle name="Comma 2 2 3 2 4 2 2 5" xfId="25260"/>
    <cellStyle name="Comma 2 2 3 2 4 2 3" xfId="7084"/>
    <cellStyle name="Comma 2 2 3 2 4 2 3 2" xfId="13278"/>
    <cellStyle name="Comma 2 2 3 2 4 2 3 2 2" xfId="32956"/>
    <cellStyle name="Comma 2 2 3 2 4 2 3 3" xfId="19430"/>
    <cellStyle name="Comma 2 2 3 2 4 2 3 3 2" xfId="39108"/>
    <cellStyle name="Comma 2 2 3 2 4 2 3 4" xfId="26792"/>
    <cellStyle name="Comma 2 2 3 2 4 2 4" xfId="10212"/>
    <cellStyle name="Comma 2 2 3 2 4 2 4 2" xfId="29890"/>
    <cellStyle name="Comma 2 2 3 2 4 2 5" xfId="16364"/>
    <cellStyle name="Comma 2 2 3 2 4 2 5 2" xfId="36042"/>
    <cellStyle name="Comma 2 2 3 2 4 2 6" xfId="23726"/>
    <cellStyle name="Comma 2 2 3 2 4 3" xfId="4747"/>
    <cellStyle name="Comma 2 2 3 2 4 3 2" xfId="7850"/>
    <cellStyle name="Comma 2 2 3 2 4 3 2 2" xfId="14043"/>
    <cellStyle name="Comma 2 2 3 2 4 3 2 2 2" xfId="33721"/>
    <cellStyle name="Comma 2 2 3 2 4 3 2 3" xfId="20195"/>
    <cellStyle name="Comma 2 2 3 2 4 3 2 3 2" xfId="39873"/>
    <cellStyle name="Comma 2 2 3 2 4 3 2 4" xfId="27557"/>
    <cellStyle name="Comma 2 2 3 2 4 3 3" xfId="10977"/>
    <cellStyle name="Comma 2 2 3 2 4 3 3 2" xfId="30655"/>
    <cellStyle name="Comma 2 2 3 2 4 3 4" xfId="17129"/>
    <cellStyle name="Comma 2 2 3 2 4 3 4 2" xfId="36807"/>
    <cellStyle name="Comma 2 2 3 2 4 3 5" xfId="24491"/>
    <cellStyle name="Comma 2 2 3 2 4 4" xfId="6315"/>
    <cellStyle name="Comma 2 2 3 2 4 4 2" xfId="12509"/>
    <cellStyle name="Comma 2 2 3 2 4 4 2 2" xfId="32187"/>
    <cellStyle name="Comma 2 2 3 2 4 4 3" xfId="18661"/>
    <cellStyle name="Comma 2 2 3 2 4 4 3 2" xfId="38339"/>
    <cellStyle name="Comma 2 2 3 2 4 4 4" xfId="26023"/>
    <cellStyle name="Comma 2 2 3 2 4 5" xfId="9443"/>
    <cellStyle name="Comma 2 2 3 2 4 5 2" xfId="29121"/>
    <cellStyle name="Comma 2 2 3 2 4 6" xfId="15595"/>
    <cellStyle name="Comma 2 2 3 2 4 6 2" xfId="35273"/>
    <cellStyle name="Comma 2 2 3 2 4 7" xfId="22864"/>
    <cellStyle name="Comma 2 2 3 2 5" xfId="687"/>
    <cellStyle name="Comma 2 2 3 2 5 2" xfId="3909"/>
    <cellStyle name="Comma 2 2 3 2 5 2 2" xfId="5534"/>
    <cellStyle name="Comma 2 2 3 2 5 2 2 2" xfId="8620"/>
    <cellStyle name="Comma 2 2 3 2 5 2 2 2 2" xfId="14813"/>
    <cellStyle name="Comma 2 2 3 2 5 2 2 2 2 2" xfId="34491"/>
    <cellStyle name="Comma 2 2 3 2 5 2 2 2 3" xfId="20965"/>
    <cellStyle name="Comma 2 2 3 2 5 2 2 2 3 2" xfId="40643"/>
    <cellStyle name="Comma 2 2 3 2 5 2 2 2 4" xfId="28327"/>
    <cellStyle name="Comma 2 2 3 2 5 2 2 3" xfId="11747"/>
    <cellStyle name="Comma 2 2 3 2 5 2 2 3 2" xfId="31425"/>
    <cellStyle name="Comma 2 2 3 2 5 2 2 4" xfId="17899"/>
    <cellStyle name="Comma 2 2 3 2 5 2 2 4 2" xfId="37577"/>
    <cellStyle name="Comma 2 2 3 2 5 2 2 5" xfId="25261"/>
    <cellStyle name="Comma 2 2 3 2 5 2 3" xfId="7085"/>
    <cellStyle name="Comma 2 2 3 2 5 2 3 2" xfId="13279"/>
    <cellStyle name="Comma 2 2 3 2 5 2 3 2 2" xfId="32957"/>
    <cellStyle name="Comma 2 2 3 2 5 2 3 3" xfId="19431"/>
    <cellStyle name="Comma 2 2 3 2 5 2 3 3 2" xfId="39109"/>
    <cellStyle name="Comma 2 2 3 2 5 2 3 4" xfId="26793"/>
    <cellStyle name="Comma 2 2 3 2 5 2 4" xfId="10213"/>
    <cellStyle name="Comma 2 2 3 2 5 2 4 2" xfId="29891"/>
    <cellStyle name="Comma 2 2 3 2 5 2 5" xfId="16365"/>
    <cellStyle name="Comma 2 2 3 2 5 2 5 2" xfId="36043"/>
    <cellStyle name="Comma 2 2 3 2 5 2 6" xfId="23727"/>
    <cellStyle name="Comma 2 2 3 2 5 3" xfId="4748"/>
    <cellStyle name="Comma 2 2 3 2 5 3 2" xfId="7851"/>
    <cellStyle name="Comma 2 2 3 2 5 3 2 2" xfId="14044"/>
    <cellStyle name="Comma 2 2 3 2 5 3 2 2 2" xfId="33722"/>
    <cellStyle name="Comma 2 2 3 2 5 3 2 3" xfId="20196"/>
    <cellStyle name="Comma 2 2 3 2 5 3 2 3 2" xfId="39874"/>
    <cellStyle name="Comma 2 2 3 2 5 3 2 4" xfId="27558"/>
    <cellStyle name="Comma 2 2 3 2 5 3 3" xfId="10978"/>
    <cellStyle name="Comma 2 2 3 2 5 3 3 2" xfId="30656"/>
    <cellStyle name="Comma 2 2 3 2 5 3 4" xfId="17130"/>
    <cellStyle name="Comma 2 2 3 2 5 3 4 2" xfId="36808"/>
    <cellStyle name="Comma 2 2 3 2 5 3 5" xfId="24492"/>
    <cellStyle name="Comma 2 2 3 2 5 4" xfId="6316"/>
    <cellStyle name="Comma 2 2 3 2 5 4 2" xfId="12510"/>
    <cellStyle name="Comma 2 2 3 2 5 4 2 2" xfId="32188"/>
    <cellStyle name="Comma 2 2 3 2 5 4 3" xfId="18662"/>
    <cellStyle name="Comma 2 2 3 2 5 4 3 2" xfId="38340"/>
    <cellStyle name="Comma 2 2 3 2 5 4 4" xfId="26024"/>
    <cellStyle name="Comma 2 2 3 2 5 5" xfId="9444"/>
    <cellStyle name="Comma 2 2 3 2 5 5 2" xfId="29122"/>
    <cellStyle name="Comma 2 2 3 2 5 6" xfId="15596"/>
    <cellStyle name="Comma 2 2 3 2 5 6 2" xfId="35274"/>
    <cellStyle name="Comma 2 2 3 2 5 7" xfId="22865"/>
    <cellStyle name="Comma 2 2 3 3" xfId="688"/>
    <cellStyle name="Comma 2 2 3 3 2" xfId="3910"/>
    <cellStyle name="Comma 2 2 3 3 2 2" xfId="5535"/>
    <cellStyle name="Comma 2 2 3 3 2 2 2" xfId="8621"/>
    <cellStyle name="Comma 2 2 3 3 2 2 2 2" xfId="14814"/>
    <cellStyle name="Comma 2 2 3 3 2 2 2 2 2" xfId="34492"/>
    <cellStyle name="Comma 2 2 3 3 2 2 2 3" xfId="20966"/>
    <cellStyle name="Comma 2 2 3 3 2 2 2 3 2" xfId="40644"/>
    <cellStyle name="Comma 2 2 3 3 2 2 2 4" xfId="28328"/>
    <cellStyle name="Comma 2 2 3 3 2 2 3" xfId="11748"/>
    <cellStyle name="Comma 2 2 3 3 2 2 3 2" xfId="31426"/>
    <cellStyle name="Comma 2 2 3 3 2 2 4" xfId="17900"/>
    <cellStyle name="Comma 2 2 3 3 2 2 4 2" xfId="37578"/>
    <cellStyle name="Comma 2 2 3 3 2 2 5" xfId="25262"/>
    <cellStyle name="Comma 2 2 3 3 2 3" xfId="7086"/>
    <cellStyle name="Comma 2 2 3 3 2 3 2" xfId="13280"/>
    <cellStyle name="Comma 2 2 3 3 2 3 2 2" xfId="32958"/>
    <cellStyle name="Comma 2 2 3 3 2 3 3" xfId="19432"/>
    <cellStyle name="Comma 2 2 3 3 2 3 3 2" xfId="39110"/>
    <cellStyle name="Comma 2 2 3 3 2 3 4" xfId="26794"/>
    <cellStyle name="Comma 2 2 3 3 2 4" xfId="10214"/>
    <cellStyle name="Comma 2 2 3 3 2 4 2" xfId="29892"/>
    <cellStyle name="Comma 2 2 3 3 2 5" xfId="16366"/>
    <cellStyle name="Comma 2 2 3 3 2 5 2" xfId="36044"/>
    <cellStyle name="Comma 2 2 3 3 2 6" xfId="23728"/>
    <cellStyle name="Comma 2 2 3 3 3" xfId="4749"/>
    <cellStyle name="Comma 2 2 3 3 3 2" xfId="7852"/>
    <cellStyle name="Comma 2 2 3 3 3 2 2" xfId="14045"/>
    <cellStyle name="Comma 2 2 3 3 3 2 2 2" xfId="33723"/>
    <cellStyle name="Comma 2 2 3 3 3 2 3" xfId="20197"/>
    <cellStyle name="Comma 2 2 3 3 3 2 3 2" xfId="39875"/>
    <cellStyle name="Comma 2 2 3 3 3 2 4" xfId="27559"/>
    <cellStyle name="Comma 2 2 3 3 3 3" xfId="10979"/>
    <cellStyle name="Comma 2 2 3 3 3 3 2" xfId="30657"/>
    <cellStyle name="Comma 2 2 3 3 3 4" xfId="17131"/>
    <cellStyle name="Comma 2 2 3 3 3 4 2" xfId="36809"/>
    <cellStyle name="Comma 2 2 3 3 3 5" xfId="24493"/>
    <cellStyle name="Comma 2 2 3 3 4" xfId="6317"/>
    <cellStyle name="Comma 2 2 3 3 4 2" xfId="12511"/>
    <cellStyle name="Comma 2 2 3 3 4 2 2" xfId="32189"/>
    <cellStyle name="Comma 2 2 3 3 4 3" xfId="18663"/>
    <cellStyle name="Comma 2 2 3 3 4 3 2" xfId="38341"/>
    <cellStyle name="Comma 2 2 3 3 4 4" xfId="26025"/>
    <cellStyle name="Comma 2 2 3 3 5" xfId="9445"/>
    <cellStyle name="Comma 2 2 3 3 5 2" xfId="29123"/>
    <cellStyle name="Comma 2 2 3 3 6" xfId="15597"/>
    <cellStyle name="Comma 2 2 3 3 6 2" xfId="35275"/>
    <cellStyle name="Comma 2 2 3 3 7" xfId="22866"/>
    <cellStyle name="Comma 2 2 3 4" xfId="689"/>
    <cellStyle name="Comma 2 2 3 4 2" xfId="690"/>
    <cellStyle name="Comma 2 2 3 5" xfId="691"/>
    <cellStyle name="Comma 2 2 3 5 2" xfId="692"/>
    <cellStyle name="Comma 2 2 3 6" xfId="3905"/>
    <cellStyle name="Comma 2 2 3 6 2" xfId="5530"/>
    <cellStyle name="Comma 2 2 3 6 2 2" xfId="8616"/>
    <cellStyle name="Comma 2 2 3 6 2 2 2" xfId="14809"/>
    <cellStyle name="Comma 2 2 3 6 2 2 2 2" xfId="34487"/>
    <cellStyle name="Comma 2 2 3 6 2 2 3" xfId="20961"/>
    <cellStyle name="Comma 2 2 3 6 2 2 3 2" xfId="40639"/>
    <cellStyle name="Comma 2 2 3 6 2 2 4" xfId="28323"/>
    <cellStyle name="Comma 2 2 3 6 2 3" xfId="11743"/>
    <cellStyle name="Comma 2 2 3 6 2 3 2" xfId="31421"/>
    <cellStyle name="Comma 2 2 3 6 2 4" xfId="17895"/>
    <cellStyle name="Comma 2 2 3 6 2 4 2" xfId="37573"/>
    <cellStyle name="Comma 2 2 3 6 2 5" xfId="25257"/>
    <cellStyle name="Comma 2 2 3 6 3" xfId="7081"/>
    <cellStyle name="Comma 2 2 3 6 3 2" xfId="13275"/>
    <cellStyle name="Comma 2 2 3 6 3 2 2" xfId="32953"/>
    <cellStyle name="Comma 2 2 3 6 3 3" xfId="19427"/>
    <cellStyle name="Comma 2 2 3 6 3 3 2" xfId="39105"/>
    <cellStyle name="Comma 2 2 3 6 3 4" xfId="26789"/>
    <cellStyle name="Comma 2 2 3 6 4" xfId="10209"/>
    <cellStyle name="Comma 2 2 3 6 4 2" xfId="29887"/>
    <cellStyle name="Comma 2 2 3 6 5" xfId="16361"/>
    <cellStyle name="Comma 2 2 3 6 5 2" xfId="36039"/>
    <cellStyle name="Comma 2 2 3 6 6" xfId="23723"/>
    <cellStyle name="Comma 2 2 3 7" xfId="4744"/>
    <cellStyle name="Comma 2 2 3 7 2" xfId="7847"/>
    <cellStyle name="Comma 2 2 3 7 2 2" xfId="14040"/>
    <cellStyle name="Comma 2 2 3 7 2 2 2" xfId="33718"/>
    <cellStyle name="Comma 2 2 3 7 2 3" xfId="20192"/>
    <cellStyle name="Comma 2 2 3 7 2 3 2" xfId="39870"/>
    <cellStyle name="Comma 2 2 3 7 2 4" xfId="27554"/>
    <cellStyle name="Comma 2 2 3 7 3" xfId="10974"/>
    <cellStyle name="Comma 2 2 3 7 3 2" xfId="30652"/>
    <cellStyle name="Comma 2 2 3 7 4" xfId="17126"/>
    <cellStyle name="Comma 2 2 3 7 4 2" xfId="36804"/>
    <cellStyle name="Comma 2 2 3 7 5" xfId="24488"/>
    <cellStyle name="Comma 2 2 3 8" xfId="6312"/>
    <cellStyle name="Comma 2 2 3 8 2" xfId="12506"/>
    <cellStyle name="Comma 2 2 3 8 2 2" xfId="32184"/>
    <cellStyle name="Comma 2 2 3 8 3" xfId="18658"/>
    <cellStyle name="Comma 2 2 3 8 3 2" xfId="38336"/>
    <cellStyle name="Comma 2 2 3 8 4" xfId="26020"/>
    <cellStyle name="Comma 2 2 3 9" xfId="9440"/>
    <cellStyle name="Comma 2 2 3 9 2" xfId="29118"/>
    <cellStyle name="Comma 2 2 4" xfId="693"/>
    <cellStyle name="Comma 2 2 4 2" xfId="694"/>
    <cellStyle name="Comma 2 2 4 2 2" xfId="3911"/>
    <cellStyle name="Comma 2 2 4 2 2 2" xfId="5536"/>
    <cellStyle name="Comma 2 2 4 2 2 2 2" xfId="8622"/>
    <cellStyle name="Comma 2 2 4 2 2 2 2 2" xfId="14815"/>
    <cellStyle name="Comma 2 2 4 2 2 2 2 2 2" xfId="34493"/>
    <cellStyle name="Comma 2 2 4 2 2 2 2 3" xfId="20967"/>
    <cellStyle name="Comma 2 2 4 2 2 2 2 3 2" xfId="40645"/>
    <cellStyle name="Comma 2 2 4 2 2 2 2 4" xfId="28329"/>
    <cellStyle name="Comma 2 2 4 2 2 2 3" xfId="11749"/>
    <cellStyle name="Comma 2 2 4 2 2 2 3 2" xfId="31427"/>
    <cellStyle name="Comma 2 2 4 2 2 2 4" xfId="17901"/>
    <cellStyle name="Comma 2 2 4 2 2 2 4 2" xfId="37579"/>
    <cellStyle name="Comma 2 2 4 2 2 2 5" xfId="25263"/>
    <cellStyle name="Comma 2 2 4 2 2 3" xfId="7087"/>
    <cellStyle name="Comma 2 2 4 2 2 3 2" xfId="13281"/>
    <cellStyle name="Comma 2 2 4 2 2 3 2 2" xfId="32959"/>
    <cellStyle name="Comma 2 2 4 2 2 3 3" xfId="19433"/>
    <cellStyle name="Comma 2 2 4 2 2 3 3 2" xfId="39111"/>
    <cellStyle name="Comma 2 2 4 2 2 3 4" xfId="26795"/>
    <cellStyle name="Comma 2 2 4 2 2 4" xfId="10215"/>
    <cellStyle name="Comma 2 2 4 2 2 4 2" xfId="29893"/>
    <cellStyle name="Comma 2 2 4 2 2 5" xfId="16367"/>
    <cellStyle name="Comma 2 2 4 2 2 5 2" xfId="36045"/>
    <cellStyle name="Comma 2 2 4 2 2 6" xfId="23729"/>
    <cellStyle name="Comma 2 2 4 2 3" xfId="4750"/>
    <cellStyle name="Comma 2 2 4 2 3 2" xfId="7853"/>
    <cellStyle name="Comma 2 2 4 2 3 2 2" xfId="14046"/>
    <cellStyle name="Comma 2 2 4 2 3 2 2 2" xfId="33724"/>
    <cellStyle name="Comma 2 2 4 2 3 2 3" xfId="20198"/>
    <cellStyle name="Comma 2 2 4 2 3 2 3 2" xfId="39876"/>
    <cellStyle name="Comma 2 2 4 2 3 2 4" xfId="27560"/>
    <cellStyle name="Comma 2 2 4 2 3 3" xfId="10980"/>
    <cellStyle name="Comma 2 2 4 2 3 3 2" xfId="30658"/>
    <cellStyle name="Comma 2 2 4 2 3 4" xfId="17132"/>
    <cellStyle name="Comma 2 2 4 2 3 4 2" xfId="36810"/>
    <cellStyle name="Comma 2 2 4 2 3 5" xfId="24494"/>
    <cellStyle name="Comma 2 2 4 2 4" xfId="6318"/>
    <cellStyle name="Comma 2 2 4 2 4 2" xfId="12512"/>
    <cellStyle name="Comma 2 2 4 2 4 2 2" xfId="32190"/>
    <cellStyle name="Comma 2 2 4 2 4 3" xfId="18664"/>
    <cellStyle name="Comma 2 2 4 2 4 3 2" xfId="38342"/>
    <cellStyle name="Comma 2 2 4 2 4 4" xfId="26026"/>
    <cellStyle name="Comma 2 2 4 2 5" xfId="9446"/>
    <cellStyle name="Comma 2 2 4 2 5 2" xfId="29124"/>
    <cellStyle name="Comma 2 2 4 2 6" xfId="15598"/>
    <cellStyle name="Comma 2 2 4 2 6 2" xfId="35276"/>
    <cellStyle name="Comma 2 2 4 2 7" xfId="22867"/>
    <cellStyle name="Comma 2 2 4 3" xfId="695"/>
    <cellStyle name="Comma 2 2 4 4" xfId="696"/>
    <cellStyle name="Comma 2 2 5" xfId="697"/>
    <cellStyle name="Comma 2 2 5 2" xfId="3912"/>
    <cellStyle name="Comma 2 2 5 2 2" xfId="5537"/>
    <cellStyle name="Comma 2 2 5 2 2 2" xfId="8623"/>
    <cellStyle name="Comma 2 2 5 2 2 2 2" xfId="14816"/>
    <cellStyle name="Comma 2 2 5 2 2 2 2 2" xfId="34494"/>
    <cellStyle name="Comma 2 2 5 2 2 2 3" xfId="20968"/>
    <cellStyle name="Comma 2 2 5 2 2 2 3 2" xfId="40646"/>
    <cellStyle name="Comma 2 2 5 2 2 2 4" xfId="28330"/>
    <cellStyle name="Comma 2 2 5 2 2 3" xfId="11750"/>
    <cellStyle name="Comma 2 2 5 2 2 3 2" xfId="31428"/>
    <cellStyle name="Comma 2 2 5 2 2 4" xfId="17902"/>
    <cellStyle name="Comma 2 2 5 2 2 4 2" xfId="37580"/>
    <cellStyle name="Comma 2 2 5 2 2 5" xfId="25264"/>
    <cellStyle name="Comma 2 2 5 2 3" xfId="7088"/>
    <cellStyle name="Comma 2 2 5 2 3 2" xfId="13282"/>
    <cellStyle name="Comma 2 2 5 2 3 2 2" xfId="32960"/>
    <cellStyle name="Comma 2 2 5 2 3 3" xfId="19434"/>
    <cellStyle name="Comma 2 2 5 2 3 3 2" xfId="39112"/>
    <cellStyle name="Comma 2 2 5 2 3 4" xfId="26796"/>
    <cellStyle name="Comma 2 2 5 2 4" xfId="10216"/>
    <cellStyle name="Comma 2 2 5 2 4 2" xfId="29894"/>
    <cellStyle name="Comma 2 2 5 2 5" xfId="16368"/>
    <cellStyle name="Comma 2 2 5 2 5 2" xfId="36046"/>
    <cellStyle name="Comma 2 2 5 2 6" xfId="23730"/>
    <cellStyle name="Comma 2 2 5 3" xfId="4751"/>
    <cellStyle name="Comma 2 2 5 3 2" xfId="7854"/>
    <cellStyle name="Comma 2 2 5 3 2 2" xfId="14047"/>
    <cellStyle name="Comma 2 2 5 3 2 2 2" xfId="33725"/>
    <cellStyle name="Comma 2 2 5 3 2 3" xfId="20199"/>
    <cellStyle name="Comma 2 2 5 3 2 3 2" xfId="39877"/>
    <cellStyle name="Comma 2 2 5 3 2 4" xfId="27561"/>
    <cellStyle name="Comma 2 2 5 3 3" xfId="10981"/>
    <cellStyle name="Comma 2 2 5 3 3 2" xfId="30659"/>
    <cellStyle name="Comma 2 2 5 3 4" xfId="17133"/>
    <cellStyle name="Comma 2 2 5 3 4 2" xfId="36811"/>
    <cellStyle name="Comma 2 2 5 3 5" xfId="24495"/>
    <cellStyle name="Comma 2 2 5 4" xfId="6319"/>
    <cellStyle name="Comma 2 2 5 4 2" xfId="12513"/>
    <cellStyle name="Comma 2 2 5 4 2 2" xfId="32191"/>
    <cellStyle name="Comma 2 2 5 4 3" xfId="18665"/>
    <cellStyle name="Comma 2 2 5 4 3 2" xfId="38343"/>
    <cellStyle name="Comma 2 2 5 4 4" xfId="26027"/>
    <cellStyle name="Comma 2 2 5 5" xfId="9447"/>
    <cellStyle name="Comma 2 2 5 5 2" xfId="29125"/>
    <cellStyle name="Comma 2 2 5 6" xfId="15599"/>
    <cellStyle name="Comma 2 2 5 6 2" xfId="35277"/>
    <cellStyle name="Comma 2 2 5 7" xfId="22868"/>
    <cellStyle name="Comma 2 2 6" xfId="698"/>
    <cellStyle name="Comma 2 2 6 2" xfId="3913"/>
    <cellStyle name="Comma 2 2 6 2 2" xfId="5538"/>
    <cellStyle name="Comma 2 2 6 2 2 2" xfId="8624"/>
    <cellStyle name="Comma 2 2 6 2 2 2 2" xfId="14817"/>
    <cellStyle name="Comma 2 2 6 2 2 2 2 2" xfId="34495"/>
    <cellStyle name="Comma 2 2 6 2 2 2 3" xfId="20969"/>
    <cellStyle name="Comma 2 2 6 2 2 2 3 2" xfId="40647"/>
    <cellStyle name="Comma 2 2 6 2 2 2 4" xfId="28331"/>
    <cellStyle name="Comma 2 2 6 2 2 3" xfId="11751"/>
    <cellStyle name="Comma 2 2 6 2 2 3 2" xfId="31429"/>
    <cellStyle name="Comma 2 2 6 2 2 4" xfId="17903"/>
    <cellStyle name="Comma 2 2 6 2 2 4 2" xfId="37581"/>
    <cellStyle name="Comma 2 2 6 2 2 5" xfId="25265"/>
    <cellStyle name="Comma 2 2 6 2 3" xfId="7089"/>
    <cellStyle name="Comma 2 2 6 2 3 2" xfId="13283"/>
    <cellStyle name="Comma 2 2 6 2 3 2 2" xfId="32961"/>
    <cellStyle name="Comma 2 2 6 2 3 3" xfId="19435"/>
    <cellStyle name="Comma 2 2 6 2 3 3 2" xfId="39113"/>
    <cellStyle name="Comma 2 2 6 2 3 4" xfId="26797"/>
    <cellStyle name="Comma 2 2 6 2 4" xfId="10217"/>
    <cellStyle name="Comma 2 2 6 2 4 2" xfId="29895"/>
    <cellStyle name="Comma 2 2 6 2 5" xfId="16369"/>
    <cellStyle name="Comma 2 2 6 2 5 2" xfId="36047"/>
    <cellStyle name="Comma 2 2 6 2 6" xfId="23731"/>
    <cellStyle name="Comma 2 2 6 3" xfId="4752"/>
    <cellStyle name="Comma 2 2 6 3 2" xfId="7855"/>
    <cellStyle name="Comma 2 2 6 3 2 2" xfId="14048"/>
    <cellStyle name="Comma 2 2 6 3 2 2 2" xfId="33726"/>
    <cellStyle name="Comma 2 2 6 3 2 3" xfId="20200"/>
    <cellStyle name="Comma 2 2 6 3 2 3 2" xfId="39878"/>
    <cellStyle name="Comma 2 2 6 3 2 4" xfId="27562"/>
    <cellStyle name="Comma 2 2 6 3 3" xfId="10982"/>
    <cellStyle name="Comma 2 2 6 3 3 2" xfId="30660"/>
    <cellStyle name="Comma 2 2 6 3 4" xfId="17134"/>
    <cellStyle name="Comma 2 2 6 3 4 2" xfId="36812"/>
    <cellStyle name="Comma 2 2 6 3 5" xfId="24496"/>
    <cellStyle name="Comma 2 2 6 4" xfId="6320"/>
    <cellStyle name="Comma 2 2 6 4 2" xfId="12514"/>
    <cellStyle name="Comma 2 2 6 4 2 2" xfId="32192"/>
    <cellStyle name="Comma 2 2 6 4 3" xfId="18666"/>
    <cellStyle name="Comma 2 2 6 4 3 2" xfId="38344"/>
    <cellStyle name="Comma 2 2 6 4 4" xfId="26028"/>
    <cellStyle name="Comma 2 2 6 5" xfId="9448"/>
    <cellStyle name="Comma 2 2 6 5 2" xfId="29126"/>
    <cellStyle name="Comma 2 2 6 6" xfId="15600"/>
    <cellStyle name="Comma 2 2 6 6 2" xfId="35278"/>
    <cellStyle name="Comma 2 2 6 7" xfId="22869"/>
    <cellStyle name="Comma 2 2 7" xfId="699"/>
    <cellStyle name="Comma 2 2 7 2" xfId="3914"/>
    <cellStyle name="Comma 2 2 7 2 2" xfId="5539"/>
    <cellStyle name="Comma 2 2 7 2 2 2" xfId="8625"/>
    <cellStyle name="Comma 2 2 7 2 2 2 2" xfId="14818"/>
    <cellStyle name="Comma 2 2 7 2 2 2 2 2" xfId="34496"/>
    <cellStyle name="Comma 2 2 7 2 2 2 3" xfId="20970"/>
    <cellStyle name="Comma 2 2 7 2 2 2 3 2" xfId="40648"/>
    <cellStyle name="Comma 2 2 7 2 2 2 4" xfId="28332"/>
    <cellStyle name="Comma 2 2 7 2 2 3" xfId="11752"/>
    <cellStyle name="Comma 2 2 7 2 2 3 2" xfId="31430"/>
    <cellStyle name="Comma 2 2 7 2 2 4" xfId="17904"/>
    <cellStyle name="Comma 2 2 7 2 2 4 2" xfId="37582"/>
    <cellStyle name="Comma 2 2 7 2 2 5" xfId="25266"/>
    <cellStyle name="Comma 2 2 7 2 3" xfId="7090"/>
    <cellStyle name="Comma 2 2 7 2 3 2" xfId="13284"/>
    <cellStyle name="Comma 2 2 7 2 3 2 2" xfId="32962"/>
    <cellStyle name="Comma 2 2 7 2 3 3" xfId="19436"/>
    <cellStyle name="Comma 2 2 7 2 3 3 2" xfId="39114"/>
    <cellStyle name="Comma 2 2 7 2 3 4" xfId="26798"/>
    <cellStyle name="Comma 2 2 7 2 4" xfId="10218"/>
    <cellStyle name="Comma 2 2 7 2 4 2" xfId="29896"/>
    <cellStyle name="Comma 2 2 7 2 5" xfId="16370"/>
    <cellStyle name="Comma 2 2 7 2 5 2" xfId="36048"/>
    <cellStyle name="Comma 2 2 7 2 6" xfId="23732"/>
    <cellStyle name="Comma 2 2 7 3" xfId="4753"/>
    <cellStyle name="Comma 2 2 7 3 2" xfId="7856"/>
    <cellStyle name="Comma 2 2 7 3 2 2" xfId="14049"/>
    <cellStyle name="Comma 2 2 7 3 2 2 2" xfId="33727"/>
    <cellStyle name="Comma 2 2 7 3 2 3" xfId="20201"/>
    <cellStyle name="Comma 2 2 7 3 2 3 2" xfId="39879"/>
    <cellStyle name="Comma 2 2 7 3 2 4" xfId="27563"/>
    <cellStyle name="Comma 2 2 7 3 3" xfId="10983"/>
    <cellStyle name="Comma 2 2 7 3 3 2" xfId="30661"/>
    <cellStyle name="Comma 2 2 7 3 4" xfId="17135"/>
    <cellStyle name="Comma 2 2 7 3 4 2" xfId="36813"/>
    <cellStyle name="Comma 2 2 7 3 5" xfId="24497"/>
    <cellStyle name="Comma 2 2 7 4" xfId="6321"/>
    <cellStyle name="Comma 2 2 7 4 2" xfId="12515"/>
    <cellStyle name="Comma 2 2 7 4 2 2" xfId="32193"/>
    <cellStyle name="Comma 2 2 7 4 3" xfId="18667"/>
    <cellStyle name="Comma 2 2 7 4 3 2" xfId="38345"/>
    <cellStyle name="Comma 2 2 7 4 4" xfId="26029"/>
    <cellStyle name="Comma 2 2 7 5" xfId="9449"/>
    <cellStyle name="Comma 2 2 7 5 2" xfId="29127"/>
    <cellStyle name="Comma 2 2 7 6" xfId="15601"/>
    <cellStyle name="Comma 2 2 7 6 2" xfId="35279"/>
    <cellStyle name="Comma 2 2 7 7" xfId="22870"/>
    <cellStyle name="Comma 2 2 8" xfId="700"/>
    <cellStyle name="Comma 2 2 8 2" xfId="3915"/>
    <cellStyle name="Comma 2 2 8 2 2" xfId="5540"/>
    <cellStyle name="Comma 2 2 8 2 2 2" xfId="8626"/>
    <cellStyle name="Comma 2 2 8 2 2 2 2" xfId="14819"/>
    <cellStyle name="Comma 2 2 8 2 2 2 2 2" xfId="34497"/>
    <cellStyle name="Comma 2 2 8 2 2 2 3" xfId="20971"/>
    <cellStyle name="Comma 2 2 8 2 2 2 3 2" xfId="40649"/>
    <cellStyle name="Comma 2 2 8 2 2 2 4" xfId="28333"/>
    <cellStyle name="Comma 2 2 8 2 2 3" xfId="11753"/>
    <cellStyle name="Comma 2 2 8 2 2 3 2" xfId="31431"/>
    <cellStyle name="Comma 2 2 8 2 2 4" xfId="17905"/>
    <cellStyle name="Comma 2 2 8 2 2 4 2" xfId="37583"/>
    <cellStyle name="Comma 2 2 8 2 2 5" xfId="25267"/>
    <cellStyle name="Comma 2 2 8 2 3" xfId="7091"/>
    <cellStyle name="Comma 2 2 8 2 3 2" xfId="13285"/>
    <cellStyle name="Comma 2 2 8 2 3 2 2" xfId="32963"/>
    <cellStyle name="Comma 2 2 8 2 3 3" xfId="19437"/>
    <cellStyle name="Comma 2 2 8 2 3 3 2" xfId="39115"/>
    <cellStyle name="Comma 2 2 8 2 3 4" xfId="26799"/>
    <cellStyle name="Comma 2 2 8 2 4" xfId="10219"/>
    <cellStyle name="Comma 2 2 8 2 4 2" xfId="29897"/>
    <cellStyle name="Comma 2 2 8 2 5" xfId="16371"/>
    <cellStyle name="Comma 2 2 8 2 5 2" xfId="36049"/>
    <cellStyle name="Comma 2 2 8 2 6" xfId="23733"/>
    <cellStyle name="Comma 2 2 8 3" xfId="4754"/>
    <cellStyle name="Comma 2 2 8 3 2" xfId="7857"/>
    <cellStyle name="Comma 2 2 8 3 2 2" xfId="14050"/>
    <cellStyle name="Comma 2 2 8 3 2 2 2" xfId="33728"/>
    <cellStyle name="Comma 2 2 8 3 2 3" xfId="20202"/>
    <cellStyle name="Comma 2 2 8 3 2 3 2" xfId="39880"/>
    <cellStyle name="Comma 2 2 8 3 2 4" xfId="27564"/>
    <cellStyle name="Comma 2 2 8 3 3" xfId="10984"/>
    <cellStyle name="Comma 2 2 8 3 3 2" xfId="30662"/>
    <cellStyle name="Comma 2 2 8 3 4" xfId="17136"/>
    <cellStyle name="Comma 2 2 8 3 4 2" xfId="36814"/>
    <cellStyle name="Comma 2 2 8 3 5" xfId="24498"/>
    <cellStyle name="Comma 2 2 8 4" xfId="6322"/>
    <cellStyle name="Comma 2 2 8 4 2" xfId="12516"/>
    <cellStyle name="Comma 2 2 8 4 2 2" xfId="32194"/>
    <cellStyle name="Comma 2 2 8 4 3" xfId="18668"/>
    <cellStyle name="Comma 2 2 8 4 3 2" xfId="38346"/>
    <cellStyle name="Comma 2 2 8 4 4" xfId="26030"/>
    <cellStyle name="Comma 2 2 8 5" xfId="9450"/>
    <cellStyle name="Comma 2 2 8 5 2" xfId="29128"/>
    <cellStyle name="Comma 2 2 8 6" xfId="15602"/>
    <cellStyle name="Comma 2 2 8 6 2" xfId="35280"/>
    <cellStyle name="Comma 2 2 8 7" xfId="22871"/>
    <cellStyle name="Comma 2 2 9" xfId="701"/>
    <cellStyle name="Comma 2 2 9 2" xfId="3916"/>
    <cellStyle name="Comma 2 2 9 2 2" xfId="5541"/>
    <cellStyle name="Comma 2 2 9 2 2 2" xfId="8627"/>
    <cellStyle name="Comma 2 2 9 2 2 2 2" xfId="14820"/>
    <cellStyle name="Comma 2 2 9 2 2 2 2 2" xfId="34498"/>
    <cellStyle name="Comma 2 2 9 2 2 2 3" xfId="20972"/>
    <cellStyle name="Comma 2 2 9 2 2 2 3 2" xfId="40650"/>
    <cellStyle name="Comma 2 2 9 2 2 2 4" xfId="28334"/>
    <cellStyle name="Comma 2 2 9 2 2 3" xfId="11754"/>
    <cellStyle name="Comma 2 2 9 2 2 3 2" xfId="31432"/>
    <cellStyle name="Comma 2 2 9 2 2 4" xfId="17906"/>
    <cellStyle name="Comma 2 2 9 2 2 4 2" xfId="37584"/>
    <cellStyle name="Comma 2 2 9 2 2 5" xfId="25268"/>
    <cellStyle name="Comma 2 2 9 2 3" xfId="7092"/>
    <cellStyle name="Comma 2 2 9 2 3 2" xfId="13286"/>
    <cellStyle name="Comma 2 2 9 2 3 2 2" xfId="32964"/>
    <cellStyle name="Comma 2 2 9 2 3 3" xfId="19438"/>
    <cellStyle name="Comma 2 2 9 2 3 3 2" xfId="39116"/>
    <cellStyle name="Comma 2 2 9 2 3 4" xfId="26800"/>
    <cellStyle name="Comma 2 2 9 2 4" xfId="10220"/>
    <cellStyle name="Comma 2 2 9 2 4 2" xfId="29898"/>
    <cellStyle name="Comma 2 2 9 2 5" xfId="16372"/>
    <cellStyle name="Comma 2 2 9 2 5 2" xfId="36050"/>
    <cellStyle name="Comma 2 2 9 2 6" xfId="23734"/>
    <cellStyle name="Comma 2 2 9 3" xfId="4755"/>
    <cellStyle name="Comma 2 2 9 3 2" xfId="7858"/>
    <cellStyle name="Comma 2 2 9 3 2 2" xfId="14051"/>
    <cellStyle name="Comma 2 2 9 3 2 2 2" xfId="33729"/>
    <cellStyle name="Comma 2 2 9 3 2 3" xfId="20203"/>
    <cellStyle name="Comma 2 2 9 3 2 3 2" xfId="39881"/>
    <cellStyle name="Comma 2 2 9 3 2 4" xfId="27565"/>
    <cellStyle name="Comma 2 2 9 3 3" xfId="10985"/>
    <cellStyle name="Comma 2 2 9 3 3 2" xfId="30663"/>
    <cellStyle name="Comma 2 2 9 3 4" xfId="17137"/>
    <cellStyle name="Comma 2 2 9 3 4 2" xfId="36815"/>
    <cellStyle name="Comma 2 2 9 3 5" xfId="24499"/>
    <cellStyle name="Comma 2 2 9 4" xfId="6323"/>
    <cellStyle name="Comma 2 2 9 4 2" xfId="12517"/>
    <cellStyle name="Comma 2 2 9 4 2 2" xfId="32195"/>
    <cellStyle name="Comma 2 2 9 4 3" xfId="18669"/>
    <cellStyle name="Comma 2 2 9 4 3 2" xfId="38347"/>
    <cellStyle name="Comma 2 2 9 4 4" xfId="26031"/>
    <cellStyle name="Comma 2 2 9 5" xfId="9451"/>
    <cellStyle name="Comma 2 2 9 5 2" xfId="29129"/>
    <cellStyle name="Comma 2 2 9 6" xfId="15603"/>
    <cellStyle name="Comma 2 2 9 6 2" xfId="35281"/>
    <cellStyle name="Comma 2 2 9 7" xfId="22872"/>
    <cellStyle name="Comma 2 20" xfId="702"/>
    <cellStyle name="Comma 2 20 2" xfId="22873"/>
    <cellStyle name="Comma 2 20 3" xfId="22010"/>
    <cellStyle name="Comma 2 21" xfId="703"/>
    <cellStyle name="Comma 2 21 2" xfId="22874"/>
    <cellStyle name="Comma 2 21 3" xfId="22021"/>
    <cellStyle name="Comma 2 22" xfId="704"/>
    <cellStyle name="Comma 2 22 2" xfId="22875"/>
    <cellStyle name="Comma 2 22 3" xfId="22063"/>
    <cellStyle name="Comma 2 23" xfId="650"/>
    <cellStyle name="Comma 2 23 2" xfId="3887"/>
    <cellStyle name="Comma 2 23 2 2" xfId="5512"/>
    <cellStyle name="Comma 2 23 2 2 2" xfId="8598"/>
    <cellStyle name="Comma 2 23 2 2 2 2" xfId="14791"/>
    <cellStyle name="Comma 2 23 2 2 2 2 2" xfId="34469"/>
    <cellStyle name="Comma 2 23 2 2 2 3" xfId="20943"/>
    <cellStyle name="Comma 2 23 2 2 2 3 2" xfId="40621"/>
    <cellStyle name="Comma 2 23 2 2 2 4" xfId="28305"/>
    <cellStyle name="Comma 2 23 2 2 3" xfId="11725"/>
    <cellStyle name="Comma 2 23 2 2 3 2" xfId="31403"/>
    <cellStyle name="Comma 2 23 2 2 4" xfId="17877"/>
    <cellStyle name="Comma 2 23 2 2 4 2" xfId="37555"/>
    <cellStyle name="Comma 2 23 2 2 5" xfId="25239"/>
    <cellStyle name="Comma 2 23 2 3" xfId="7063"/>
    <cellStyle name="Comma 2 23 2 3 2" xfId="13257"/>
    <cellStyle name="Comma 2 23 2 3 2 2" xfId="32935"/>
    <cellStyle name="Comma 2 23 2 3 3" xfId="19409"/>
    <cellStyle name="Comma 2 23 2 3 3 2" xfId="39087"/>
    <cellStyle name="Comma 2 23 2 3 4" xfId="26771"/>
    <cellStyle name="Comma 2 23 2 4" xfId="10191"/>
    <cellStyle name="Comma 2 23 2 4 2" xfId="29869"/>
    <cellStyle name="Comma 2 23 2 5" xfId="16343"/>
    <cellStyle name="Comma 2 23 2 5 2" xfId="36021"/>
    <cellStyle name="Comma 2 23 2 6" xfId="23705"/>
    <cellStyle name="Comma 2 23 3" xfId="4726"/>
    <cellStyle name="Comma 2 23 3 2" xfId="7829"/>
    <cellStyle name="Comma 2 23 3 2 2" xfId="14022"/>
    <cellStyle name="Comma 2 23 3 2 2 2" xfId="33700"/>
    <cellStyle name="Comma 2 23 3 2 3" xfId="20174"/>
    <cellStyle name="Comma 2 23 3 2 3 2" xfId="39852"/>
    <cellStyle name="Comma 2 23 3 2 4" xfId="27536"/>
    <cellStyle name="Comma 2 23 3 3" xfId="10956"/>
    <cellStyle name="Comma 2 23 3 3 2" xfId="30634"/>
    <cellStyle name="Comma 2 23 3 4" xfId="17108"/>
    <cellStyle name="Comma 2 23 3 4 2" xfId="36786"/>
    <cellStyle name="Comma 2 23 3 5" xfId="24470"/>
    <cellStyle name="Comma 2 23 4" xfId="6294"/>
    <cellStyle name="Comma 2 23 4 2" xfId="12488"/>
    <cellStyle name="Comma 2 23 4 2 2" xfId="32166"/>
    <cellStyle name="Comma 2 23 4 3" xfId="18640"/>
    <cellStyle name="Comma 2 23 4 3 2" xfId="38318"/>
    <cellStyle name="Comma 2 23 4 4" xfId="26002"/>
    <cellStyle name="Comma 2 23 5" xfId="9422"/>
    <cellStyle name="Comma 2 23 5 2" xfId="29100"/>
    <cellStyle name="Comma 2 23 6" xfId="15574"/>
    <cellStyle name="Comma 2 23 6 2" xfId="35252"/>
    <cellStyle name="Comma 2 23 7" xfId="22843"/>
    <cellStyle name="Comma 2 23 8" xfId="22072"/>
    <cellStyle name="Comma 2 24" xfId="9287"/>
    <cellStyle name="Comma 2 24 2" xfId="28986"/>
    <cellStyle name="Comma 2 24 3" xfId="22153"/>
    <cellStyle name="Comma 2 25" xfId="22202"/>
    <cellStyle name="Comma 2 26" xfId="22204"/>
    <cellStyle name="Comma 2 27" xfId="22106"/>
    <cellStyle name="Comma 2 28" xfId="22224"/>
    <cellStyle name="Comma 2 29" xfId="22256"/>
    <cellStyle name="Comma 2 3" xfId="248"/>
    <cellStyle name="Comma 2 3 10" xfId="21769"/>
    <cellStyle name="Comma 2 3 11" xfId="41876"/>
    <cellStyle name="Comma 2 3 12" xfId="21750"/>
    <cellStyle name="Comma 2 3 2" xfId="706"/>
    <cellStyle name="Comma 2 3 2 2" xfId="22876"/>
    <cellStyle name="Comma 2 3 2 3" xfId="22389"/>
    <cellStyle name="Comma 2 3 3" xfId="707"/>
    <cellStyle name="Comma 2 3 4" xfId="3703"/>
    <cellStyle name="Comma 2 3 5" xfId="705"/>
    <cellStyle name="Comma 2 3 6" xfId="9318"/>
    <cellStyle name="Comma 2 3 7" xfId="22706"/>
    <cellStyle name="Comma 2 3 8" xfId="41489"/>
    <cellStyle name="Comma 2 3 9" xfId="41573"/>
    <cellStyle name="Comma 2 30" xfId="22282"/>
    <cellStyle name="Comma 2 31" xfId="21751"/>
    <cellStyle name="Comma 2 4" xfId="249"/>
    <cellStyle name="Comma 2 4 2" xfId="709"/>
    <cellStyle name="Comma 2 4 3" xfId="710"/>
    <cellStyle name="Comma 2 4 4" xfId="711"/>
    <cellStyle name="Comma 2 4 4 2" xfId="712"/>
    <cellStyle name="Comma 2 4 5" xfId="713"/>
    <cellStyle name="Comma 2 4 5 2" xfId="714"/>
    <cellStyle name="Comma 2 4 6" xfId="708"/>
    <cellStyle name="Comma 2 4 7" xfId="22707"/>
    <cellStyle name="Comma 2 4 8" xfId="41877"/>
    <cellStyle name="Comma 2 4 9" xfId="21802"/>
    <cellStyle name="Comma 2 5" xfId="250"/>
    <cellStyle name="Comma 2 5 2" xfId="716"/>
    <cellStyle name="Comma 2 5 3" xfId="717"/>
    <cellStyle name="Comma 2 5 4" xfId="3704"/>
    <cellStyle name="Comma 2 5 5" xfId="715"/>
    <cellStyle name="Comma 2 5 6" xfId="22708"/>
    <cellStyle name="Comma 2 5 7" xfId="41878"/>
    <cellStyle name="Comma 2 5 8" xfId="21826"/>
    <cellStyle name="Comma 2 6" xfId="251"/>
    <cellStyle name="Comma 2 6 2" xfId="719"/>
    <cellStyle name="Comma 2 6 3" xfId="720"/>
    <cellStyle name="Comma 2 6 4" xfId="718"/>
    <cellStyle name="Comma 2 6 5" xfId="22709"/>
    <cellStyle name="Comma 2 6 6" xfId="41879"/>
    <cellStyle name="Comma 2 6 7" xfId="21819"/>
    <cellStyle name="Comma 2 7" xfId="252"/>
    <cellStyle name="Comma 2 7 2" xfId="3705"/>
    <cellStyle name="Comma 2 7 3" xfId="721"/>
    <cellStyle name="Comma 2 7 4" xfId="22710"/>
    <cellStyle name="Comma 2 7 5" xfId="21838"/>
    <cellStyle name="Comma 2 8" xfId="253"/>
    <cellStyle name="Comma 2 8 2" xfId="3706"/>
    <cellStyle name="Comma 2 8 3" xfId="722"/>
    <cellStyle name="Comma 2 8 4" xfId="22711"/>
    <cellStyle name="Comma 2 8 5" xfId="21843"/>
    <cellStyle name="Comma 2 9" xfId="254"/>
    <cellStyle name="Comma 2 9 2" xfId="3707"/>
    <cellStyle name="Comma 2 9 3" xfId="723"/>
    <cellStyle name="Comma 2 9 4" xfId="22712"/>
    <cellStyle name="Comma 2 9 5" xfId="21837"/>
    <cellStyle name="Comma 20" xfId="724"/>
    <cellStyle name="Comma 20 2" xfId="22409"/>
    <cellStyle name="Comma 20 3" xfId="22877"/>
    <cellStyle name="Comma 20 4" xfId="41503"/>
    <cellStyle name="Comma 20 5" xfId="41593"/>
    <cellStyle name="Comma 20 6" xfId="21795"/>
    <cellStyle name="Comma 200" xfId="4615"/>
    <cellStyle name="Comma 201" xfId="4583"/>
    <cellStyle name="Comma 202" xfId="4595"/>
    <cellStyle name="Comma 203" xfId="4604"/>
    <cellStyle name="Comma 204" xfId="3805"/>
    <cellStyle name="Comma 204 2" xfId="5430"/>
    <cellStyle name="Comma 204 2 2" xfId="8516"/>
    <cellStyle name="Comma 204 2 2 2" xfId="14709"/>
    <cellStyle name="Comma 204 2 2 2 2" xfId="34387"/>
    <cellStyle name="Comma 204 2 2 3" xfId="20861"/>
    <cellStyle name="Comma 204 2 2 3 2" xfId="40539"/>
    <cellStyle name="Comma 204 2 2 4" xfId="28223"/>
    <cellStyle name="Comma 204 2 3" xfId="11643"/>
    <cellStyle name="Comma 204 2 3 2" xfId="31321"/>
    <cellStyle name="Comma 204 2 4" xfId="17795"/>
    <cellStyle name="Comma 204 2 4 2" xfId="37473"/>
    <cellStyle name="Comma 204 2 5" xfId="25157"/>
    <cellStyle name="Comma 204 3" xfId="6981"/>
    <cellStyle name="Comma 204 3 2" xfId="13175"/>
    <cellStyle name="Comma 204 3 2 2" xfId="32853"/>
    <cellStyle name="Comma 204 3 3" xfId="19327"/>
    <cellStyle name="Comma 204 3 3 2" xfId="39005"/>
    <cellStyle name="Comma 204 3 4" xfId="26689"/>
    <cellStyle name="Comma 204 4" xfId="10109"/>
    <cellStyle name="Comma 204 4 2" xfId="29787"/>
    <cellStyle name="Comma 204 5" xfId="16261"/>
    <cellStyle name="Comma 204 5 2" xfId="35939"/>
    <cellStyle name="Comma 204 6" xfId="23623"/>
    <cellStyle name="Comma 205" xfId="4640"/>
    <cellStyle name="Comma 205 2" xfId="7744"/>
    <cellStyle name="Comma 205 2 2" xfId="13938"/>
    <cellStyle name="Comma 205 2 2 2" xfId="33616"/>
    <cellStyle name="Comma 205 2 3" xfId="20090"/>
    <cellStyle name="Comma 205 2 3 2" xfId="39768"/>
    <cellStyle name="Comma 205 2 4" xfId="27452"/>
    <cellStyle name="Comma 205 3" xfId="10872"/>
    <cellStyle name="Comma 205 3 2" xfId="30550"/>
    <cellStyle name="Comma 205 4" xfId="17024"/>
    <cellStyle name="Comma 205 4 2" xfId="36702"/>
    <cellStyle name="Comma 205 5" xfId="24386"/>
    <cellStyle name="Comma 206" xfId="4642"/>
    <cellStyle name="Comma 206 2" xfId="7746"/>
    <cellStyle name="Comma 206 2 2" xfId="13939"/>
    <cellStyle name="Comma 206 2 2 2" xfId="33617"/>
    <cellStyle name="Comma 206 2 3" xfId="20091"/>
    <cellStyle name="Comma 206 2 3 2" xfId="39769"/>
    <cellStyle name="Comma 206 2 4" xfId="27453"/>
    <cellStyle name="Comma 206 3" xfId="10873"/>
    <cellStyle name="Comma 206 3 2" xfId="30551"/>
    <cellStyle name="Comma 206 4" xfId="17025"/>
    <cellStyle name="Comma 206 4 2" xfId="36703"/>
    <cellStyle name="Comma 206 5" xfId="24387"/>
    <cellStyle name="Comma 207" xfId="6209"/>
    <cellStyle name="Comma 208" xfId="9280"/>
    <cellStyle name="Comma 209" xfId="9282"/>
    <cellStyle name="Comma 21" xfId="725"/>
    <cellStyle name="Comma 21 2" xfId="22410"/>
    <cellStyle name="Comma 21 3" xfId="22878"/>
    <cellStyle name="Comma 21 4" xfId="41493"/>
    <cellStyle name="Comma 21 5" xfId="41594"/>
    <cellStyle name="Comma 21 6" xfId="21796"/>
    <cellStyle name="Comma 210" xfId="9337"/>
    <cellStyle name="Comma 211" xfId="223"/>
    <cellStyle name="Comma 212" xfId="267"/>
    <cellStyle name="Comma 213" xfId="41326"/>
    <cellStyle name="Comma 214" xfId="41324"/>
    <cellStyle name="Comma 215" xfId="41329"/>
    <cellStyle name="Comma 216" xfId="22677"/>
    <cellStyle name="Comma 217" xfId="22684"/>
    <cellStyle name="Comma 218" xfId="41370"/>
    <cellStyle name="Comma 219" xfId="41381"/>
    <cellStyle name="Comma 22" xfId="726"/>
    <cellStyle name="Comma 22 2" xfId="22406"/>
    <cellStyle name="Comma 22 3" xfId="22879"/>
    <cellStyle name="Comma 22 4" xfId="41378"/>
    <cellStyle name="Comma 22 5" xfId="41590"/>
    <cellStyle name="Comma 22 6" xfId="21792"/>
    <cellStyle name="Comma 220" xfId="41495"/>
    <cellStyle name="Comma 221" xfId="41504"/>
    <cellStyle name="Comma 222" xfId="41415"/>
    <cellStyle name="Comma 223" xfId="41359"/>
    <cellStyle name="Comma 224" xfId="41870"/>
    <cellStyle name="Comma 225" xfId="41973"/>
    <cellStyle name="Comma 226" xfId="21684"/>
    <cellStyle name="Comma 227" xfId="42083"/>
    <cellStyle name="Comma 23" xfId="727"/>
    <cellStyle name="Comma 23 2" xfId="22411"/>
    <cellStyle name="Comma 23 3" xfId="22880"/>
    <cellStyle name="Comma 23 4" xfId="41545"/>
    <cellStyle name="Comma 23 5" xfId="41595"/>
    <cellStyle name="Comma 23 6" xfId="41880"/>
    <cellStyle name="Comma 23 7" xfId="21797"/>
    <cellStyle name="Comma 24" xfId="728"/>
    <cellStyle name="Comma 25" xfId="729"/>
    <cellStyle name="Comma 26" xfId="730"/>
    <cellStyle name="Comma 27" xfId="731"/>
    <cellStyle name="Comma 28" xfId="732"/>
    <cellStyle name="Comma 29" xfId="733"/>
    <cellStyle name="Comma 3" xfId="25"/>
    <cellStyle name="Comma 3 10" xfId="734"/>
    <cellStyle name="Comma 3 10 2" xfId="3917"/>
    <cellStyle name="Comma 3 10 2 2" xfId="5542"/>
    <cellStyle name="Comma 3 10 2 2 2" xfId="8628"/>
    <cellStyle name="Comma 3 10 2 2 2 2" xfId="14821"/>
    <cellStyle name="Comma 3 10 2 2 2 2 2" xfId="34499"/>
    <cellStyle name="Comma 3 10 2 2 2 3" xfId="20973"/>
    <cellStyle name="Comma 3 10 2 2 2 3 2" xfId="40651"/>
    <cellStyle name="Comma 3 10 2 2 2 4" xfId="28335"/>
    <cellStyle name="Comma 3 10 2 2 3" xfId="11755"/>
    <cellStyle name="Comma 3 10 2 2 3 2" xfId="31433"/>
    <cellStyle name="Comma 3 10 2 2 4" xfId="17907"/>
    <cellStyle name="Comma 3 10 2 2 4 2" xfId="37585"/>
    <cellStyle name="Comma 3 10 2 2 5" xfId="25269"/>
    <cellStyle name="Comma 3 10 2 3" xfId="7093"/>
    <cellStyle name="Comma 3 10 2 3 2" xfId="13287"/>
    <cellStyle name="Comma 3 10 2 3 2 2" xfId="32965"/>
    <cellStyle name="Comma 3 10 2 3 3" xfId="19439"/>
    <cellStyle name="Comma 3 10 2 3 3 2" xfId="39117"/>
    <cellStyle name="Comma 3 10 2 3 4" xfId="26801"/>
    <cellStyle name="Comma 3 10 2 4" xfId="10221"/>
    <cellStyle name="Comma 3 10 2 4 2" xfId="29899"/>
    <cellStyle name="Comma 3 10 2 5" xfId="16373"/>
    <cellStyle name="Comma 3 10 2 5 2" xfId="36051"/>
    <cellStyle name="Comma 3 10 2 6" xfId="23735"/>
    <cellStyle name="Comma 3 10 3" xfId="4756"/>
    <cellStyle name="Comma 3 10 3 2" xfId="7859"/>
    <cellStyle name="Comma 3 10 3 2 2" xfId="14052"/>
    <cellStyle name="Comma 3 10 3 2 2 2" xfId="33730"/>
    <cellStyle name="Comma 3 10 3 2 3" xfId="20204"/>
    <cellStyle name="Comma 3 10 3 2 3 2" xfId="39882"/>
    <cellStyle name="Comma 3 10 3 2 4" xfId="27566"/>
    <cellStyle name="Comma 3 10 3 3" xfId="10986"/>
    <cellStyle name="Comma 3 10 3 3 2" xfId="30664"/>
    <cellStyle name="Comma 3 10 3 4" xfId="17138"/>
    <cellStyle name="Comma 3 10 3 4 2" xfId="36816"/>
    <cellStyle name="Comma 3 10 3 5" xfId="24500"/>
    <cellStyle name="Comma 3 10 4" xfId="6324"/>
    <cellStyle name="Comma 3 10 4 2" xfId="12518"/>
    <cellStyle name="Comma 3 10 4 2 2" xfId="32196"/>
    <cellStyle name="Comma 3 10 4 3" xfId="18670"/>
    <cellStyle name="Comma 3 10 4 3 2" xfId="38348"/>
    <cellStyle name="Comma 3 10 4 4" xfId="26032"/>
    <cellStyle name="Comma 3 10 5" xfId="9452"/>
    <cellStyle name="Comma 3 10 5 2" xfId="29130"/>
    <cellStyle name="Comma 3 10 6" xfId="15604"/>
    <cellStyle name="Comma 3 10 6 2" xfId="35282"/>
    <cellStyle name="Comma 3 10 7" xfId="22881"/>
    <cellStyle name="Comma 3 10 8" xfId="21928"/>
    <cellStyle name="Comma 3 11" xfId="735"/>
    <cellStyle name="Comma 3 11 2" xfId="3918"/>
    <cellStyle name="Comma 3 11 2 2" xfId="5543"/>
    <cellStyle name="Comma 3 11 2 2 2" xfId="8629"/>
    <cellStyle name="Comma 3 11 2 2 2 2" xfId="14822"/>
    <cellStyle name="Comma 3 11 2 2 2 2 2" xfId="34500"/>
    <cellStyle name="Comma 3 11 2 2 2 3" xfId="20974"/>
    <cellStyle name="Comma 3 11 2 2 2 3 2" xfId="40652"/>
    <cellStyle name="Comma 3 11 2 2 2 4" xfId="28336"/>
    <cellStyle name="Comma 3 11 2 2 3" xfId="11756"/>
    <cellStyle name="Comma 3 11 2 2 3 2" xfId="31434"/>
    <cellStyle name="Comma 3 11 2 2 4" xfId="17908"/>
    <cellStyle name="Comma 3 11 2 2 4 2" xfId="37586"/>
    <cellStyle name="Comma 3 11 2 2 5" xfId="25270"/>
    <cellStyle name="Comma 3 11 2 3" xfId="7094"/>
    <cellStyle name="Comma 3 11 2 3 2" xfId="13288"/>
    <cellStyle name="Comma 3 11 2 3 2 2" xfId="32966"/>
    <cellStyle name="Comma 3 11 2 3 3" xfId="19440"/>
    <cellStyle name="Comma 3 11 2 3 3 2" xfId="39118"/>
    <cellStyle name="Comma 3 11 2 3 4" xfId="26802"/>
    <cellStyle name="Comma 3 11 2 4" xfId="10222"/>
    <cellStyle name="Comma 3 11 2 4 2" xfId="29900"/>
    <cellStyle name="Comma 3 11 2 5" xfId="16374"/>
    <cellStyle name="Comma 3 11 2 5 2" xfId="36052"/>
    <cellStyle name="Comma 3 11 2 6" xfId="23736"/>
    <cellStyle name="Comma 3 11 3" xfId="4757"/>
    <cellStyle name="Comma 3 11 3 2" xfId="7860"/>
    <cellStyle name="Comma 3 11 3 2 2" xfId="14053"/>
    <cellStyle name="Comma 3 11 3 2 2 2" xfId="33731"/>
    <cellStyle name="Comma 3 11 3 2 3" xfId="20205"/>
    <cellStyle name="Comma 3 11 3 2 3 2" xfId="39883"/>
    <cellStyle name="Comma 3 11 3 2 4" xfId="27567"/>
    <cellStyle name="Comma 3 11 3 3" xfId="10987"/>
    <cellStyle name="Comma 3 11 3 3 2" xfId="30665"/>
    <cellStyle name="Comma 3 11 3 4" xfId="17139"/>
    <cellStyle name="Comma 3 11 3 4 2" xfId="36817"/>
    <cellStyle name="Comma 3 11 3 5" xfId="24501"/>
    <cellStyle name="Comma 3 11 4" xfId="6325"/>
    <cellStyle name="Comma 3 11 4 2" xfId="12519"/>
    <cellStyle name="Comma 3 11 4 2 2" xfId="32197"/>
    <cellStyle name="Comma 3 11 4 3" xfId="18671"/>
    <cellStyle name="Comma 3 11 4 3 2" xfId="38349"/>
    <cellStyle name="Comma 3 11 4 4" xfId="26033"/>
    <cellStyle name="Comma 3 11 5" xfId="9453"/>
    <cellStyle name="Comma 3 11 5 2" xfId="29131"/>
    <cellStyle name="Comma 3 11 6" xfId="15605"/>
    <cellStyle name="Comma 3 11 6 2" xfId="35283"/>
    <cellStyle name="Comma 3 11 7" xfId="22882"/>
    <cellStyle name="Comma 3 11 8" xfId="21939"/>
    <cellStyle name="Comma 3 12" xfId="736"/>
    <cellStyle name="Comma 3 12 2" xfId="3919"/>
    <cellStyle name="Comma 3 12 2 2" xfId="5544"/>
    <cellStyle name="Comma 3 12 2 2 2" xfId="8630"/>
    <cellStyle name="Comma 3 12 2 2 2 2" xfId="14823"/>
    <cellStyle name="Comma 3 12 2 2 2 2 2" xfId="34501"/>
    <cellStyle name="Comma 3 12 2 2 2 3" xfId="20975"/>
    <cellStyle name="Comma 3 12 2 2 2 3 2" xfId="40653"/>
    <cellStyle name="Comma 3 12 2 2 2 4" xfId="28337"/>
    <cellStyle name="Comma 3 12 2 2 3" xfId="11757"/>
    <cellStyle name="Comma 3 12 2 2 3 2" xfId="31435"/>
    <cellStyle name="Comma 3 12 2 2 4" xfId="17909"/>
    <cellStyle name="Comma 3 12 2 2 4 2" xfId="37587"/>
    <cellStyle name="Comma 3 12 2 2 5" xfId="25271"/>
    <cellStyle name="Comma 3 12 2 3" xfId="7095"/>
    <cellStyle name="Comma 3 12 2 3 2" xfId="13289"/>
    <cellStyle name="Comma 3 12 2 3 2 2" xfId="32967"/>
    <cellStyle name="Comma 3 12 2 3 3" xfId="19441"/>
    <cellStyle name="Comma 3 12 2 3 3 2" xfId="39119"/>
    <cellStyle name="Comma 3 12 2 3 4" xfId="26803"/>
    <cellStyle name="Comma 3 12 2 4" xfId="10223"/>
    <cellStyle name="Comma 3 12 2 4 2" xfId="29901"/>
    <cellStyle name="Comma 3 12 2 5" xfId="16375"/>
    <cellStyle name="Comma 3 12 2 5 2" xfId="36053"/>
    <cellStyle name="Comma 3 12 2 6" xfId="23737"/>
    <cellStyle name="Comma 3 12 3" xfId="4758"/>
    <cellStyle name="Comma 3 12 3 2" xfId="7861"/>
    <cellStyle name="Comma 3 12 3 2 2" xfId="14054"/>
    <cellStyle name="Comma 3 12 3 2 2 2" xfId="33732"/>
    <cellStyle name="Comma 3 12 3 2 3" xfId="20206"/>
    <cellStyle name="Comma 3 12 3 2 3 2" xfId="39884"/>
    <cellStyle name="Comma 3 12 3 2 4" xfId="27568"/>
    <cellStyle name="Comma 3 12 3 3" xfId="10988"/>
    <cellStyle name="Comma 3 12 3 3 2" xfId="30666"/>
    <cellStyle name="Comma 3 12 3 4" xfId="17140"/>
    <cellStyle name="Comma 3 12 3 4 2" xfId="36818"/>
    <cellStyle name="Comma 3 12 3 5" xfId="24502"/>
    <cellStyle name="Comma 3 12 4" xfId="6326"/>
    <cellStyle name="Comma 3 12 4 2" xfId="12520"/>
    <cellStyle name="Comma 3 12 4 2 2" xfId="32198"/>
    <cellStyle name="Comma 3 12 4 3" xfId="18672"/>
    <cellStyle name="Comma 3 12 4 3 2" xfId="38350"/>
    <cellStyle name="Comma 3 12 4 4" xfId="26034"/>
    <cellStyle name="Comma 3 12 5" xfId="9454"/>
    <cellStyle name="Comma 3 12 5 2" xfId="29132"/>
    <cellStyle name="Comma 3 12 6" xfId="15606"/>
    <cellStyle name="Comma 3 12 6 2" xfId="35284"/>
    <cellStyle name="Comma 3 12 7" xfId="22883"/>
    <cellStyle name="Comma 3 12 8" xfId="21950"/>
    <cellStyle name="Comma 3 13" xfId="737"/>
    <cellStyle name="Comma 3 13 2" xfId="3920"/>
    <cellStyle name="Comma 3 13 2 2" xfId="5545"/>
    <cellStyle name="Comma 3 13 2 2 2" xfId="8631"/>
    <cellStyle name="Comma 3 13 2 2 2 2" xfId="14824"/>
    <cellStyle name="Comma 3 13 2 2 2 2 2" xfId="34502"/>
    <cellStyle name="Comma 3 13 2 2 2 3" xfId="20976"/>
    <cellStyle name="Comma 3 13 2 2 2 3 2" xfId="40654"/>
    <cellStyle name="Comma 3 13 2 2 2 4" xfId="28338"/>
    <cellStyle name="Comma 3 13 2 2 3" xfId="11758"/>
    <cellStyle name="Comma 3 13 2 2 3 2" xfId="31436"/>
    <cellStyle name="Comma 3 13 2 2 4" xfId="17910"/>
    <cellStyle name="Comma 3 13 2 2 4 2" xfId="37588"/>
    <cellStyle name="Comma 3 13 2 2 5" xfId="25272"/>
    <cellStyle name="Comma 3 13 2 3" xfId="7096"/>
    <cellStyle name="Comma 3 13 2 3 2" xfId="13290"/>
    <cellStyle name="Comma 3 13 2 3 2 2" xfId="32968"/>
    <cellStyle name="Comma 3 13 2 3 3" xfId="19442"/>
    <cellStyle name="Comma 3 13 2 3 3 2" xfId="39120"/>
    <cellStyle name="Comma 3 13 2 3 4" xfId="26804"/>
    <cellStyle name="Comma 3 13 2 4" xfId="10224"/>
    <cellStyle name="Comma 3 13 2 4 2" xfId="29902"/>
    <cellStyle name="Comma 3 13 2 5" xfId="16376"/>
    <cellStyle name="Comma 3 13 2 5 2" xfId="36054"/>
    <cellStyle name="Comma 3 13 2 6" xfId="23738"/>
    <cellStyle name="Comma 3 13 3" xfId="4759"/>
    <cellStyle name="Comma 3 13 3 2" xfId="7862"/>
    <cellStyle name="Comma 3 13 3 2 2" xfId="14055"/>
    <cellStyle name="Comma 3 13 3 2 2 2" xfId="33733"/>
    <cellStyle name="Comma 3 13 3 2 3" xfId="20207"/>
    <cellStyle name="Comma 3 13 3 2 3 2" xfId="39885"/>
    <cellStyle name="Comma 3 13 3 2 4" xfId="27569"/>
    <cellStyle name="Comma 3 13 3 3" xfId="10989"/>
    <cellStyle name="Comma 3 13 3 3 2" xfId="30667"/>
    <cellStyle name="Comma 3 13 3 4" xfId="17141"/>
    <cellStyle name="Comma 3 13 3 4 2" xfId="36819"/>
    <cellStyle name="Comma 3 13 3 5" xfId="24503"/>
    <cellStyle name="Comma 3 13 4" xfId="6327"/>
    <cellStyle name="Comma 3 13 4 2" xfId="12521"/>
    <cellStyle name="Comma 3 13 4 2 2" xfId="32199"/>
    <cellStyle name="Comma 3 13 4 3" xfId="18673"/>
    <cellStyle name="Comma 3 13 4 3 2" xfId="38351"/>
    <cellStyle name="Comma 3 13 4 4" xfId="26035"/>
    <cellStyle name="Comma 3 13 5" xfId="9455"/>
    <cellStyle name="Comma 3 13 5 2" xfId="29133"/>
    <cellStyle name="Comma 3 13 6" xfId="15607"/>
    <cellStyle name="Comma 3 13 6 2" xfId="35285"/>
    <cellStyle name="Comma 3 13 7" xfId="22884"/>
    <cellStyle name="Comma 3 13 8" xfId="21961"/>
    <cellStyle name="Comma 3 14" xfId="738"/>
    <cellStyle name="Comma 3 14 2" xfId="3921"/>
    <cellStyle name="Comma 3 14 2 2" xfId="5546"/>
    <cellStyle name="Comma 3 14 2 2 2" xfId="8632"/>
    <cellStyle name="Comma 3 14 2 2 2 2" xfId="14825"/>
    <cellStyle name="Comma 3 14 2 2 2 2 2" xfId="34503"/>
    <cellStyle name="Comma 3 14 2 2 2 3" xfId="20977"/>
    <cellStyle name="Comma 3 14 2 2 2 3 2" xfId="40655"/>
    <cellStyle name="Comma 3 14 2 2 2 4" xfId="28339"/>
    <cellStyle name="Comma 3 14 2 2 3" xfId="11759"/>
    <cellStyle name="Comma 3 14 2 2 3 2" xfId="31437"/>
    <cellStyle name="Comma 3 14 2 2 4" xfId="17911"/>
    <cellStyle name="Comma 3 14 2 2 4 2" xfId="37589"/>
    <cellStyle name="Comma 3 14 2 2 5" xfId="25273"/>
    <cellStyle name="Comma 3 14 2 3" xfId="7097"/>
    <cellStyle name="Comma 3 14 2 3 2" xfId="13291"/>
    <cellStyle name="Comma 3 14 2 3 2 2" xfId="32969"/>
    <cellStyle name="Comma 3 14 2 3 3" xfId="19443"/>
    <cellStyle name="Comma 3 14 2 3 3 2" xfId="39121"/>
    <cellStyle name="Comma 3 14 2 3 4" xfId="26805"/>
    <cellStyle name="Comma 3 14 2 4" xfId="10225"/>
    <cellStyle name="Comma 3 14 2 4 2" xfId="29903"/>
    <cellStyle name="Comma 3 14 2 5" xfId="16377"/>
    <cellStyle name="Comma 3 14 2 5 2" xfId="36055"/>
    <cellStyle name="Comma 3 14 2 6" xfId="23739"/>
    <cellStyle name="Comma 3 14 3" xfId="4760"/>
    <cellStyle name="Comma 3 14 3 2" xfId="7863"/>
    <cellStyle name="Comma 3 14 3 2 2" xfId="14056"/>
    <cellStyle name="Comma 3 14 3 2 2 2" xfId="33734"/>
    <cellStyle name="Comma 3 14 3 2 3" xfId="20208"/>
    <cellStyle name="Comma 3 14 3 2 3 2" xfId="39886"/>
    <cellStyle name="Comma 3 14 3 2 4" xfId="27570"/>
    <cellStyle name="Comma 3 14 3 3" xfId="10990"/>
    <cellStyle name="Comma 3 14 3 3 2" xfId="30668"/>
    <cellStyle name="Comma 3 14 3 4" xfId="17142"/>
    <cellStyle name="Comma 3 14 3 4 2" xfId="36820"/>
    <cellStyle name="Comma 3 14 3 5" xfId="24504"/>
    <cellStyle name="Comma 3 14 4" xfId="6328"/>
    <cellStyle name="Comma 3 14 4 2" xfId="12522"/>
    <cellStyle name="Comma 3 14 4 2 2" xfId="32200"/>
    <cellStyle name="Comma 3 14 4 3" xfId="18674"/>
    <cellStyle name="Comma 3 14 4 3 2" xfId="38352"/>
    <cellStyle name="Comma 3 14 4 4" xfId="26036"/>
    <cellStyle name="Comma 3 14 5" xfId="9456"/>
    <cellStyle name="Comma 3 14 5 2" xfId="29134"/>
    <cellStyle name="Comma 3 14 6" xfId="15608"/>
    <cellStyle name="Comma 3 14 6 2" xfId="35286"/>
    <cellStyle name="Comma 3 14 7" xfId="22885"/>
    <cellStyle name="Comma 3 14 8" xfId="21971"/>
    <cellStyle name="Comma 3 15" xfId="739"/>
    <cellStyle name="Comma 3 15 2" xfId="3922"/>
    <cellStyle name="Comma 3 15 2 2" xfId="5547"/>
    <cellStyle name="Comma 3 15 2 2 2" xfId="8633"/>
    <cellStyle name="Comma 3 15 2 2 2 2" xfId="14826"/>
    <cellStyle name="Comma 3 15 2 2 2 2 2" xfId="34504"/>
    <cellStyle name="Comma 3 15 2 2 2 3" xfId="20978"/>
    <cellStyle name="Comma 3 15 2 2 2 3 2" xfId="40656"/>
    <cellStyle name="Comma 3 15 2 2 2 4" xfId="28340"/>
    <cellStyle name="Comma 3 15 2 2 3" xfId="11760"/>
    <cellStyle name="Comma 3 15 2 2 3 2" xfId="31438"/>
    <cellStyle name="Comma 3 15 2 2 4" xfId="17912"/>
    <cellStyle name="Comma 3 15 2 2 4 2" xfId="37590"/>
    <cellStyle name="Comma 3 15 2 2 5" xfId="25274"/>
    <cellStyle name="Comma 3 15 2 3" xfId="7098"/>
    <cellStyle name="Comma 3 15 2 3 2" xfId="13292"/>
    <cellStyle name="Comma 3 15 2 3 2 2" xfId="32970"/>
    <cellStyle name="Comma 3 15 2 3 3" xfId="19444"/>
    <cellStyle name="Comma 3 15 2 3 3 2" xfId="39122"/>
    <cellStyle name="Comma 3 15 2 3 4" xfId="26806"/>
    <cellStyle name="Comma 3 15 2 4" xfId="10226"/>
    <cellStyle name="Comma 3 15 2 4 2" xfId="29904"/>
    <cellStyle name="Comma 3 15 2 5" xfId="16378"/>
    <cellStyle name="Comma 3 15 2 5 2" xfId="36056"/>
    <cellStyle name="Comma 3 15 2 6" xfId="23740"/>
    <cellStyle name="Comma 3 15 3" xfId="4761"/>
    <cellStyle name="Comma 3 15 3 2" xfId="7864"/>
    <cellStyle name="Comma 3 15 3 2 2" xfId="14057"/>
    <cellStyle name="Comma 3 15 3 2 2 2" xfId="33735"/>
    <cellStyle name="Comma 3 15 3 2 3" xfId="20209"/>
    <cellStyle name="Comma 3 15 3 2 3 2" xfId="39887"/>
    <cellStyle name="Comma 3 15 3 2 4" xfId="27571"/>
    <cellStyle name="Comma 3 15 3 3" xfId="10991"/>
    <cellStyle name="Comma 3 15 3 3 2" xfId="30669"/>
    <cellStyle name="Comma 3 15 3 4" xfId="17143"/>
    <cellStyle name="Comma 3 15 3 4 2" xfId="36821"/>
    <cellStyle name="Comma 3 15 3 5" xfId="24505"/>
    <cellStyle name="Comma 3 15 4" xfId="6329"/>
    <cellStyle name="Comma 3 15 4 2" xfId="12523"/>
    <cellStyle name="Comma 3 15 4 2 2" xfId="32201"/>
    <cellStyle name="Comma 3 15 4 3" xfId="18675"/>
    <cellStyle name="Comma 3 15 4 3 2" xfId="38353"/>
    <cellStyle name="Comma 3 15 4 4" xfId="26037"/>
    <cellStyle name="Comma 3 15 5" xfId="9457"/>
    <cellStyle name="Comma 3 15 5 2" xfId="29135"/>
    <cellStyle name="Comma 3 15 6" xfId="15609"/>
    <cellStyle name="Comma 3 15 6 2" xfId="35287"/>
    <cellStyle name="Comma 3 15 7" xfId="22886"/>
    <cellStyle name="Comma 3 15 8" xfId="21991"/>
    <cellStyle name="Comma 3 16" xfId="740"/>
    <cellStyle name="Comma 3 16 2" xfId="3923"/>
    <cellStyle name="Comma 3 16 2 2" xfId="5548"/>
    <cellStyle name="Comma 3 16 2 2 2" xfId="8634"/>
    <cellStyle name="Comma 3 16 2 2 2 2" xfId="14827"/>
    <cellStyle name="Comma 3 16 2 2 2 2 2" xfId="34505"/>
    <cellStyle name="Comma 3 16 2 2 2 3" xfId="20979"/>
    <cellStyle name="Comma 3 16 2 2 2 3 2" xfId="40657"/>
    <cellStyle name="Comma 3 16 2 2 2 4" xfId="28341"/>
    <cellStyle name="Comma 3 16 2 2 3" xfId="11761"/>
    <cellStyle name="Comma 3 16 2 2 3 2" xfId="31439"/>
    <cellStyle name="Comma 3 16 2 2 4" xfId="17913"/>
    <cellStyle name="Comma 3 16 2 2 4 2" xfId="37591"/>
    <cellStyle name="Comma 3 16 2 2 5" xfId="25275"/>
    <cellStyle name="Comma 3 16 2 3" xfId="7099"/>
    <cellStyle name="Comma 3 16 2 3 2" xfId="13293"/>
    <cellStyle name="Comma 3 16 2 3 2 2" xfId="32971"/>
    <cellStyle name="Comma 3 16 2 3 3" xfId="19445"/>
    <cellStyle name="Comma 3 16 2 3 3 2" xfId="39123"/>
    <cellStyle name="Comma 3 16 2 3 4" xfId="26807"/>
    <cellStyle name="Comma 3 16 2 4" xfId="10227"/>
    <cellStyle name="Comma 3 16 2 4 2" xfId="29905"/>
    <cellStyle name="Comma 3 16 2 5" xfId="16379"/>
    <cellStyle name="Comma 3 16 2 5 2" xfId="36057"/>
    <cellStyle name="Comma 3 16 2 6" xfId="23741"/>
    <cellStyle name="Comma 3 16 3" xfId="4762"/>
    <cellStyle name="Comma 3 16 3 2" xfId="7865"/>
    <cellStyle name="Comma 3 16 3 2 2" xfId="14058"/>
    <cellStyle name="Comma 3 16 3 2 2 2" xfId="33736"/>
    <cellStyle name="Comma 3 16 3 2 3" xfId="20210"/>
    <cellStyle name="Comma 3 16 3 2 3 2" xfId="39888"/>
    <cellStyle name="Comma 3 16 3 2 4" xfId="27572"/>
    <cellStyle name="Comma 3 16 3 3" xfId="10992"/>
    <cellStyle name="Comma 3 16 3 3 2" xfId="30670"/>
    <cellStyle name="Comma 3 16 3 4" xfId="17144"/>
    <cellStyle name="Comma 3 16 3 4 2" xfId="36822"/>
    <cellStyle name="Comma 3 16 3 5" xfId="24506"/>
    <cellStyle name="Comma 3 16 4" xfId="6330"/>
    <cellStyle name="Comma 3 16 4 2" xfId="12524"/>
    <cellStyle name="Comma 3 16 4 2 2" xfId="32202"/>
    <cellStyle name="Comma 3 16 4 3" xfId="18676"/>
    <cellStyle name="Comma 3 16 4 3 2" xfId="38354"/>
    <cellStyle name="Comma 3 16 4 4" xfId="26038"/>
    <cellStyle name="Comma 3 16 5" xfId="9458"/>
    <cellStyle name="Comma 3 16 5 2" xfId="29136"/>
    <cellStyle name="Comma 3 16 6" xfId="15610"/>
    <cellStyle name="Comma 3 16 6 2" xfId="35288"/>
    <cellStyle name="Comma 3 16 7" xfId="22887"/>
    <cellStyle name="Comma 3 16 8" xfId="22006"/>
    <cellStyle name="Comma 3 17" xfId="741"/>
    <cellStyle name="Comma 3 17 2" xfId="3924"/>
    <cellStyle name="Comma 3 17 2 2" xfId="5549"/>
    <cellStyle name="Comma 3 17 2 2 2" xfId="8635"/>
    <cellStyle name="Comma 3 17 2 2 2 2" xfId="14828"/>
    <cellStyle name="Comma 3 17 2 2 2 2 2" xfId="34506"/>
    <cellStyle name="Comma 3 17 2 2 2 3" xfId="20980"/>
    <cellStyle name="Comma 3 17 2 2 2 3 2" xfId="40658"/>
    <cellStyle name="Comma 3 17 2 2 2 4" xfId="28342"/>
    <cellStyle name="Comma 3 17 2 2 3" xfId="11762"/>
    <cellStyle name="Comma 3 17 2 2 3 2" xfId="31440"/>
    <cellStyle name="Comma 3 17 2 2 4" xfId="17914"/>
    <cellStyle name="Comma 3 17 2 2 4 2" xfId="37592"/>
    <cellStyle name="Comma 3 17 2 2 5" xfId="25276"/>
    <cellStyle name="Comma 3 17 2 3" xfId="7100"/>
    <cellStyle name="Comma 3 17 2 3 2" xfId="13294"/>
    <cellStyle name="Comma 3 17 2 3 2 2" xfId="32972"/>
    <cellStyle name="Comma 3 17 2 3 3" xfId="19446"/>
    <cellStyle name="Comma 3 17 2 3 3 2" xfId="39124"/>
    <cellStyle name="Comma 3 17 2 3 4" xfId="26808"/>
    <cellStyle name="Comma 3 17 2 4" xfId="10228"/>
    <cellStyle name="Comma 3 17 2 4 2" xfId="29906"/>
    <cellStyle name="Comma 3 17 2 5" xfId="16380"/>
    <cellStyle name="Comma 3 17 2 5 2" xfId="36058"/>
    <cellStyle name="Comma 3 17 2 6" xfId="23742"/>
    <cellStyle name="Comma 3 17 3" xfId="4763"/>
    <cellStyle name="Comma 3 17 3 2" xfId="7866"/>
    <cellStyle name="Comma 3 17 3 2 2" xfId="14059"/>
    <cellStyle name="Comma 3 17 3 2 2 2" xfId="33737"/>
    <cellStyle name="Comma 3 17 3 2 3" xfId="20211"/>
    <cellStyle name="Comma 3 17 3 2 3 2" xfId="39889"/>
    <cellStyle name="Comma 3 17 3 2 4" xfId="27573"/>
    <cellStyle name="Comma 3 17 3 3" xfId="10993"/>
    <cellStyle name="Comma 3 17 3 3 2" xfId="30671"/>
    <cellStyle name="Comma 3 17 3 4" xfId="17145"/>
    <cellStyle name="Comma 3 17 3 4 2" xfId="36823"/>
    <cellStyle name="Comma 3 17 3 5" xfId="24507"/>
    <cellStyle name="Comma 3 17 4" xfId="6331"/>
    <cellStyle name="Comma 3 17 4 2" xfId="12525"/>
    <cellStyle name="Comma 3 17 4 2 2" xfId="32203"/>
    <cellStyle name="Comma 3 17 4 3" xfId="18677"/>
    <cellStyle name="Comma 3 17 4 3 2" xfId="38355"/>
    <cellStyle name="Comma 3 17 4 4" xfId="26039"/>
    <cellStyle name="Comma 3 17 5" xfId="9459"/>
    <cellStyle name="Comma 3 17 5 2" xfId="29137"/>
    <cellStyle name="Comma 3 17 6" xfId="15611"/>
    <cellStyle name="Comma 3 17 6 2" xfId="35289"/>
    <cellStyle name="Comma 3 17 7" xfId="22888"/>
    <cellStyle name="Comma 3 17 8" xfId="22018"/>
    <cellStyle name="Comma 3 18" xfId="742"/>
    <cellStyle name="Comma 3 18 2" xfId="3925"/>
    <cellStyle name="Comma 3 18 2 2" xfId="5550"/>
    <cellStyle name="Comma 3 18 2 2 2" xfId="8636"/>
    <cellStyle name="Comma 3 18 2 2 2 2" xfId="14829"/>
    <cellStyle name="Comma 3 18 2 2 2 2 2" xfId="34507"/>
    <cellStyle name="Comma 3 18 2 2 2 3" xfId="20981"/>
    <cellStyle name="Comma 3 18 2 2 2 3 2" xfId="40659"/>
    <cellStyle name="Comma 3 18 2 2 2 4" xfId="28343"/>
    <cellStyle name="Comma 3 18 2 2 3" xfId="11763"/>
    <cellStyle name="Comma 3 18 2 2 3 2" xfId="31441"/>
    <cellStyle name="Comma 3 18 2 2 4" xfId="17915"/>
    <cellStyle name="Comma 3 18 2 2 4 2" xfId="37593"/>
    <cellStyle name="Comma 3 18 2 2 5" xfId="25277"/>
    <cellStyle name="Comma 3 18 2 3" xfId="7101"/>
    <cellStyle name="Comma 3 18 2 3 2" xfId="13295"/>
    <cellStyle name="Comma 3 18 2 3 2 2" xfId="32973"/>
    <cellStyle name="Comma 3 18 2 3 3" xfId="19447"/>
    <cellStyle name="Comma 3 18 2 3 3 2" xfId="39125"/>
    <cellStyle name="Comma 3 18 2 3 4" xfId="26809"/>
    <cellStyle name="Comma 3 18 2 4" xfId="10229"/>
    <cellStyle name="Comma 3 18 2 4 2" xfId="29907"/>
    <cellStyle name="Comma 3 18 2 5" xfId="16381"/>
    <cellStyle name="Comma 3 18 2 5 2" xfId="36059"/>
    <cellStyle name="Comma 3 18 2 6" xfId="23743"/>
    <cellStyle name="Comma 3 18 3" xfId="4764"/>
    <cellStyle name="Comma 3 18 3 2" xfId="7867"/>
    <cellStyle name="Comma 3 18 3 2 2" xfId="14060"/>
    <cellStyle name="Comma 3 18 3 2 2 2" xfId="33738"/>
    <cellStyle name="Comma 3 18 3 2 3" xfId="20212"/>
    <cellStyle name="Comma 3 18 3 2 3 2" xfId="39890"/>
    <cellStyle name="Comma 3 18 3 2 4" xfId="27574"/>
    <cellStyle name="Comma 3 18 3 3" xfId="10994"/>
    <cellStyle name="Comma 3 18 3 3 2" xfId="30672"/>
    <cellStyle name="Comma 3 18 3 4" xfId="17146"/>
    <cellStyle name="Comma 3 18 3 4 2" xfId="36824"/>
    <cellStyle name="Comma 3 18 3 5" xfId="24508"/>
    <cellStyle name="Comma 3 18 4" xfId="6332"/>
    <cellStyle name="Comma 3 18 4 2" xfId="12526"/>
    <cellStyle name="Comma 3 18 4 2 2" xfId="32204"/>
    <cellStyle name="Comma 3 18 4 3" xfId="18678"/>
    <cellStyle name="Comma 3 18 4 3 2" xfId="38356"/>
    <cellStyle name="Comma 3 18 4 4" xfId="26040"/>
    <cellStyle name="Comma 3 18 5" xfId="9460"/>
    <cellStyle name="Comma 3 18 5 2" xfId="29138"/>
    <cellStyle name="Comma 3 18 6" xfId="15612"/>
    <cellStyle name="Comma 3 18 6 2" xfId="35290"/>
    <cellStyle name="Comma 3 18 7" xfId="22889"/>
    <cellStyle name="Comma 3 18 8" xfId="22060"/>
    <cellStyle name="Comma 3 19" xfId="743"/>
    <cellStyle name="Comma 3 19 2" xfId="3926"/>
    <cellStyle name="Comma 3 19 2 2" xfId="5551"/>
    <cellStyle name="Comma 3 19 2 2 2" xfId="8637"/>
    <cellStyle name="Comma 3 19 2 2 2 2" xfId="14830"/>
    <cellStyle name="Comma 3 19 2 2 2 2 2" xfId="34508"/>
    <cellStyle name="Comma 3 19 2 2 2 3" xfId="20982"/>
    <cellStyle name="Comma 3 19 2 2 2 3 2" xfId="40660"/>
    <cellStyle name="Comma 3 19 2 2 2 4" xfId="28344"/>
    <cellStyle name="Comma 3 19 2 2 3" xfId="11764"/>
    <cellStyle name="Comma 3 19 2 2 3 2" xfId="31442"/>
    <cellStyle name="Comma 3 19 2 2 4" xfId="17916"/>
    <cellStyle name="Comma 3 19 2 2 4 2" xfId="37594"/>
    <cellStyle name="Comma 3 19 2 2 5" xfId="25278"/>
    <cellStyle name="Comma 3 19 2 3" xfId="7102"/>
    <cellStyle name="Comma 3 19 2 3 2" xfId="13296"/>
    <cellStyle name="Comma 3 19 2 3 2 2" xfId="32974"/>
    <cellStyle name="Comma 3 19 2 3 3" xfId="19448"/>
    <cellStyle name="Comma 3 19 2 3 3 2" xfId="39126"/>
    <cellStyle name="Comma 3 19 2 3 4" xfId="26810"/>
    <cellStyle name="Comma 3 19 2 4" xfId="10230"/>
    <cellStyle name="Comma 3 19 2 4 2" xfId="29908"/>
    <cellStyle name="Comma 3 19 2 5" xfId="16382"/>
    <cellStyle name="Comma 3 19 2 5 2" xfId="36060"/>
    <cellStyle name="Comma 3 19 2 6" xfId="23744"/>
    <cellStyle name="Comma 3 19 3" xfId="4765"/>
    <cellStyle name="Comma 3 19 3 2" xfId="7868"/>
    <cellStyle name="Comma 3 19 3 2 2" xfId="14061"/>
    <cellStyle name="Comma 3 19 3 2 2 2" xfId="33739"/>
    <cellStyle name="Comma 3 19 3 2 3" xfId="20213"/>
    <cellStyle name="Comma 3 19 3 2 3 2" xfId="39891"/>
    <cellStyle name="Comma 3 19 3 2 4" xfId="27575"/>
    <cellStyle name="Comma 3 19 3 3" xfId="10995"/>
    <cellStyle name="Comma 3 19 3 3 2" xfId="30673"/>
    <cellStyle name="Comma 3 19 3 4" xfId="17147"/>
    <cellStyle name="Comma 3 19 3 4 2" xfId="36825"/>
    <cellStyle name="Comma 3 19 3 5" xfId="24509"/>
    <cellStyle name="Comma 3 19 4" xfId="6333"/>
    <cellStyle name="Comma 3 19 4 2" xfId="12527"/>
    <cellStyle name="Comma 3 19 4 2 2" xfId="32205"/>
    <cellStyle name="Comma 3 19 4 3" xfId="18679"/>
    <cellStyle name="Comma 3 19 4 3 2" xfId="38357"/>
    <cellStyle name="Comma 3 19 4 4" xfId="26041"/>
    <cellStyle name="Comma 3 19 5" xfId="9461"/>
    <cellStyle name="Comma 3 19 5 2" xfId="29139"/>
    <cellStyle name="Comma 3 19 6" xfId="15613"/>
    <cellStyle name="Comma 3 19 6 2" xfId="35291"/>
    <cellStyle name="Comma 3 19 7" xfId="22890"/>
    <cellStyle name="Comma 3 19 8" xfId="22087"/>
    <cellStyle name="Comma 3 2" xfId="60"/>
    <cellStyle name="Comma 3 2 2" xfId="745"/>
    <cellStyle name="Comma 3 2 2 2" xfId="3927"/>
    <cellStyle name="Comma 3 2 2 2 2" xfId="5552"/>
    <cellStyle name="Comma 3 2 2 2 2 2" xfId="8638"/>
    <cellStyle name="Comma 3 2 2 2 2 2 2" xfId="14831"/>
    <cellStyle name="Comma 3 2 2 2 2 2 2 2" xfId="34509"/>
    <cellStyle name="Comma 3 2 2 2 2 2 3" xfId="20983"/>
    <cellStyle name="Comma 3 2 2 2 2 2 3 2" xfId="40661"/>
    <cellStyle name="Comma 3 2 2 2 2 2 4" xfId="28345"/>
    <cellStyle name="Comma 3 2 2 2 2 3" xfId="11765"/>
    <cellStyle name="Comma 3 2 2 2 2 3 2" xfId="31443"/>
    <cellStyle name="Comma 3 2 2 2 2 4" xfId="17917"/>
    <cellStyle name="Comma 3 2 2 2 2 4 2" xfId="37595"/>
    <cellStyle name="Comma 3 2 2 2 2 5" xfId="25279"/>
    <cellStyle name="Comma 3 2 2 2 3" xfId="7103"/>
    <cellStyle name="Comma 3 2 2 2 3 2" xfId="13297"/>
    <cellStyle name="Comma 3 2 2 2 3 2 2" xfId="32975"/>
    <cellStyle name="Comma 3 2 2 2 3 3" xfId="19449"/>
    <cellStyle name="Comma 3 2 2 2 3 3 2" xfId="39127"/>
    <cellStyle name="Comma 3 2 2 2 3 4" xfId="26811"/>
    <cellStyle name="Comma 3 2 2 2 4" xfId="10231"/>
    <cellStyle name="Comma 3 2 2 2 4 2" xfId="29909"/>
    <cellStyle name="Comma 3 2 2 2 5" xfId="16383"/>
    <cellStyle name="Comma 3 2 2 2 5 2" xfId="36061"/>
    <cellStyle name="Comma 3 2 2 2 6" xfId="23745"/>
    <cellStyle name="Comma 3 2 2 3" xfId="4766"/>
    <cellStyle name="Comma 3 2 2 3 2" xfId="7869"/>
    <cellStyle name="Comma 3 2 2 3 2 2" xfId="14062"/>
    <cellStyle name="Comma 3 2 2 3 2 2 2" xfId="33740"/>
    <cellStyle name="Comma 3 2 2 3 2 3" xfId="20214"/>
    <cellStyle name="Comma 3 2 2 3 2 3 2" xfId="39892"/>
    <cellStyle name="Comma 3 2 2 3 2 4" xfId="27576"/>
    <cellStyle name="Comma 3 2 2 3 3" xfId="10996"/>
    <cellStyle name="Comma 3 2 2 3 3 2" xfId="30674"/>
    <cellStyle name="Comma 3 2 2 3 4" xfId="17148"/>
    <cellStyle name="Comma 3 2 2 3 4 2" xfId="36826"/>
    <cellStyle name="Comma 3 2 2 3 5" xfId="24510"/>
    <cellStyle name="Comma 3 2 2 4" xfId="6334"/>
    <cellStyle name="Comma 3 2 2 4 2" xfId="12528"/>
    <cellStyle name="Comma 3 2 2 4 2 2" xfId="32206"/>
    <cellStyle name="Comma 3 2 2 4 3" xfId="18680"/>
    <cellStyle name="Comma 3 2 2 4 3 2" xfId="38358"/>
    <cellStyle name="Comma 3 2 2 4 4" xfId="26042"/>
    <cellStyle name="Comma 3 2 2 5" xfId="9462"/>
    <cellStyle name="Comma 3 2 2 5 2" xfId="29140"/>
    <cellStyle name="Comma 3 2 2 6" xfId="15614"/>
    <cellStyle name="Comma 3 2 2 6 2" xfId="35292"/>
    <cellStyle name="Comma 3 2 2 7" xfId="22891"/>
    <cellStyle name="Comma 3 2 2 8" xfId="21805"/>
    <cellStyle name="Comma 3 2 3" xfId="746"/>
    <cellStyle name="Comma 3 2 3 2" xfId="3928"/>
    <cellStyle name="Comma 3 2 3 2 2" xfId="5553"/>
    <cellStyle name="Comma 3 2 3 2 2 2" xfId="8639"/>
    <cellStyle name="Comma 3 2 3 2 2 2 2" xfId="14832"/>
    <cellStyle name="Comma 3 2 3 2 2 2 2 2" xfId="34510"/>
    <cellStyle name="Comma 3 2 3 2 2 2 3" xfId="20984"/>
    <cellStyle name="Comma 3 2 3 2 2 2 3 2" xfId="40662"/>
    <cellStyle name="Comma 3 2 3 2 2 2 4" xfId="28346"/>
    <cellStyle name="Comma 3 2 3 2 2 3" xfId="11766"/>
    <cellStyle name="Comma 3 2 3 2 2 3 2" xfId="31444"/>
    <cellStyle name="Comma 3 2 3 2 2 4" xfId="17918"/>
    <cellStyle name="Comma 3 2 3 2 2 4 2" xfId="37596"/>
    <cellStyle name="Comma 3 2 3 2 2 5" xfId="25280"/>
    <cellStyle name="Comma 3 2 3 2 3" xfId="7104"/>
    <cellStyle name="Comma 3 2 3 2 3 2" xfId="13298"/>
    <cellStyle name="Comma 3 2 3 2 3 2 2" xfId="32976"/>
    <cellStyle name="Comma 3 2 3 2 3 3" xfId="19450"/>
    <cellStyle name="Comma 3 2 3 2 3 3 2" xfId="39128"/>
    <cellStyle name="Comma 3 2 3 2 3 4" xfId="26812"/>
    <cellStyle name="Comma 3 2 3 2 4" xfId="10232"/>
    <cellStyle name="Comma 3 2 3 2 4 2" xfId="29910"/>
    <cellStyle name="Comma 3 2 3 2 5" xfId="16384"/>
    <cellStyle name="Comma 3 2 3 2 5 2" xfId="36062"/>
    <cellStyle name="Comma 3 2 3 2 6" xfId="23746"/>
    <cellStyle name="Comma 3 2 3 3" xfId="4767"/>
    <cellStyle name="Comma 3 2 3 3 2" xfId="7870"/>
    <cellStyle name="Comma 3 2 3 3 2 2" xfId="14063"/>
    <cellStyle name="Comma 3 2 3 3 2 2 2" xfId="33741"/>
    <cellStyle name="Comma 3 2 3 3 2 3" xfId="20215"/>
    <cellStyle name="Comma 3 2 3 3 2 3 2" xfId="39893"/>
    <cellStyle name="Comma 3 2 3 3 2 4" xfId="27577"/>
    <cellStyle name="Comma 3 2 3 3 3" xfId="10997"/>
    <cellStyle name="Comma 3 2 3 3 3 2" xfId="30675"/>
    <cellStyle name="Comma 3 2 3 3 4" xfId="17149"/>
    <cellStyle name="Comma 3 2 3 3 4 2" xfId="36827"/>
    <cellStyle name="Comma 3 2 3 3 5" xfId="24511"/>
    <cellStyle name="Comma 3 2 3 4" xfId="6335"/>
    <cellStyle name="Comma 3 2 3 4 2" xfId="12529"/>
    <cellStyle name="Comma 3 2 3 4 2 2" xfId="32207"/>
    <cellStyle name="Comma 3 2 3 4 3" xfId="18681"/>
    <cellStyle name="Comma 3 2 3 4 3 2" xfId="38359"/>
    <cellStyle name="Comma 3 2 3 4 4" xfId="26043"/>
    <cellStyle name="Comma 3 2 3 5" xfId="9463"/>
    <cellStyle name="Comma 3 2 3 5 2" xfId="29141"/>
    <cellStyle name="Comma 3 2 3 6" xfId="15615"/>
    <cellStyle name="Comma 3 2 3 6 2" xfId="35293"/>
    <cellStyle name="Comma 3 2 3 7" xfId="22892"/>
    <cellStyle name="Comma 3 2 4" xfId="747"/>
    <cellStyle name="Comma 3 2 4 2" xfId="3929"/>
    <cellStyle name="Comma 3 2 4 2 2" xfId="5554"/>
    <cellStyle name="Comma 3 2 4 2 2 2" xfId="8640"/>
    <cellStyle name="Comma 3 2 4 2 2 2 2" xfId="14833"/>
    <cellStyle name="Comma 3 2 4 2 2 2 2 2" xfId="34511"/>
    <cellStyle name="Comma 3 2 4 2 2 2 3" xfId="20985"/>
    <cellStyle name="Comma 3 2 4 2 2 2 3 2" xfId="40663"/>
    <cellStyle name="Comma 3 2 4 2 2 2 4" xfId="28347"/>
    <cellStyle name="Comma 3 2 4 2 2 3" xfId="11767"/>
    <cellStyle name="Comma 3 2 4 2 2 3 2" xfId="31445"/>
    <cellStyle name="Comma 3 2 4 2 2 4" xfId="17919"/>
    <cellStyle name="Comma 3 2 4 2 2 4 2" xfId="37597"/>
    <cellStyle name="Comma 3 2 4 2 2 5" xfId="25281"/>
    <cellStyle name="Comma 3 2 4 2 3" xfId="7105"/>
    <cellStyle name="Comma 3 2 4 2 3 2" xfId="13299"/>
    <cellStyle name="Comma 3 2 4 2 3 2 2" xfId="32977"/>
    <cellStyle name="Comma 3 2 4 2 3 3" xfId="19451"/>
    <cellStyle name="Comma 3 2 4 2 3 3 2" xfId="39129"/>
    <cellStyle name="Comma 3 2 4 2 3 4" xfId="26813"/>
    <cellStyle name="Comma 3 2 4 2 4" xfId="10233"/>
    <cellStyle name="Comma 3 2 4 2 4 2" xfId="29911"/>
    <cellStyle name="Comma 3 2 4 2 5" xfId="16385"/>
    <cellStyle name="Comma 3 2 4 2 5 2" xfId="36063"/>
    <cellStyle name="Comma 3 2 4 2 6" xfId="23747"/>
    <cellStyle name="Comma 3 2 4 3" xfId="4768"/>
    <cellStyle name="Comma 3 2 4 3 2" xfId="7871"/>
    <cellStyle name="Comma 3 2 4 3 2 2" xfId="14064"/>
    <cellStyle name="Comma 3 2 4 3 2 2 2" xfId="33742"/>
    <cellStyle name="Comma 3 2 4 3 2 3" xfId="20216"/>
    <cellStyle name="Comma 3 2 4 3 2 3 2" xfId="39894"/>
    <cellStyle name="Comma 3 2 4 3 2 4" xfId="27578"/>
    <cellStyle name="Comma 3 2 4 3 3" xfId="10998"/>
    <cellStyle name="Comma 3 2 4 3 3 2" xfId="30676"/>
    <cellStyle name="Comma 3 2 4 3 4" xfId="17150"/>
    <cellStyle name="Comma 3 2 4 3 4 2" xfId="36828"/>
    <cellStyle name="Comma 3 2 4 3 5" xfId="24512"/>
    <cellStyle name="Comma 3 2 4 4" xfId="6336"/>
    <cellStyle name="Comma 3 2 4 4 2" xfId="12530"/>
    <cellStyle name="Comma 3 2 4 4 2 2" xfId="32208"/>
    <cellStyle name="Comma 3 2 4 4 3" xfId="18682"/>
    <cellStyle name="Comma 3 2 4 4 3 2" xfId="38360"/>
    <cellStyle name="Comma 3 2 4 4 4" xfId="26044"/>
    <cellStyle name="Comma 3 2 4 5" xfId="9464"/>
    <cellStyle name="Comma 3 2 4 5 2" xfId="29142"/>
    <cellStyle name="Comma 3 2 4 6" xfId="15616"/>
    <cellStyle name="Comma 3 2 4 6 2" xfId="35294"/>
    <cellStyle name="Comma 3 2 4 7" xfId="22893"/>
    <cellStyle name="Comma 3 2 5" xfId="748"/>
    <cellStyle name="Comma 3 2 5 2" xfId="3930"/>
    <cellStyle name="Comma 3 2 5 2 2" xfId="5555"/>
    <cellStyle name="Comma 3 2 5 2 2 2" xfId="8641"/>
    <cellStyle name="Comma 3 2 5 2 2 2 2" xfId="14834"/>
    <cellStyle name="Comma 3 2 5 2 2 2 2 2" xfId="34512"/>
    <cellStyle name="Comma 3 2 5 2 2 2 3" xfId="20986"/>
    <cellStyle name="Comma 3 2 5 2 2 2 3 2" xfId="40664"/>
    <cellStyle name="Comma 3 2 5 2 2 2 4" xfId="28348"/>
    <cellStyle name="Comma 3 2 5 2 2 3" xfId="11768"/>
    <cellStyle name="Comma 3 2 5 2 2 3 2" xfId="31446"/>
    <cellStyle name="Comma 3 2 5 2 2 4" xfId="17920"/>
    <cellStyle name="Comma 3 2 5 2 2 4 2" xfId="37598"/>
    <cellStyle name="Comma 3 2 5 2 2 5" xfId="25282"/>
    <cellStyle name="Comma 3 2 5 2 3" xfId="7106"/>
    <cellStyle name="Comma 3 2 5 2 3 2" xfId="13300"/>
    <cellStyle name="Comma 3 2 5 2 3 2 2" xfId="32978"/>
    <cellStyle name="Comma 3 2 5 2 3 3" xfId="19452"/>
    <cellStyle name="Comma 3 2 5 2 3 3 2" xfId="39130"/>
    <cellStyle name="Comma 3 2 5 2 3 4" xfId="26814"/>
    <cellStyle name="Comma 3 2 5 2 4" xfId="10234"/>
    <cellStyle name="Comma 3 2 5 2 4 2" xfId="29912"/>
    <cellStyle name="Comma 3 2 5 2 5" xfId="16386"/>
    <cellStyle name="Comma 3 2 5 2 5 2" xfId="36064"/>
    <cellStyle name="Comma 3 2 5 2 6" xfId="23748"/>
    <cellStyle name="Comma 3 2 5 3" xfId="4769"/>
    <cellStyle name="Comma 3 2 5 3 2" xfId="7872"/>
    <cellStyle name="Comma 3 2 5 3 2 2" xfId="14065"/>
    <cellStyle name="Comma 3 2 5 3 2 2 2" xfId="33743"/>
    <cellStyle name="Comma 3 2 5 3 2 3" xfId="20217"/>
    <cellStyle name="Comma 3 2 5 3 2 3 2" xfId="39895"/>
    <cellStyle name="Comma 3 2 5 3 2 4" xfId="27579"/>
    <cellStyle name="Comma 3 2 5 3 3" xfId="10999"/>
    <cellStyle name="Comma 3 2 5 3 3 2" xfId="30677"/>
    <cellStyle name="Comma 3 2 5 3 4" xfId="17151"/>
    <cellStyle name="Comma 3 2 5 3 4 2" xfId="36829"/>
    <cellStyle name="Comma 3 2 5 3 5" xfId="24513"/>
    <cellStyle name="Comma 3 2 5 4" xfId="6337"/>
    <cellStyle name="Comma 3 2 5 4 2" xfId="12531"/>
    <cellStyle name="Comma 3 2 5 4 2 2" xfId="32209"/>
    <cellStyle name="Comma 3 2 5 4 3" xfId="18683"/>
    <cellStyle name="Comma 3 2 5 4 3 2" xfId="38361"/>
    <cellStyle name="Comma 3 2 5 4 4" xfId="26045"/>
    <cellStyle name="Comma 3 2 5 5" xfId="9465"/>
    <cellStyle name="Comma 3 2 5 5 2" xfId="29143"/>
    <cellStyle name="Comma 3 2 5 6" xfId="15617"/>
    <cellStyle name="Comma 3 2 5 6 2" xfId="35295"/>
    <cellStyle name="Comma 3 2 5 7" xfId="22894"/>
    <cellStyle name="Comma 3 2 6" xfId="749"/>
    <cellStyle name="Comma 3 2 7" xfId="750"/>
    <cellStyle name="Comma 3 2 7 2" xfId="751"/>
    <cellStyle name="Comma 3 2 7 3" xfId="752"/>
    <cellStyle name="Comma 3 2 7 4" xfId="753"/>
    <cellStyle name="Comma 3 2 8" xfId="744"/>
    <cellStyle name="Comma 3 20" xfId="754"/>
    <cellStyle name="Comma 3 20 2" xfId="3931"/>
    <cellStyle name="Comma 3 20 2 2" xfId="5556"/>
    <cellStyle name="Comma 3 20 2 2 2" xfId="8642"/>
    <cellStyle name="Comma 3 20 2 2 2 2" xfId="14835"/>
    <cellStyle name="Comma 3 20 2 2 2 2 2" xfId="34513"/>
    <cellStyle name="Comma 3 20 2 2 2 3" xfId="20987"/>
    <cellStyle name="Comma 3 20 2 2 2 3 2" xfId="40665"/>
    <cellStyle name="Comma 3 20 2 2 2 4" xfId="28349"/>
    <cellStyle name="Comma 3 20 2 2 3" xfId="11769"/>
    <cellStyle name="Comma 3 20 2 2 3 2" xfId="31447"/>
    <cellStyle name="Comma 3 20 2 2 4" xfId="17921"/>
    <cellStyle name="Comma 3 20 2 2 4 2" xfId="37599"/>
    <cellStyle name="Comma 3 20 2 2 5" xfId="25283"/>
    <cellStyle name="Comma 3 20 2 3" xfId="7107"/>
    <cellStyle name="Comma 3 20 2 3 2" xfId="13301"/>
    <cellStyle name="Comma 3 20 2 3 2 2" xfId="32979"/>
    <cellStyle name="Comma 3 20 2 3 3" xfId="19453"/>
    <cellStyle name="Comma 3 20 2 3 3 2" xfId="39131"/>
    <cellStyle name="Comma 3 20 2 3 4" xfId="26815"/>
    <cellStyle name="Comma 3 20 2 4" xfId="10235"/>
    <cellStyle name="Comma 3 20 2 4 2" xfId="29913"/>
    <cellStyle name="Comma 3 20 2 5" xfId="16387"/>
    <cellStyle name="Comma 3 20 2 5 2" xfId="36065"/>
    <cellStyle name="Comma 3 20 2 6" xfId="23749"/>
    <cellStyle name="Comma 3 20 3" xfId="4770"/>
    <cellStyle name="Comma 3 20 3 2" xfId="7873"/>
    <cellStyle name="Comma 3 20 3 2 2" xfId="14066"/>
    <cellStyle name="Comma 3 20 3 2 2 2" xfId="33744"/>
    <cellStyle name="Comma 3 20 3 2 3" xfId="20218"/>
    <cellStyle name="Comma 3 20 3 2 3 2" xfId="39896"/>
    <cellStyle name="Comma 3 20 3 2 4" xfId="27580"/>
    <cellStyle name="Comma 3 20 3 3" xfId="11000"/>
    <cellStyle name="Comma 3 20 3 3 2" xfId="30678"/>
    <cellStyle name="Comma 3 20 3 4" xfId="17152"/>
    <cellStyle name="Comma 3 20 3 4 2" xfId="36830"/>
    <cellStyle name="Comma 3 20 3 5" xfId="24514"/>
    <cellStyle name="Comma 3 20 4" xfId="6338"/>
    <cellStyle name="Comma 3 20 4 2" xfId="12532"/>
    <cellStyle name="Comma 3 20 4 2 2" xfId="32210"/>
    <cellStyle name="Comma 3 20 4 3" xfId="18684"/>
    <cellStyle name="Comma 3 20 4 3 2" xfId="38362"/>
    <cellStyle name="Comma 3 20 4 4" xfId="26046"/>
    <cellStyle name="Comma 3 20 5" xfId="9466"/>
    <cellStyle name="Comma 3 20 5 2" xfId="29144"/>
    <cellStyle name="Comma 3 20 6" xfId="15618"/>
    <cellStyle name="Comma 3 20 6 2" xfId="35296"/>
    <cellStyle name="Comma 3 20 7" xfId="22895"/>
    <cellStyle name="Comma 3 20 8" xfId="22114"/>
    <cellStyle name="Comma 3 21" xfId="755"/>
    <cellStyle name="Comma 3 21 2" xfId="3932"/>
    <cellStyle name="Comma 3 21 2 2" xfId="5557"/>
    <cellStyle name="Comma 3 21 2 2 2" xfId="8643"/>
    <cellStyle name="Comma 3 21 2 2 2 2" xfId="14836"/>
    <cellStyle name="Comma 3 21 2 2 2 2 2" xfId="34514"/>
    <cellStyle name="Comma 3 21 2 2 2 3" xfId="20988"/>
    <cellStyle name="Comma 3 21 2 2 2 3 2" xfId="40666"/>
    <cellStyle name="Comma 3 21 2 2 2 4" xfId="28350"/>
    <cellStyle name="Comma 3 21 2 2 3" xfId="11770"/>
    <cellStyle name="Comma 3 21 2 2 3 2" xfId="31448"/>
    <cellStyle name="Comma 3 21 2 2 4" xfId="17922"/>
    <cellStyle name="Comma 3 21 2 2 4 2" xfId="37600"/>
    <cellStyle name="Comma 3 21 2 2 5" xfId="25284"/>
    <cellStyle name="Comma 3 21 2 3" xfId="7108"/>
    <cellStyle name="Comma 3 21 2 3 2" xfId="13302"/>
    <cellStyle name="Comma 3 21 2 3 2 2" xfId="32980"/>
    <cellStyle name="Comma 3 21 2 3 3" xfId="19454"/>
    <cellStyle name="Comma 3 21 2 3 3 2" xfId="39132"/>
    <cellStyle name="Comma 3 21 2 3 4" xfId="26816"/>
    <cellStyle name="Comma 3 21 2 4" xfId="10236"/>
    <cellStyle name="Comma 3 21 2 4 2" xfId="29914"/>
    <cellStyle name="Comma 3 21 2 5" xfId="16388"/>
    <cellStyle name="Comma 3 21 2 5 2" xfId="36066"/>
    <cellStyle name="Comma 3 21 2 6" xfId="23750"/>
    <cellStyle name="Comma 3 21 3" xfId="4771"/>
    <cellStyle name="Comma 3 21 3 2" xfId="7874"/>
    <cellStyle name="Comma 3 21 3 2 2" xfId="14067"/>
    <cellStyle name="Comma 3 21 3 2 2 2" xfId="33745"/>
    <cellStyle name="Comma 3 21 3 2 3" xfId="20219"/>
    <cellStyle name="Comma 3 21 3 2 3 2" xfId="39897"/>
    <cellStyle name="Comma 3 21 3 2 4" xfId="27581"/>
    <cellStyle name="Comma 3 21 3 3" xfId="11001"/>
    <cellStyle name="Comma 3 21 3 3 2" xfId="30679"/>
    <cellStyle name="Comma 3 21 3 4" xfId="17153"/>
    <cellStyle name="Comma 3 21 3 4 2" xfId="36831"/>
    <cellStyle name="Comma 3 21 3 5" xfId="24515"/>
    <cellStyle name="Comma 3 21 4" xfId="6339"/>
    <cellStyle name="Comma 3 21 4 2" xfId="12533"/>
    <cellStyle name="Comma 3 21 4 2 2" xfId="32211"/>
    <cellStyle name="Comma 3 21 4 3" xfId="18685"/>
    <cellStyle name="Comma 3 21 4 3 2" xfId="38363"/>
    <cellStyle name="Comma 3 21 4 4" xfId="26047"/>
    <cellStyle name="Comma 3 21 5" xfId="9467"/>
    <cellStyle name="Comma 3 21 5 2" xfId="29145"/>
    <cellStyle name="Comma 3 21 6" xfId="15619"/>
    <cellStyle name="Comma 3 21 6 2" xfId="35297"/>
    <cellStyle name="Comma 3 21 7" xfId="22896"/>
    <cellStyle name="Comma 3 21 8" xfId="22135"/>
    <cellStyle name="Comma 3 22" xfId="756"/>
    <cellStyle name="Comma 3 22 2" xfId="22897"/>
    <cellStyle name="Comma 3 22 3" xfId="22164"/>
    <cellStyle name="Comma 3 23" xfId="757"/>
    <cellStyle name="Comma 3 23 2" xfId="22898"/>
    <cellStyle name="Comma 3 23 3" xfId="22197"/>
    <cellStyle name="Comma 3 24" xfId="22221"/>
    <cellStyle name="Comma 3 25" xfId="22253"/>
    <cellStyle name="Comma 3 26" xfId="22279"/>
    <cellStyle name="Comma 3 27" xfId="22304"/>
    <cellStyle name="Comma 3 28" xfId="22327"/>
    <cellStyle name="Comma 3 29" xfId="22370"/>
    <cellStyle name="Comma 3 3" xfId="758"/>
    <cellStyle name="Comma 3 3 10" xfId="15620"/>
    <cellStyle name="Comma 3 3 10 2" xfId="35298"/>
    <cellStyle name="Comma 3 3 11" xfId="22899"/>
    <cellStyle name="Comma 3 3 12" xfId="21772"/>
    <cellStyle name="Comma 3 3 2" xfId="759"/>
    <cellStyle name="Comma 3 3 2 2" xfId="3934"/>
    <cellStyle name="Comma 3 3 2 2 2" xfId="5559"/>
    <cellStyle name="Comma 3 3 2 2 2 2" xfId="8645"/>
    <cellStyle name="Comma 3 3 2 2 2 2 2" xfId="14838"/>
    <cellStyle name="Comma 3 3 2 2 2 2 2 2" xfId="34516"/>
    <cellStyle name="Comma 3 3 2 2 2 2 3" xfId="20990"/>
    <cellStyle name="Comma 3 3 2 2 2 2 3 2" xfId="40668"/>
    <cellStyle name="Comma 3 3 2 2 2 2 4" xfId="28352"/>
    <cellStyle name="Comma 3 3 2 2 2 3" xfId="11772"/>
    <cellStyle name="Comma 3 3 2 2 2 3 2" xfId="31450"/>
    <cellStyle name="Comma 3 3 2 2 2 4" xfId="17924"/>
    <cellStyle name="Comma 3 3 2 2 2 4 2" xfId="37602"/>
    <cellStyle name="Comma 3 3 2 2 2 5" xfId="25286"/>
    <cellStyle name="Comma 3 3 2 2 3" xfId="7110"/>
    <cellStyle name="Comma 3 3 2 2 3 2" xfId="13304"/>
    <cellStyle name="Comma 3 3 2 2 3 2 2" xfId="32982"/>
    <cellStyle name="Comma 3 3 2 2 3 3" xfId="19456"/>
    <cellStyle name="Comma 3 3 2 2 3 3 2" xfId="39134"/>
    <cellStyle name="Comma 3 3 2 2 3 4" xfId="26818"/>
    <cellStyle name="Comma 3 3 2 2 4" xfId="10238"/>
    <cellStyle name="Comma 3 3 2 2 4 2" xfId="29916"/>
    <cellStyle name="Comma 3 3 2 2 5" xfId="16390"/>
    <cellStyle name="Comma 3 3 2 2 5 2" xfId="36068"/>
    <cellStyle name="Comma 3 3 2 2 6" xfId="23752"/>
    <cellStyle name="Comma 3 3 2 3" xfId="4773"/>
    <cellStyle name="Comma 3 3 2 3 2" xfId="7876"/>
    <cellStyle name="Comma 3 3 2 3 2 2" xfId="14069"/>
    <cellStyle name="Comma 3 3 2 3 2 2 2" xfId="33747"/>
    <cellStyle name="Comma 3 3 2 3 2 3" xfId="20221"/>
    <cellStyle name="Comma 3 3 2 3 2 3 2" xfId="39899"/>
    <cellStyle name="Comma 3 3 2 3 2 4" xfId="27583"/>
    <cellStyle name="Comma 3 3 2 3 3" xfId="11003"/>
    <cellStyle name="Comma 3 3 2 3 3 2" xfId="30681"/>
    <cellStyle name="Comma 3 3 2 3 4" xfId="17155"/>
    <cellStyle name="Comma 3 3 2 3 4 2" xfId="36833"/>
    <cellStyle name="Comma 3 3 2 3 5" xfId="24517"/>
    <cellStyle name="Comma 3 3 2 4" xfId="6341"/>
    <cellStyle name="Comma 3 3 2 4 2" xfId="12535"/>
    <cellStyle name="Comma 3 3 2 4 2 2" xfId="32213"/>
    <cellStyle name="Comma 3 3 2 4 3" xfId="18687"/>
    <cellStyle name="Comma 3 3 2 4 3 2" xfId="38365"/>
    <cellStyle name="Comma 3 3 2 4 4" xfId="26049"/>
    <cellStyle name="Comma 3 3 2 5" xfId="9469"/>
    <cellStyle name="Comma 3 3 2 5 2" xfId="29147"/>
    <cellStyle name="Comma 3 3 2 6" xfId="15621"/>
    <cellStyle name="Comma 3 3 2 6 2" xfId="35299"/>
    <cellStyle name="Comma 3 3 2 7" xfId="22900"/>
    <cellStyle name="Comma 3 3 2 8" xfId="21827"/>
    <cellStyle name="Comma 3 3 3" xfId="760"/>
    <cellStyle name="Comma 3 3 3 2" xfId="3935"/>
    <cellStyle name="Comma 3 3 3 2 2" xfId="5560"/>
    <cellStyle name="Comma 3 3 3 2 2 2" xfId="8646"/>
    <cellStyle name="Comma 3 3 3 2 2 2 2" xfId="14839"/>
    <cellStyle name="Comma 3 3 3 2 2 2 2 2" xfId="34517"/>
    <cellStyle name="Comma 3 3 3 2 2 2 3" xfId="20991"/>
    <cellStyle name="Comma 3 3 3 2 2 2 3 2" xfId="40669"/>
    <cellStyle name="Comma 3 3 3 2 2 2 4" xfId="28353"/>
    <cellStyle name="Comma 3 3 3 2 2 3" xfId="11773"/>
    <cellStyle name="Comma 3 3 3 2 2 3 2" xfId="31451"/>
    <cellStyle name="Comma 3 3 3 2 2 4" xfId="17925"/>
    <cellStyle name="Comma 3 3 3 2 2 4 2" xfId="37603"/>
    <cellStyle name="Comma 3 3 3 2 2 5" xfId="25287"/>
    <cellStyle name="Comma 3 3 3 2 3" xfId="7111"/>
    <cellStyle name="Comma 3 3 3 2 3 2" xfId="13305"/>
    <cellStyle name="Comma 3 3 3 2 3 2 2" xfId="32983"/>
    <cellStyle name="Comma 3 3 3 2 3 3" xfId="19457"/>
    <cellStyle name="Comma 3 3 3 2 3 3 2" xfId="39135"/>
    <cellStyle name="Comma 3 3 3 2 3 4" xfId="26819"/>
    <cellStyle name="Comma 3 3 3 2 4" xfId="10239"/>
    <cellStyle name="Comma 3 3 3 2 4 2" xfId="29917"/>
    <cellStyle name="Comma 3 3 3 2 5" xfId="16391"/>
    <cellStyle name="Comma 3 3 3 2 5 2" xfId="36069"/>
    <cellStyle name="Comma 3 3 3 2 6" xfId="23753"/>
    <cellStyle name="Comma 3 3 3 3" xfId="4774"/>
    <cellStyle name="Comma 3 3 3 3 2" xfId="7877"/>
    <cellStyle name="Comma 3 3 3 3 2 2" xfId="14070"/>
    <cellStyle name="Comma 3 3 3 3 2 2 2" xfId="33748"/>
    <cellStyle name="Comma 3 3 3 3 2 3" xfId="20222"/>
    <cellStyle name="Comma 3 3 3 3 2 3 2" xfId="39900"/>
    <cellStyle name="Comma 3 3 3 3 2 4" xfId="27584"/>
    <cellStyle name="Comma 3 3 3 3 3" xfId="11004"/>
    <cellStyle name="Comma 3 3 3 3 3 2" xfId="30682"/>
    <cellStyle name="Comma 3 3 3 3 4" xfId="17156"/>
    <cellStyle name="Comma 3 3 3 3 4 2" xfId="36834"/>
    <cellStyle name="Comma 3 3 3 3 5" xfId="24518"/>
    <cellStyle name="Comma 3 3 3 4" xfId="6342"/>
    <cellStyle name="Comma 3 3 3 4 2" xfId="12536"/>
    <cellStyle name="Comma 3 3 3 4 2 2" xfId="32214"/>
    <cellStyle name="Comma 3 3 3 4 3" xfId="18688"/>
    <cellStyle name="Comma 3 3 3 4 3 2" xfId="38366"/>
    <cellStyle name="Comma 3 3 3 4 4" xfId="26050"/>
    <cellStyle name="Comma 3 3 3 5" xfId="9470"/>
    <cellStyle name="Comma 3 3 3 5 2" xfId="29148"/>
    <cellStyle name="Comma 3 3 3 6" xfId="15622"/>
    <cellStyle name="Comma 3 3 3 6 2" xfId="35300"/>
    <cellStyle name="Comma 3 3 3 7" xfId="22901"/>
    <cellStyle name="Comma 3 3 4" xfId="761"/>
    <cellStyle name="Comma 3 3 4 2" xfId="3936"/>
    <cellStyle name="Comma 3 3 4 2 2" xfId="5561"/>
    <cellStyle name="Comma 3 3 4 2 2 2" xfId="8647"/>
    <cellStyle name="Comma 3 3 4 2 2 2 2" xfId="14840"/>
    <cellStyle name="Comma 3 3 4 2 2 2 2 2" xfId="34518"/>
    <cellStyle name="Comma 3 3 4 2 2 2 3" xfId="20992"/>
    <cellStyle name="Comma 3 3 4 2 2 2 3 2" xfId="40670"/>
    <cellStyle name="Comma 3 3 4 2 2 2 4" xfId="28354"/>
    <cellStyle name="Comma 3 3 4 2 2 3" xfId="11774"/>
    <cellStyle name="Comma 3 3 4 2 2 3 2" xfId="31452"/>
    <cellStyle name="Comma 3 3 4 2 2 4" xfId="17926"/>
    <cellStyle name="Comma 3 3 4 2 2 4 2" xfId="37604"/>
    <cellStyle name="Comma 3 3 4 2 2 5" xfId="25288"/>
    <cellStyle name="Comma 3 3 4 2 3" xfId="7112"/>
    <cellStyle name="Comma 3 3 4 2 3 2" xfId="13306"/>
    <cellStyle name="Comma 3 3 4 2 3 2 2" xfId="32984"/>
    <cellStyle name="Comma 3 3 4 2 3 3" xfId="19458"/>
    <cellStyle name="Comma 3 3 4 2 3 3 2" xfId="39136"/>
    <cellStyle name="Comma 3 3 4 2 3 4" xfId="26820"/>
    <cellStyle name="Comma 3 3 4 2 4" xfId="10240"/>
    <cellStyle name="Comma 3 3 4 2 4 2" xfId="29918"/>
    <cellStyle name="Comma 3 3 4 2 5" xfId="16392"/>
    <cellStyle name="Comma 3 3 4 2 5 2" xfId="36070"/>
    <cellStyle name="Comma 3 3 4 2 6" xfId="23754"/>
    <cellStyle name="Comma 3 3 4 3" xfId="4775"/>
    <cellStyle name="Comma 3 3 4 3 2" xfId="7878"/>
    <cellStyle name="Comma 3 3 4 3 2 2" xfId="14071"/>
    <cellStyle name="Comma 3 3 4 3 2 2 2" xfId="33749"/>
    <cellStyle name="Comma 3 3 4 3 2 3" xfId="20223"/>
    <cellStyle name="Comma 3 3 4 3 2 3 2" xfId="39901"/>
    <cellStyle name="Comma 3 3 4 3 2 4" xfId="27585"/>
    <cellStyle name="Comma 3 3 4 3 3" xfId="11005"/>
    <cellStyle name="Comma 3 3 4 3 3 2" xfId="30683"/>
    <cellStyle name="Comma 3 3 4 3 4" xfId="17157"/>
    <cellStyle name="Comma 3 3 4 3 4 2" xfId="36835"/>
    <cellStyle name="Comma 3 3 4 3 5" xfId="24519"/>
    <cellStyle name="Comma 3 3 4 4" xfId="6343"/>
    <cellStyle name="Comma 3 3 4 4 2" xfId="12537"/>
    <cellStyle name="Comma 3 3 4 4 2 2" xfId="32215"/>
    <cellStyle name="Comma 3 3 4 4 3" xfId="18689"/>
    <cellStyle name="Comma 3 3 4 4 3 2" xfId="38367"/>
    <cellStyle name="Comma 3 3 4 4 4" xfId="26051"/>
    <cellStyle name="Comma 3 3 4 5" xfId="9471"/>
    <cellStyle name="Comma 3 3 4 5 2" xfId="29149"/>
    <cellStyle name="Comma 3 3 4 6" xfId="15623"/>
    <cellStyle name="Comma 3 3 4 6 2" xfId="35301"/>
    <cellStyle name="Comma 3 3 4 7" xfId="22902"/>
    <cellStyle name="Comma 3 3 5" xfId="762"/>
    <cellStyle name="Comma 3 3 5 2" xfId="3937"/>
    <cellStyle name="Comma 3 3 5 2 2" xfId="5562"/>
    <cellStyle name="Comma 3 3 5 2 2 2" xfId="8648"/>
    <cellStyle name="Comma 3 3 5 2 2 2 2" xfId="14841"/>
    <cellStyle name="Comma 3 3 5 2 2 2 2 2" xfId="34519"/>
    <cellStyle name="Comma 3 3 5 2 2 2 3" xfId="20993"/>
    <cellStyle name="Comma 3 3 5 2 2 2 3 2" xfId="40671"/>
    <cellStyle name="Comma 3 3 5 2 2 2 4" xfId="28355"/>
    <cellStyle name="Comma 3 3 5 2 2 3" xfId="11775"/>
    <cellStyle name="Comma 3 3 5 2 2 3 2" xfId="31453"/>
    <cellStyle name="Comma 3 3 5 2 2 4" xfId="17927"/>
    <cellStyle name="Comma 3 3 5 2 2 4 2" xfId="37605"/>
    <cellStyle name="Comma 3 3 5 2 2 5" xfId="25289"/>
    <cellStyle name="Comma 3 3 5 2 3" xfId="7113"/>
    <cellStyle name="Comma 3 3 5 2 3 2" xfId="13307"/>
    <cellStyle name="Comma 3 3 5 2 3 2 2" xfId="32985"/>
    <cellStyle name="Comma 3 3 5 2 3 3" xfId="19459"/>
    <cellStyle name="Comma 3 3 5 2 3 3 2" xfId="39137"/>
    <cellStyle name="Comma 3 3 5 2 3 4" xfId="26821"/>
    <cellStyle name="Comma 3 3 5 2 4" xfId="10241"/>
    <cellStyle name="Comma 3 3 5 2 4 2" xfId="29919"/>
    <cellStyle name="Comma 3 3 5 2 5" xfId="16393"/>
    <cellStyle name="Comma 3 3 5 2 5 2" xfId="36071"/>
    <cellStyle name="Comma 3 3 5 2 6" xfId="23755"/>
    <cellStyle name="Comma 3 3 5 3" xfId="4776"/>
    <cellStyle name="Comma 3 3 5 3 2" xfId="7879"/>
    <cellStyle name="Comma 3 3 5 3 2 2" xfId="14072"/>
    <cellStyle name="Comma 3 3 5 3 2 2 2" xfId="33750"/>
    <cellStyle name="Comma 3 3 5 3 2 3" xfId="20224"/>
    <cellStyle name="Comma 3 3 5 3 2 3 2" xfId="39902"/>
    <cellStyle name="Comma 3 3 5 3 2 4" xfId="27586"/>
    <cellStyle name="Comma 3 3 5 3 3" xfId="11006"/>
    <cellStyle name="Comma 3 3 5 3 3 2" xfId="30684"/>
    <cellStyle name="Comma 3 3 5 3 4" xfId="17158"/>
    <cellStyle name="Comma 3 3 5 3 4 2" xfId="36836"/>
    <cellStyle name="Comma 3 3 5 3 5" xfId="24520"/>
    <cellStyle name="Comma 3 3 5 4" xfId="6344"/>
    <cellStyle name="Comma 3 3 5 4 2" xfId="12538"/>
    <cellStyle name="Comma 3 3 5 4 2 2" xfId="32216"/>
    <cellStyle name="Comma 3 3 5 4 3" xfId="18690"/>
    <cellStyle name="Comma 3 3 5 4 3 2" xfId="38368"/>
    <cellStyle name="Comma 3 3 5 4 4" xfId="26052"/>
    <cellStyle name="Comma 3 3 5 5" xfId="9472"/>
    <cellStyle name="Comma 3 3 5 5 2" xfId="29150"/>
    <cellStyle name="Comma 3 3 5 6" xfId="15624"/>
    <cellStyle name="Comma 3 3 5 6 2" xfId="35302"/>
    <cellStyle name="Comma 3 3 5 7" xfId="22903"/>
    <cellStyle name="Comma 3 3 6" xfId="3933"/>
    <cellStyle name="Comma 3 3 6 2" xfId="5558"/>
    <cellStyle name="Comma 3 3 6 2 2" xfId="8644"/>
    <cellStyle name="Comma 3 3 6 2 2 2" xfId="14837"/>
    <cellStyle name="Comma 3 3 6 2 2 2 2" xfId="34515"/>
    <cellStyle name="Comma 3 3 6 2 2 3" xfId="20989"/>
    <cellStyle name="Comma 3 3 6 2 2 3 2" xfId="40667"/>
    <cellStyle name="Comma 3 3 6 2 2 4" xfId="28351"/>
    <cellStyle name="Comma 3 3 6 2 3" xfId="11771"/>
    <cellStyle name="Comma 3 3 6 2 3 2" xfId="31449"/>
    <cellStyle name="Comma 3 3 6 2 4" xfId="17923"/>
    <cellStyle name="Comma 3 3 6 2 4 2" xfId="37601"/>
    <cellStyle name="Comma 3 3 6 2 5" xfId="25285"/>
    <cellStyle name="Comma 3 3 6 3" xfId="7109"/>
    <cellStyle name="Comma 3 3 6 3 2" xfId="13303"/>
    <cellStyle name="Comma 3 3 6 3 2 2" xfId="32981"/>
    <cellStyle name="Comma 3 3 6 3 3" xfId="19455"/>
    <cellStyle name="Comma 3 3 6 3 3 2" xfId="39133"/>
    <cellStyle name="Comma 3 3 6 3 4" xfId="26817"/>
    <cellStyle name="Comma 3 3 6 4" xfId="10237"/>
    <cellStyle name="Comma 3 3 6 4 2" xfId="29915"/>
    <cellStyle name="Comma 3 3 6 5" xfId="16389"/>
    <cellStyle name="Comma 3 3 6 5 2" xfId="36067"/>
    <cellStyle name="Comma 3 3 6 6" xfId="23751"/>
    <cellStyle name="Comma 3 3 7" xfId="4772"/>
    <cellStyle name="Comma 3 3 7 2" xfId="7875"/>
    <cellStyle name="Comma 3 3 7 2 2" xfId="14068"/>
    <cellStyle name="Comma 3 3 7 2 2 2" xfId="33746"/>
    <cellStyle name="Comma 3 3 7 2 3" xfId="20220"/>
    <cellStyle name="Comma 3 3 7 2 3 2" xfId="39898"/>
    <cellStyle name="Comma 3 3 7 2 4" xfId="27582"/>
    <cellStyle name="Comma 3 3 7 3" xfId="11002"/>
    <cellStyle name="Comma 3 3 7 3 2" xfId="30680"/>
    <cellStyle name="Comma 3 3 7 4" xfId="17154"/>
    <cellStyle name="Comma 3 3 7 4 2" xfId="36832"/>
    <cellStyle name="Comma 3 3 7 5" xfId="24516"/>
    <cellStyle name="Comma 3 3 8" xfId="6340"/>
    <cellStyle name="Comma 3 3 8 2" xfId="12534"/>
    <cellStyle name="Comma 3 3 8 2 2" xfId="32212"/>
    <cellStyle name="Comma 3 3 8 3" xfId="18686"/>
    <cellStyle name="Comma 3 3 8 3 2" xfId="38364"/>
    <cellStyle name="Comma 3 3 8 4" xfId="26048"/>
    <cellStyle name="Comma 3 3 9" xfId="9468"/>
    <cellStyle name="Comma 3 3 9 2" xfId="29146"/>
    <cellStyle name="Comma 3 30" xfId="22373"/>
    <cellStyle name="Comma 3 31" xfId="41557"/>
    <cellStyle name="Comma 3 32" xfId="21754"/>
    <cellStyle name="Comma 3 33" xfId="41881"/>
    <cellStyle name="Comma 3 4" xfId="763"/>
    <cellStyle name="Comma 3 4 2" xfId="764"/>
    <cellStyle name="Comma 3 4 2 2" xfId="3939"/>
    <cellStyle name="Comma 3 4 2 2 2" xfId="5564"/>
    <cellStyle name="Comma 3 4 2 2 2 2" xfId="8650"/>
    <cellStyle name="Comma 3 4 2 2 2 2 2" xfId="14843"/>
    <cellStyle name="Comma 3 4 2 2 2 2 2 2" xfId="34521"/>
    <cellStyle name="Comma 3 4 2 2 2 2 3" xfId="20995"/>
    <cellStyle name="Comma 3 4 2 2 2 2 3 2" xfId="40673"/>
    <cellStyle name="Comma 3 4 2 2 2 2 4" xfId="28357"/>
    <cellStyle name="Comma 3 4 2 2 2 3" xfId="11777"/>
    <cellStyle name="Comma 3 4 2 2 2 3 2" xfId="31455"/>
    <cellStyle name="Comma 3 4 2 2 2 4" xfId="17929"/>
    <cellStyle name="Comma 3 4 2 2 2 4 2" xfId="37607"/>
    <cellStyle name="Comma 3 4 2 2 2 5" xfId="25291"/>
    <cellStyle name="Comma 3 4 2 2 3" xfId="7115"/>
    <cellStyle name="Comma 3 4 2 2 3 2" xfId="13309"/>
    <cellStyle name="Comma 3 4 2 2 3 2 2" xfId="32987"/>
    <cellStyle name="Comma 3 4 2 2 3 3" xfId="19461"/>
    <cellStyle name="Comma 3 4 2 2 3 3 2" xfId="39139"/>
    <cellStyle name="Comma 3 4 2 2 3 4" xfId="26823"/>
    <cellStyle name="Comma 3 4 2 2 4" xfId="10243"/>
    <cellStyle name="Comma 3 4 2 2 4 2" xfId="29921"/>
    <cellStyle name="Comma 3 4 2 2 5" xfId="16395"/>
    <cellStyle name="Comma 3 4 2 2 5 2" xfId="36073"/>
    <cellStyle name="Comma 3 4 2 2 6" xfId="23757"/>
    <cellStyle name="Comma 3 4 2 3" xfId="4778"/>
    <cellStyle name="Comma 3 4 2 3 2" xfId="7881"/>
    <cellStyle name="Comma 3 4 2 3 2 2" xfId="14074"/>
    <cellStyle name="Comma 3 4 2 3 2 2 2" xfId="33752"/>
    <cellStyle name="Comma 3 4 2 3 2 3" xfId="20226"/>
    <cellStyle name="Comma 3 4 2 3 2 3 2" xfId="39904"/>
    <cellStyle name="Comma 3 4 2 3 2 4" xfId="27588"/>
    <cellStyle name="Comma 3 4 2 3 3" xfId="11008"/>
    <cellStyle name="Comma 3 4 2 3 3 2" xfId="30686"/>
    <cellStyle name="Comma 3 4 2 3 4" xfId="17160"/>
    <cellStyle name="Comma 3 4 2 3 4 2" xfId="36838"/>
    <cellStyle name="Comma 3 4 2 3 5" xfId="24522"/>
    <cellStyle name="Comma 3 4 2 4" xfId="6346"/>
    <cellStyle name="Comma 3 4 2 4 2" xfId="12540"/>
    <cellStyle name="Comma 3 4 2 4 2 2" xfId="32218"/>
    <cellStyle name="Comma 3 4 2 4 3" xfId="18692"/>
    <cellStyle name="Comma 3 4 2 4 3 2" xfId="38370"/>
    <cellStyle name="Comma 3 4 2 4 4" xfId="26054"/>
    <cellStyle name="Comma 3 4 2 5" xfId="9474"/>
    <cellStyle name="Comma 3 4 2 5 2" xfId="29152"/>
    <cellStyle name="Comma 3 4 2 6" xfId="15626"/>
    <cellStyle name="Comma 3 4 2 6 2" xfId="35304"/>
    <cellStyle name="Comma 3 4 2 7" xfId="22905"/>
    <cellStyle name="Comma 3 4 3" xfId="3938"/>
    <cellStyle name="Comma 3 4 3 2" xfId="5563"/>
    <cellStyle name="Comma 3 4 3 2 2" xfId="8649"/>
    <cellStyle name="Comma 3 4 3 2 2 2" xfId="14842"/>
    <cellStyle name="Comma 3 4 3 2 2 2 2" xfId="34520"/>
    <cellStyle name="Comma 3 4 3 2 2 3" xfId="20994"/>
    <cellStyle name="Comma 3 4 3 2 2 3 2" xfId="40672"/>
    <cellStyle name="Comma 3 4 3 2 2 4" xfId="28356"/>
    <cellStyle name="Comma 3 4 3 2 3" xfId="11776"/>
    <cellStyle name="Comma 3 4 3 2 3 2" xfId="31454"/>
    <cellStyle name="Comma 3 4 3 2 4" xfId="17928"/>
    <cellStyle name="Comma 3 4 3 2 4 2" xfId="37606"/>
    <cellStyle name="Comma 3 4 3 2 5" xfId="25290"/>
    <cellStyle name="Comma 3 4 3 3" xfId="7114"/>
    <cellStyle name="Comma 3 4 3 3 2" xfId="13308"/>
    <cellStyle name="Comma 3 4 3 3 2 2" xfId="32986"/>
    <cellStyle name="Comma 3 4 3 3 3" xfId="19460"/>
    <cellStyle name="Comma 3 4 3 3 3 2" xfId="39138"/>
    <cellStyle name="Comma 3 4 3 3 4" xfId="26822"/>
    <cellStyle name="Comma 3 4 3 4" xfId="10242"/>
    <cellStyle name="Comma 3 4 3 4 2" xfId="29920"/>
    <cellStyle name="Comma 3 4 3 5" xfId="16394"/>
    <cellStyle name="Comma 3 4 3 5 2" xfId="36072"/>
    <cellStyle name="Comma 3 4 3 6" xfId="23756"/>
    <cellStyle name="Comma 3 4 4" xfId="4777"/>
    <cellStyle name="Comma 3 4 4 2" xfId="7880"/>
    <cellStyle name="Comma 3 4 4 2 2" xfId="14073"/>
    <cellStyle name="Comma 3 4 4 2 2 2" xfId="33751"/>
    <cellStyle name="Comma 3 4 4 2 3" xfId="20225"/>
    <cellStyle name="Comma 3 4 4 2 3 2" xfId="39903"/>
    <cellStyle name="Comma 3 4 4 2 4" xfId="27587"/>
    <cellStyle name="Comma 3 4 4 3" xfId="11007"/>
    <cellStyle name="Comma 3 4 4 3 2" xfId="30685"/>
    <cellStyle name="Comma 3 4 4 4" xfId="17159"/>
    <cellStyle name="Comma 3 4 4 4 2" xfId="36837"/>
    <cellStyle name="Comma 3 4 4 5" xfId="24521"/>
    <cellStyle name="Comma 3 4 5" xfId="6345"/>
    <cellStyle name="Comma 3 4 5 2" xfId="12539"/>
    <cellStyle name="Comma 3 4 5 2 2" xfId="32217"/>
    <cellStyle name="Comma 3 4 5 3" xfId="18691"/>
    <cellStyle name="Comma 3 4 5 3 2" xfId="38369"/>
    <cellStyle name="Comma 3 4 5 4" xfId="26053"/>
    <cellStyle name="Comma 3 4 6" xfId="9473"/>
    <cellStyle name="Comma 3 4 6 2" xfId="29151"/>
    <cellStyle name="Comma 3 4 7" xfId="15625"/>
    <cellStyle name="Comma 3 4 7 2" xfId="35303"/>
    <cellStyle name="Comma 3 4 8" xfId="22904"/>
    <cellStyle name="Comma 3 4 9" xfId="21833"/>
    <cellStyle name="Comma 3 5" xfId="765"/>
    <cellStyle name="Comma 3 5 2" xfId="766"/>
    <cellStyle name="Comma 3 5 2 2" xfId="3941"/>
    <cellStyle name="Comma 3 5 2 2 2" xfId="5566"/>
    <cellStyle name="Comma 3 5 2 2 2 2" xfId="8652"/>
    <cellStyle name="Comma 3 5 2 2 2 2 2" xfId="14845"/>
    <cellStyle name="Comma 3 5 2 2 2 2 2 2" xfId="34523"/>
    <cellStyle name="Comma 3 5 2 2 2 2 3" xfId="20997"/>
    <cellStyle name="Comma 3 5 2 2 2 2 3 2" xfId="40675"/>
    <cellStyle name="Comma 3 5 2 2 2 2 4" xfId="28359"/>
    <cellStyle name="Comma 3 5 2 2 2 3" xfId="11779"/>
    <cellStyle name="Comma 3 5 2 2 2 3 2" xfId="31457"/>
    <cellStyle name="Comma 3 5 2 2 2 4" xfId="17931"/>
    <cellStyle name="Comma 3 5 2 2 2 4 2" xfId="37609"/>
    <cellStyle name="Comma 3 5 2 2 2 5" xfId="25293"/>
    <cellStyle name="Comma 3 5 2 2 3" xfId="7117"/>
    <cellStyle name="Comma 3 5 2 2 3 2" xfId="13311"/>
    <cellStyle name="Comma 3 5 2 2 3 2 2" xfId="32989"/>
    <cellStyle name="Comma 3 5 2 2 3 3" xfId="19463"/>
    <cellStyle name="Comma 3 5 2 2 3 3 2" xfId="39141"/>
    <cellStyle name="Comma 3 5 2 2 3 4" xfId="26825"/>
    <cellStyle name="Comma 3 5 2 2 4" xfId="10245"/>
    <cellStyle name="Comma 3 5 2 2 4 2" xfId="29923"/>
    <cellStyle name="Comma 3 5 2 2 5" xfId="16397"/>
    <cellStyle name="Comma 3 5 2 2 5 2" xfId="36075"/>
    <cellStyle name="Comma 3 5 2 2 6" xfId="23759"/>
    <cellStyle name="Comma 3 5 2 3" xfId="4780"/>
    <cellStyle name="Comma 3 5 2 3 2" xfId="7883"/>
    <cellStyle name="Comma 3 5 2 3 2 2" xfId="14076"/>
    <cellStyle name="Comma 3 5 2 3 2 2 2" xfId="33754"/>
    <cellStyle name="Comma 3 5 2 3 2 3" xfId="20228"/>
    <cellStyle name="Comma 3 5 2 3 2 3 2" xfId="39906"/>
    <cellStyle name="Comma 3 5 2 3 2 4" xfId="27590"/>
    <cellStyle name="Comma 3 5 2 3 3" xfId="11010"/>
    <cellStyle name="Comma 3 5 2 3 3 2" xfId="30688"/>
    <cellStyle name="Comma 3 5 2 3 4" xfId="17162"/>
    <cellStyle name="Comma 3 5 2 3 4 2" xfId="36840"/>
    <cellStyle name="Comma 3 5 2 3 5" xfId="24524"/>
    <cellStyle name="Comma 3 5 2 4" xfId="6348"/>
    <cellStyle name="Comma 3 5 2 4 2" xfId="12542"/>
    <cellStyle name="Comma 3 5 2 4 2 2" xfId="32220"/>
    <cellStyle name="Comma 3 5 2 4 3" xfId="18694"/>
    <cellStyle name="Comma 3 5 2 4 3 2" xfId="38372"/>
    <cellStyle name="Comma 3 5 2 4 4" xfId="26056"/>
    <cellStyle name="Comma 3 5 2 5" xfId="9476"/>
    <cellStyle name="Comma 3 5 2 5 2" xfId="29154"/>
    <cellStyle name="Comma 3 5 2 6" xfId="15628"/>
    <cellStyle name="Comma 3 5 2 6 2" xfId="35306"/>
    <cellStyle name="Comma 3 5 2 7" xfId="22907"/>
    <cellStyle name="Comma 3 5 3" xfId="3940"/>
    <cellStyle name="Comma 3 5 3 2" xfId="5565"/>
    <cellStyle name="Comma 3 5 3 2 2" xfId="8651"/>
    <cellStyle name="Comma 3 5 3 2 2 2" xfId="14844"/>
    <cellStyle name="Comma 3 5 3 2 2 2 2" xfId="34522"/>
    <cellStyle name="Comma 3 5 3 2 2 3" xfId="20996"/>
    <cellStyle name="Comma 3 5 3 2 2 3 2" xfId="40674"/>
    <cellStyle name="Comma 3 5 3 2 2 4" xfId="28358"/>
    <cellStyle name="Comma 3 5 3 2 3" xfId="11778"/>
    <cellStyle name="Comma 3 5 3 2 3 2" xfId="31456"/>
    <cellStyle name="Comma 3 5 3 2 4" xfId="17930"/>
    <cellStyle name="Comma 3 5 3 2 4 2" xfId="37608"/>
    <cellStyle name="Comma 3 5 3 2 5" xfId="25292"/>
    <cellStyle name="Comma 3 5 3 3" xfId="7116"/>
    <cellStyle name="Comma 3 5 3 3 2" xfId="13310"/>
    <cellStyle name="Comma 3 5 3 3 2 2" xfId="32988"/>
    <cellStyle name="Comma 3 5 3 3 3" xfId="19462"/>
    <cellStyle name="Comma 3 5 3 3 3 2" xfId="39140"/>
    <cellStyle name="Comma 3 5 3 3 4" xfId="26824"/>
    <cellStyle name="Comma 3 5 3 4" xfId="10244"/>
    <cellStyle name="Comma 3 5 3 4 2" xfId="29922"/>
    <cellStyle name="Comma 3 5 3 5" xfId="16396"/>
    <cellStyle name="Comma 3 5 3 5 2" xfId="36074"/>
    <cellStyle name="Comma 3 5 3 6" xfId="23758"/>
    <cellStyle name="Comma 3 5 4" xfId="4779"/>
    <cellStyle name="Comma 3 5 4 2" xfId="7882"/>
    <cellStyle name="Comma 3 5 4 2 2" xfId="14075"/>
    <cellStyle name="Comma 3 5 4 2 2 2" xfId="33753"/>
    <cellStyle name="Comma 3 5 4 2 3" xfId="20227"/>
    <cellStyle name="Comma 3 5 4 2 3 2" xfId="39905"/>
    <cellStyle name="Comma 3 5 4 2 4" xfId="27589"/>
    <cellStyle name="Comma 3 5 4 3" xfId="11009"/>
    <cellStyle name="Comma 3 5 4 3 2" xfId="30687"/>
    <cellStyle name="Comma 3 5 4 4" xfId="17161"/>
    <cellStyle name="Comma 3 5 4 4 2" xfId="36839"/>
    <cellStyle name="Comma 3 5 4 5" xfId="24523"/>
    <cellStyle name="Comma 3 5 5" xfId="6347"/>
    <cellStyle name="Comma 3 5 5 2" xfId="12541"/>
    <cellStyle name="Comma 3 5 5 2 2" xfId="32219"/>
    <cellStyle name="Comma 3 5 5 3" xfId="18693"/>
    <cellStyle name="Comma 3 5 5 3 2" xfId="38371"/>
    <cellStyle name="Comma 3 5 5 4" xfId="26055"/>
    <cellStyle name="Comma 3 5 6" xfId="9475"/>
    <cellStyle name="Comma 3 5 6 2" xfId="29153"/>
    <cellStyle name="Comma 3 5 7" xfId="15627"/>
    <cellStyle name="Comma 3 5 7 2" xfId="35305"/>
    <cellStyle name="Comma 3 5 8" xfId="22906"/>
    <cellStyle name="Comma 3 5 9" xfId="21845"/>
    <cellStyle name="Comma 3 6" xfId="767"/>
    <cellStyle name="Comma 3 6 2" xfId="768"/>
    <cellStyle name="Comma 3 6 2 2" xfId="3943"/>
    <cellStyle name="Comma 3 6 2 2 2" xfId="5568"/>
    <cellStyle name="Comma 3 6 2 2 2 2" xfId="8654"/>
    <cellStyle name="Comma 3 6 2 2 2 2 2" xfId="14847"/>
    <cellStyle name="Comma 3 6 2 2 2 2 2 2" xfId="34525"/>
    <cellStyle name="Comma 3 6 2 2 2 2 3" xfId="20999"/>
    <cellStyle name="Comma 3 6 2 2 2 2 3 2" xfId="40677"/>
    <cellStyle name="Comma 3 6 2 2 2 2 4" xfId="28361"/>
    <cellStyle name="Comma 3 6 2 2 2 3" xfId="11781"/>
    <cellStyle name="Comma 3 6 2 2 2 3 2" xfId="31459"/>
    <cellStyle name="Comma 3 6 2 2 2 4" xfId="17933"/>
    <cellStyle name="Comma 3 6 2 2 2 4 2" xfId="37611"/>
    <cellStyle name="Comma 3 6 2 2 2 5" xfId="25295"/>
    <cellStyle name="Comma 3 6 2 2 3" xfId="7119"/>
    <cellStyle name="Comma 3 6 2 2 3 2" xfId="13313"/>
    <cellStyle name="Comma 3 6 2 2 3 2 2" xfId="32991"/>
    <cellStyle name="Comma 3 6 2 2 3 3" xfId="19465"/>
    <cellStyle name="Comma 3 6 2 2 3 3 2" xfId="39143"/>
    <cellStyle name="Comma 3 6 2 2 3 4" xfId="26827"/>
    <cellStyle name="Comma 3 6 2 2 4" xfId="10247"/>
    <cellStyle name="Comma 3 6 2 2 4 2" xfId="29925"/>
    <cellStyle name="Comma 3 6 2 2 5" xfId="16399"/>
    <cellStyle name="Comma 3 6 2 2 5 2" xfId="36077"/>
    <cellStyle name="Comma 3 6 2 2 6" xfId="23761"/>
    <cellStyle name="Comma 3 6 2 3" xfId="4782"/>
    <cellStyle name="Comma 3 6 2 3 2" xfId="7885"/>
    <cellStyle name="Comma 3 6 2 3 2 2" xfId="14078"/>
    <cellStyle name="Comma 3 6 2 3 2 2 2" xfId="33756"/>
    <cellStyle name="Comma 3 6 2 3 2 3" xfId="20230"/>
    <cellStyle name="Comma 3 6 2 3 2 3 2" xfId="39908"/>
    <cellStyle name="Comma 3 6 2 3 2 4" xfId="27592"/>
    <cellStyle name="Comma 3 6 2 3 3" xfId="11012"/>
    <cellStyle name="Comma 3 6 2 3 3 2" xfId="30690"/>
    <cellStyle name="Comma 3 6 2 3 4" xfId="17164"/>
    <cellStyle name="Comma 3 6 2 3 4 2" xfId="36842"/>
    <cellStyle name="Comma 3 6 2 3 5" xfId="24526"/>
    <cellStyle name="Comma 3 6 2 4" xfId="6350"/>
    <cellStyle name="Comma 3 6 2 4 2" xfId="12544"/>
    <cellStyle name="Comma 3 6 2 4 2 2" xfId="32222"/>
    <cellStyle name="Comma 3 6 2 4 3" xfId="18696"/>
    <cellStyle name="Comma 3 6 2 4 3 2" xfId="38374"/>
    <cellStyle name="Comma 3 6 2 4 4" xfId="26058"/>
    <cellStyle name="Comma 3 6 2 5" xfId="9478"/>
    <cellStyle name="Comma 3 6 2 5 2" xfId="29156"/>
    <cellStyle name="Comma 3 6 2 6" xfId="15630"/>
    <cellStyle name="Comma 3 6 2 6 2" xfId="35308"/>
    <cellStyle name="Comma 3 6 2 7" xfId="22909"/>
    <cellStyle name="Comma 3 6 3" xfId="3942"/>
    <cellStyle name="Comma 3 6 3 2" xfId="5567"/>
    <cellStyle name="Comma 3 6 3 2 2" xfId="8653"/>
    <cellStyle name="Comma 3 6 3 2 2 2" xfId="14846"/>
    <cellStyle name="Comma 3 6 3 2 2 2 2" xfId="34524"/>
    <cellStyle name="Comma 3 6 3 2 2 3" xfId="20998"/>
    <cellStyle name="Comma 3 6 3 2 2 3 2" xfId="40676"/>
    <cellStyle name="Comma 3 6 3 2 2 4" xfId="28360"/>
    <cellStyle name="Comma 3 6 3 2 3" xfId="11780"/>
    <cellStyle name="Comma 3 6 3 2 3 2" xfId="31458"/>
    <cellStyle name="Comma 3 6 3 2 4" xfId="17932"/>
    <cellStyle name="Comma 3 6 3 2 4 2" xfId="37610"/>
    <cellStyle name="Comma 3 6 3 2 5" xfId="25294"/>
    <cellStyle name="Comma 3 6 3 3" xfId="7118"/>
    <cellStyle name="Comma 3 6 3 3 2" xfId="13312"/>
    <cellStyle name="Comma 3 6 3 3 2 2" xfId="32990"/>
    <cellStyle name="Comma 3 6 3 3 3" xfId="19464"/>
    <cellStyle name="Comma 3 6 3 3 3 2" xfId="39142"/>
    <cellStyle name="Comma 3 6 3 3 4" xfId="26826"/>
    <cellStyle name="Comma 3 6 3 4" xfId="10246"/>
    <cellStyle name="Comma 3 6 3 4 2" xfId="29924"/>
    <cellStyle name="Comma 3 6 3 5" xfId="16398"/>
    <cellStyle name="Comma 3 6 3 5 2" xfId="36076"/>
    <cellStyle name="Comma 3 6 3 6" xfId="23760"/>
    <cellStyle name="Comma 3 6 4" xfId="4781"/>
    <cellStyle name="Comma 3 6 4 2" xfId="7884"/>
    <cellStyle name="Comma 3 6 4 2 2" xfId="14077"/>
    <cellStyle name="Comma 3 6 4 2 2 2" xfId="33755"/>
    <cellStyle name="Comma 3 6 4 2 3" xfId="20229"/>
    <cellStyle name="Comma 3 6 4 2 3 2" xfId="39907"/>
    <cellStyle name="Comma 3 6 4 2 4" xfId="27591"/>
    <cellStyle name="Comma 3 6 4 3" xfId="11011"/>
    <cellStyle name="Comma 3 6 4 3 2" xfId="30689"/>
    <cellStyle name="Comma 3 6 4 4" xfId="17163"/>
    <cellStyle name="Comma 3 6 4 4 2" xfId="36841"/>
    <cellStyle name="Comma 3 6 4 5" xfId="24525"/>
    <cellStyle name="Comma 3 6 5" xfId="6349"/>
    <cellStyle name="Comma 3 6 5 2" xfId="12543"/>
    <cellStyle name="Comma 3 6 5 2 2" xfId="32221"/>
    <cellStyle name="Comma 3 6 5 3" xfId="18695"/>
    <cellStyle name="Comma 3 6 5 3 2" xfId="38373"/>
    <cellStyle name="Comma 3 6 5 4" xfId="26057"/>
    <cellStyle name="Comma 3 6 6" xfId="9477"/>
    <cellStyle name="Comma 3 6 6 2" xfId="29155"/>
    <cellStyle name="Comma 3 6 7" xfId="15629"/>
    <cellStyle name="Comma 3 6 7 2" xfId="35307"/>
    <cellStyle name="Comma 3 6 8" xfId="22908"/>
    <cellStyle name="Comma 3 6 9" xfId="21853"/>
    <cellStyle name="Comma 3 7" xfId="769"/>
    <cellStyle name="Comma 3 7 2" xfId="3944"/>
    <cellStyle name="Comma 3 7 2 2" xfId="5569"/>
    <cellStyle name="Comma 3 7 2 2 2" xfId="8655"/>
    <cellStyle name="Comma 3 7 2 2 2 2" xfId="14848"/>
    <cellStyle name="Comma 3 7 2 2 2 2 2" xfId="34526"/>
    <cellStyle name="Comma 3 7 2 2 2 3" xfId="21000"/>
    <cellStyle name="Comma 3 7 2 2 2 3 2" xfId="40678"/>
    <cellStyle name="Comma 3 7 2 2 2 4" xfId="28362"/>
    <cellStyle name="Comma 3 7 2 2 3" xfId="11782"/>
    <cellStyle name="Comma 3 7 2 2 3 2" xfId="31460"/>
    <cellStyle name="Comma 3 7 2 2 4" xfId="17934"/>
    <cellStyle name="Comma 3 7 2 2 4 2" xfId="37612"/>
    <cellStyle name="Comma 3 7 2 2 5" xfId="25296"/>
    <cellStyle name="Comma 3 7 2 3" xfId="7120"/>
    <cellStyle name="Comma 3 7 2 3 2" xfId="13314"/>
    <cellStyle name="Comma 3 7 2 3 2 2" xfId="32992"/>
    <cellStyle name="Comma 3 7 2 3 3" xfId="19466"/>
    <cellStyle name="Comma 3 7 2 3 3 2" xfId="39144"/>
    <cellStyle name="Comma 3 7 2 3 4" xfId="26828"/>
    <cellStyle name="Comma 3 7 2 4" xfId="10248"/>
    <cellStyle name="Comma 3 7 2 4 2" xfId="29926"/>
    <cellStyle name="Comma 3 7 2 5" xfId="16400"/>
    <cellStyle name="Comma 3 7 2 5 2" xfId="36078"/>
    <cellStyle name="Comma 3 7 2 6" xfId="23762"/>
    <cellStyle name="Comma 3 7 3" xfId="4783"/>
    <cellStyle name="Comma 3 7 3 2" xfId="7886"/>
    <cellStyle name="Comma 3 7 3 2 2" xfId="14079"/>
    <cellStyle name="Comma 3 7 3 2 2 2" xfId="33757"/>
    <cellStyle name="Comma 3 7 3 2 3" xfId="20231"/>
    <cellStyle name="Comma 3 7 3 2 3 2" xfId="39909"/>
    <cellStyle name="Comma 3 7 3 2 4" xfId="27593"/>
    <cellStyle name="Comma 3 7 3 3" xfId="11013"/>
    <cellStyle name="Comma 3 7 3 3 2" xfId="30691"/>
    <cellStyle name="Comma 3 7 3 4" xfId="17165"/>
    <cellStyle name="Comma 3 7 3 4 2" xfId="36843"/>
    <cellStyle name="Comma 3 7 3 5" xfId="24527"/>
    <cellStyle name="Comma 3 7 4" xfId="6351"/>
    <cellStyle name="Comma 3 7 4 2" xfId="12545"/>
    <cellStyle name="Comma 3 7 4 2 2" xfId="32223"/>
    <cellStyle name="Comma 3 7 4 3" xfId="18697"/>
    <cellStyle name="Comma 3 7 4 3 2" xfId="38375"/>
    <cellStyle name="Comma 3 7 4 4" xfId="26059"/>
    <cellStyle name="Comma 3 7 5" xfId="9479"/>
    <cellStyle name="Comma 3 7 5 2" xfId="29157"/>
    <cellStyle name="Comma 3 7 6" xfId="15631"/>
    <cellStyle name="Comma 3 7 6 2" xfId="35309"/>
    <cellStyle name="Comma 3 7 7" xfId="22910"/>
    <cellStyle name="Comma 3 7 8" xfId="21884"/>
    <cellStyle name="Comma 3 8" xfId="770"/>
    <cellStyle name="Comma 3 8 2" xfId="3945"/>
    <cellStyle name="Comma 3 8 2 2" xfId="5570"/>
    <cellStyle name="Comma 3 8 2 2 2" xfId="8656"/>
    <cellStyle name="Comma 3 8 2 2 2 2" xfId="14849"/>
    <cellStyle name="Comma 3 8 2 2 2 2 2" xfId="34527"/>
    <cellStyle name="Comma 3 8 2 2 2 3" xfId="21001"/>
    <cellStyle name="Comma 3 8 2 2 2 3 2" xfId="40679"/>
    <cellStyle name="Comma 3 8 2 2 2 4" xfId="28363"/>
    <cellStyle name="Comma 3 8 2 2 3" xfId="11783"/>
    <cellStyle name="Comma 3 8 2 2 3 2" xfId="31461"/>
    <cellStyle name="Comma 3 8 2 2 4" xfId="17935"/>
    <cellStyle name="Comma 3 8 2 2 4 2" xfId="37613"/>
    <cellStyle name="Comma 3 8 2 2 5" xfId="25297"/>
    <cellStyle name="Comma 3 8 2 3" xfId="7121"/>
    <cellStyle name="Comma 3 8 2 3 2" xfId="13315"/>
    <cellStyle name="Comma 3 8 2 3 2 2" xfId="32993"/>
    <cellStyle name="Comma 3 8 2 3 3" xfId="19467"/>
    <cellStyle name="Comma 3 8 2 3 3 2" xfId="39145"/>
    <cellStyle name="Comma 3 8 2 3 4" xfId="26829"/>
    <cellStyle name="Comma 3 8 2 4" xfId="10249"/>
    <cellStyle name="Comma 3 8 2 4 2" xfId="29927"/>
    <cellStyle name="Comma 3 8 2 5" xfId="16401"/>
    <cellStyle name="Comma 3 8 2 5 2" xfId="36079"/>
    <cellStyle name="Comma 3 8 2 6" xfId="23763"/>
    <cellStyle name="Comma 3 8 3" xfId="4784"/>
    <cellStyle name="Comma 3 8 3 2" xfId="7887"/>
    <cellStyle name="Comma 3 8 3 2 2" xfId="14080"/>
    <cellStyle name="Comma 3 8 3 2 2 2" xfId="33758"/>
    <cellStyle name="Comma 3 8 3 2 3" xfId="20232"/>
    <cellStyle name="Comma 3 8 3 2 3 2" xfId="39910"/>
    <cellStyle name="Comma 3 8 3 2 4" xfId="27594"/>
    <cellStyle name="Comma 3 8 3 3" xfId="11014"/>
    <cellStyle name="Comma 3 8 3 3 2" xfId="30692"/>
    <cellStyle name="Comma 3 8 3 4" xfId="17166"/>
    <cellStyle name="Comma 3 8 3 4 2" xfId="36844"/>
    <cellStyle name="Comma 3 8 3 5" xfId="24528"/>
    <cellStyle name="Comma 3 8 4" xfId="6352"/>
    <cellStyle name="Comma 3 8 4 2" xfId="12546"/>
    <cellStyle name="Comma 3 8 4 2 2" xfId="32224"/>
    <cellStyle name="Comma 3 8 4 3" xfId="18698"/>
    <cellStyle name="Comma 3 8 4 3 2" xfId="38376"/>
    <cellStyle name="Comma 3 8 4 4" xfId="26060"/>
    <cellStyle name="Comma 3 8 5" xfId="9480"/>
    <cellStyle name="Comma 3 8 5 2" xfId="29158"/>
    <cellStyle name="Comma 3 8 6" xfId="15632"/>
    <cellStyle name="Comma 3 8 6 2" xfId="35310"/>
    <cellStyle name="Comma 3 8 7" xfId="22911"/>
    <cellStyle name="Comma 3 8 8" xfId="21902"/>
    <cellStyle name="Comma 3 9" xfId="771"/>
    <cellStyle name="Comma 3 9 2" xfId="3946"/>
    <cellStyle name="Comma 3 9 2 2" xfId="5571"/>
    <cellStyle name="Comma 3 9 2 2 2" xfId="8657"/>
    <cellStyle name="Comma 3 9 2 2 2 2" xfId="14850"/>
    <cellStyle name="Comma 3 9 2 2 2 2 2" xfId="34528"/>
    <cellStyle name="Comma 3 9 2 2 2 3" xfId="21002"/>
    <cellStyle name="Comma 3 9 2 2 2 3 2" xfId="40680"/>
    <cellStyle name="Comma 3 9 2 2 2 4" xfId="28364"/>
    <cellStyle name="Comma 3 9 2 2 3" xfId="11784"/>
    <cellStyle name="Comma 3 9 2 2 3 2" xfId="31462"/>
    <cellStyle name="Comma 3 9 2 2 4" xfId="17936"/>
    <cellStyle name="Comma 3 9 2 2 4 2" xfId="37614"/>
    <cellStyle name="Comma 3 9 2 2 5" xfId="25298"/>
    <cellStyle name="Comma 3 9 2 3" xfId="7122"/>
    <cellStyle name="Comma 3 9 2 3 2" xfId="13316"/>
    <cellStyle name="Comma 3 9 2 3 2 2" xfId="32994"/>
    <cellStyle name="Comma 3 9 2 3 3" xfId="19468"/>
    <cellStyle name="Comma 3 9 2 3 3 2" xfId="39146"/>
    <cellStyle name="Comma 3 9 2 3 4" xfId="26830"/>
    <cellStyle name="Comma 3 9 2 4" xfId="10250"/>
    <cellStyle name="Comma 3 9 2 4 2" xfId="29928"/>
    <cellStyle name="Comma 3 9 2 5" xfId="16402"/>
    <cellStyle name="Comma 3 9 2 5 2" xfId="36080"/>
    <cellStyle name="Comma 3 9 2 6" xfId="23764"/>
    <cellStyle name="Comma 3 9 3" xfId="4785"/>
    <cellStyle name="Comma 3 9 3 2" xfId="7888"/>
    <cellStyle name="Comma 3 9 3 2 2" xfId="14081"/>
    <cellStyle name="Comma 3 9 3 2 2 2" xfId="33759"/>
    <cellStyle name="Comma 3 9 3 2 3" xfId="20233"/>
    <cellStyle name="Comma 3 9 3 2 3 2" xfId="39911"/>
    <cellStyle name="Comma 3 9 3 2 4" xfId="27595"/>
    <cellStyle name="Comma 3 9 3 3" xfId="11015"/>
    <cellStyle name="Comma 3 9 3 3 2" xfId="30693"/>
    <cellStyle name="Comma 3 9 3 4" xfId="17167"/>
    <cellStyle name="Comma 3 9 3 4 2" xfId="36845"/>
    <cellStyle name="Comma 3 9 3 5" xfId="24529"/>
    <cellStyle name="Comma 3 9 4" xfId="6353"/>
    <cellStyle name="Comma 3 9 4 2" xfId="12547"/>
    <cellStyle name="Comma 3 9 4 2 2" xfId="32225"/>
    <cellStyle name="Comma 3 9 4 3" xfId="18699"/>
    <cellStyle name="Comma 3 9 4 3 2" xfId="38377"/>
    <cellStyle name="Comma 3 9 4 4" xfId="26061"/>
    <cellStyle name="Comma 3 9 5" xfId="9481"/>
    <cellStyle name="Comma 3 9 5 2" xfId="29159"/>
    <cellStyle name="Comma 3 9 6" xfId="15633"/>
    <cellStyle name="Comma 3 9 6 2" xfId="35311"/>
    <cellStyle name="Comma 3 9 7" xfId="22912"/>
    <cellStyle name="Comma 3 9 8" xfId="21915"/>
    <cellStyle name="Comma 30" xfId="772"/>
    <cellStyle name="Comma 31" xfId="773"/>
    <cellStyle name="Comma 32" xfId="774"/>
    <cellStyle name="Comma 33" xfId="775"/>
    <cellStyle name="Comma 34" xfId="776"/>
    <cellStyle name="Comma 35" xfId="777"/>
    <cellStyle name="Comma 36" xfId="778"/>
    <cellStyle name="Comma 37" xfId="779"/>
    <cellStyle name="Comma 38" xfId="780"/>
    <cellStyle name="Comma 39" xfId="781"/>
    <cellStyle name="Comma 4" xfId="26"/>
    <cellStyle name="Comma 4 10" xfId="21917"/>
    <cellStyle name="Comma 4 11" xfId="21931"/>
    <cellStyle name="Comma 4 12" xfId="21941"/>
    <cellStyle name="Comma 4 13" xfId="21952"/>
    <cellStyle name="Comma 4 14" xfId="21969"/>
    <cellStyle name="Comma 4 15" xfId="21994"/>
    <cellStyle name="Comma 4 16" xfId="21998"/>
    <cellStyle name="Comma 4 17" xfId="22037"/>
    <cellStyle name="Comma 4 18" xfId="22052"/>
    <cellStyle name="Comma 4 19" xfId="22079"/>
    <cellStyle name="Comma 4 2" xfId="27"/>
    <cellStyle name="Comma 4 2 2" xfId="106"/>
    <cellStyle name="Comma 4 2 2 2" xfId="785"/>
    <cellStyle name="Comma 4 2 2 3" xfId="786"/>
    <cellStyle name="Comma 4 2 2 4" xfId="784"/>
    <cellStyle name="Comma 4 2 3" xfId="9308"/>
    <cellStyle name="Comma 4 2 3 2" xfId="15480"/>
    <cellStyle name="Comma 4 2 3 2 2" xfId="35158"/>
    <cellStyle name="Comma 4 2 3 3" xfId="21632"/>
    <cellStyle name="Comma 4 2 3 3 2" xfId="41310"/>
    <cellStyle name="Comma 4 2 3 4" xfId="29005"/>
    <cellStyle name="Comma 4 2 4" xfId="783"/>
    <cellStyle name="Comma 4 2 5" xfId="21808"/>
    <cellStyle name="Comma 4 2 6" xfId="41883"/>
    <cellStyle name="Comma 4 20" xfId="22107"/>
    <cellStyle name="Comma 4 21" xfId="22103"/>
    <cellStyle name="Comma 4 22" xfId="22185"/>
    <cellStyle name="Comma 4 23" xfId="22192"/>
    <cellStyle name="Comma 4 24" xfId="22213"/>
    <cellStyle name="Comma 4 25" xfId="22245"/>
    <cellStyle name="Comma 4 26" xfId="22272"/>
    <cellStyle name="Comma 4 27" xfId="22297"/>
    <cellStyle name="Comma 4 28" xfId="22320"/>
    <cellStyle name="Comma 4 29" xfId="22392"/>
    <cellStyle name="Comma 4 3" xfId="105"/>
    <cellStyle name="Comma 4 3 2" xfId="787"/>
    <cellStyle name="Comma 4 3 3" xfId="41884"/>
    <cellStyle name="Comma 4 30" xfId="22686"/>
    <cellStyle name="Comma 4 31" xfId="41576"/>
    <cellStyle name="Comma 4 32" xfId="21776"/>
    <cellStyle name="Comma 4 33" xfId="41882"/>
    <cellStyle name="Comma 4 34" xfId="42071"/>
    <cellStyle name="Comma 4 4" xfId="788"/>
    <cellStyle name="Comma 4 4 2" xfId="22913"/>
    <cellStyle name="Comma 4 4 3" xfId="21842"/>
    <cellStyle name="Comma 4 5" xfId="3708"/>
    <cellStyle name="Comma 4 5 2" xfId="23594"/>
    <cellStyle name="Comma 4 5 3" xfId="21844"/>
    <cellStyle name="Comma 4 6" xfId="782"/>
    <cellStyle name="Comma 4 7" xfId="9288"/>
    <cellStyle name="Comma 4 7 2" xfId="15471"/>
    <cellStyle name="Comma 4 7 2 2" xfId="35149"/>
    <cellStyle name="Comma 4 7 3" xfId="21623"/>
    <cellStyle name="Comma 4 7 3 2" xfId="41301"/>
    <cellStyle name="Comma 4 7 4" xfId="28987"/>
    <cellStyle name="Comma 4 7 5" xfId="21873"/>
    <cellStyle name="Comma 4 8" xfId="255"/>
    <cellStyle name="Comma 4 8 2" xfId="22713"/>
    <cellStyle name="Comma 4 8 3" xfId="21886"/>
    <cellStyle name="Comma 4 9" xfId="21904"/>
    <cellStyle name="Comma 40" xfId="789"/>
    <cellStyle name="Comma 41" xfId="790"/>
    <cellStyle name="Comma 42" xfId="791"/>
    <cellStyle name="Comma 43" xfId="792"/>
    <cellStyle name="Comma 43 10" xfId="793"/>
    <cellStyle name="Comma 43 10 2" xfId="794"/>
    <cellStyle name="Comma 43 11" xfId="795"/>
    <cellStyle name="Comma 43 11 2" xfId="796"/>
    <cellStyle name="Comma 43 12" xfId="797"/>
    <cellStyle name="Comma 43 2" xfId="798"/>
    <cellStyle name="Comma 43 2 2" xfId="799"/>
    <cellStyle name="Comma 43 2 2 2" xfId="800"/>
    <cellStyle name="Comma 43 2 2 2 2" xfId="801"/>
    <cellStyle name="Comma 43 2 2 3" xfId="802"/>
    <cellStyle name="Comma 43 2 3" xfId="803"/>
    <cellStyle name="Comma 43 2 3 2" xfId="804"/>
    <cellStyle name="Comma 43 2 4" xfId="805"/>
    <cellStyle name="Comma 43 2 4 2" xfId="806"/>
    <cellStyle name="Comma 43 2 5" xfId="807"/>
    <cellStyle name="Comma 43 3" xfId="808"/>
    <cellStyle name="Comma 43 3 2" xfId="809"/>
    <cellStyle name="Comma 43 3 2 2" xfId="810"/>
    <cellStyle name="Comma 43 3 2 2 2" xfId="811"/>
    <cellStyle name="Comma 43 3 2 3" xfId="812"/>
    <cellStyle name="Comma 43 3 3" xfId="813"/>
    <cellStyle name="Comma 43 3 3 2" xfId="814"/>
    <cellStyle name="Comma 43 3 4" xfId="815"/>
    <cellStyle name="Comma 43 3 4 2" xfId="816"/>
    <cellStyle name="Comma 43 3 5" xfId="817"/>
    <cellStyle name="Comma 43 4" xfId="818"/>
    <cellStyle name="Comma 43 4 2" xfId="819"/>
    <cellStyle name="Comma 43 4 2 2" xfId="820"/>
    <cellStyle name="Comma 43 4 2 2 2" xfId="821"/>
    <cellStyle name="Comma 43 4 2 3" xfId="822"/>
    <cellStyle name="Comma 43 4 3" xfId="823"/>
    <cellStyle name="Comma 43 4 3 2" xfId="824"/>
    <cellStyle name="Comma 43 4 4" xfId="825"/>
    <cellStyle name="Comma 43 4 4 2" xfId="826"/>
    <cellStyle name="Comma 43 4 5" xfId="827"/>
    <cellStyle name="Comma 43 5" xfId="828"/>
    <cellStyle name="Comma 43 5 2" xfId="829"/>
    <cellStyle name="Comma 43 5 2 2" xfId="830"/>
    <cellStyle name="Comma 43 5 2 2 2" xfId="831"/>
    <cellStyle name="Comma 43 5 2 3" xfId="832"/>
    <cellStyle name="Comma 43 5 3" xfId="833"/>
    <cellStyle name="Comma 43 5 3 2" xfId="834"/>
    <cellStyle name="Comma 43 5 4" xfId="835"/>
    <cellStyle name="Comma 43 5 4 2" xfId="836"/>
    <cellStyle name="Comma 43 5 5" xfId="837"/>
    <cellStyle name="Comma 43 6" xfId="838"/>
    <cellStyle name="Comma 43 6 2" xfId="839"/>
    <cellStyle name="Comma 43 6 2 2" xfId="840"/>
    <cellStyle name="Comma 43 6 2 2 2" xfId="841"/>
    <cellStyle name="Comma 43 6 2 3" xfId="842"/>
    <cellStyle name="Comma 43 6 3" xfId="843"/>
    <cellStyle name="Comma 43 6 3 2" xfId="844"/>
    <cellStyle name="Comma 43 6 4" xfId="845"/>
    <cellStyle name="Comma 43 6 4 2" xfId="846"/>
    <cellStyle name="Comma 43 6 5" xfId="847"/>
    <cellStyle name="Comma 43 7" xfId="848"/>
    <cellStyle name="Comma 43 7 2" xfId="849"/>
    <cellStyle name="Comma 43 7 2 2" xfId="850"/>
    <cellStyle name="Comma 43 7 2 2 2" xfId="851"/>
    <cellStyle name="Comma 43 7 2 3" xfId="852"/>
    <cellStyle name="Comma 43 7 3" xfId="853"/>
    <cellStyle name="Comma 43 7 3 2" xfId="854"/>
    <cellStyle name="Comma 43 7 4" xfId="855"/>
    <cellStyle name="Comma 43 8" xfId="856"/>
    <cellStyle name="Comma 43 8 2" xfId="857"/>
    <cellStyle name="Comma 43 8 2 2" xfId="858"/>
    <cellStyle name="Comma 43 8 2 2 2" xfId="859"/>
    <cellStyle name="Comma 43 8 2 3" xfId="860"/>
    <cellStyle name="Comma 43 8 3" xfId="861"/>
    <cellStyle name="Comma 43 8 3 2" xfId="862"/>
    <cellStyle name="Comma 43 8 4" xfId="863"/>
    <cellStyle name="Comma 43 9" xfId="864"/>
    <cellStyle name="Comma 43 9 2" xfId="865"/>
    <cellStyle name="Comma 43 9 2 2" xfId="866"/>
    <cellStyle name="Comma 43 9 3" xfId="867"/>
    <cellStyle name="Comma 44" xfId="868"/>
    <cellStyle name="Comma 44 10" xfId="869"/>
    <cellStyle name="Comma 44 10 2" xfId="870"/>
    <cellStyle name="Comma 44 11" xfId="871"/>
    <cellStyle name="Comma 44 11 2" xfId="872"/>
    <cellStyle name="Comma 44 12" xfId="873"/>
    <cellStyle name="Comma 44 2" xfId="874"/>
    <cellStyle name="Comma 44 2 2" xfId="875"/>
    <cellStyle name="Comma 44 2 2 2" xfId="876"/>
    <cellStyle name="Comma 44 2 2 2 2" xfId="877"/>
    <cellStyle name="Comma 44 2 2 3" xfId="878"/>
    <cellStyle name="Comma 44 2 3" xfId="879"/>
    <cellStyle name="Comma 44 2 3 2" xfId="880"/>
    <cellStyle name="Comma 44 2 4" xfId="881"/>
    <cellStyle name="Comma 44 2 4 2" xfId="882"/>
    <cellStyle name="Comma 44 2 5" xfId="883"/>
    <cellStyle name="Comma 44 3" xfId="884"/>
    <cellStyle name="Comma 44 3 2" xfId="885"/>
    <cellStyle name="Comma 44 3 2 2" xfId="886"/>
    <cellStyle name="Comma 44 3 2 2 2" xfId="887"/>
    <cellStyle name="Comma 44 3 2 3" xfId="888"/>
    <cellStyle name="Comma 44 3 3" xfId="889"/>
    <cellStyle name="Comma 44 3 3 2" xfId="890"/>
    <cellStyle name="Comma 44 3 4" xfId="891"/>
    <cellStyle name="Comma 44 3 4 2" xfId="892"/>
    <cellStyle name="Comma 44 3 5" xfId="893"/>
    <cellStyle name="Comma 44 4" xfId="894"/>
    <cellStyle name="Comma 44 4 2" xfId="895"/>
    <cellStyle name="Comma 44 4 2 2" xfId="896"/>
    <cellStyle name="Comma 44 4 2 2 2" xfId="897"/>
    <cellStyle name="Comma 44 4 2 3" xfId="898"/>
    <cellStyle name="Comma 44 4 3" xfId="899"/>
    <cellStyle name="Comma 44 4 3 2" xfId="900"/>
    <cellStyle name="Comma 44 4 4" xfId="901"/>
    <cellStyle name="Comma 44 4 4 2" xfId="902"/>
    <cellStyle name="Comma 44 4 5" xfId="903"/>
    <cellStyle name="Comma 44 5" xfId="904"/>
    <cellStyle name="Comma 44 5 2" xfId="905"/>
    <cellStyle name="Comma 44 5 2 2" xfId="906"/>
    <cellStyle name="Comma 44 5 2 2 2" xfId="907"/>
    <cellStyle name="Comma 44 5 2 3" xfId="908"/>
    <cellStyle name="Comma 44 5 3" xfId="909"/>
    <cellStyle name="Comma 44 5 3 2" xfId="910"/>
    <cellStyle name="Comma 44 5 4" xfId="911"/>
    <cellStyle name="Comma 44 5 4 2" xfId="912"/>
    <cellStyle name="Comma 44 5 5" xfId="913"/>
    <cellStyle name="Comma 44 6" xfId="914"/>
    <cellStyle name="Comma 44 6 2" xfId="915"/>
    <cellStyle name="Comma 44 6 2 2" xfId="916"/>
    <cellStyle name="Comma 44 6 2 2 2" xfId="917"/>
    <cellStyle name="Comma 44 6 2 3" xfId="918"/>
    <cellStyle name="Comma 44 6 3" xfId="919"/>
    <cellStyle name="Comma 44 6 3 2" xfId="920"/>
    <cellStyle name="Comma 44 6 4" xfId="921"/>
    <cellStyle name="Comma 44 6 4 2" xfId="922"/>
    <cellStyle name="Comma 44 6 5" xfId="923"/>
    <cellStyle name="Comma 44 7" xfId="924"/>
    <cellStyle name="Comma 44 7 2" xfId="925"/>
    <cellStyle name="Comma 44 7 2 2" xfId="926"/>
    <cellStyle name="Comma 44 7 2 2 2" xfId="927"/>
    <cellStyle name="Comma 44 7 2 3" xfId="928"/>
    <cellStyle name="Comma 44 7 3" xfId="929"/>
    <cellStyle name="Comma 44 7 3 2" xfId="930"/>
    <cellStyle name="Comma 44 7 4" xfId="931"/>
    <cellStyle name="Comma 44 8" xfId="932"/>
    <cellStyle name="Comma 44 8 2" xfId="933"/>
    <cellStyle name="Comma 44 8 2 2" xfId="934"/>
    <cellStyle name="Comma 44 8 2 2 2" xfId="935"/>
    <cellStyle name="Comma 44 8 2 3" xfId="936"/>
    <cellStyle name="Comma 44 8 3" xfId="937"/>
    <cellStyle name="Comma 44 8 3 2" xfId="938"/>
    <cellStyle name="Comma 44 8 4" xfId="939"/>
    <cellStyle name="Comma 44 9" xfId="940"/>
    <cellStyle name="Comma 44 9 2" xfId="941"/>
    <cellStyle name="Comma 44 9 2 2" xfId="942"/>
    <cellStyle name="Comma 44 9 3" xfId="943"/>
    <cellStyle name="Comma 45" xfId="944"/>
    <cellStyle name="Comma 45 10" xfId="945"/>
    <cellStyle name="Comma 45 10 2" xfId="946"/>
    <cellStyle name="Comma 45 11" xfId="947"/>
    <cellStyle name="Comma 45 11 2" xfId="948"/>
    <cellStyle name="Comma 45 12" xfId="949"/>
    <cellStyle name="Comma 45 2" xfId="950"/>
    <cellStyle name="Comma 45 2 2" xfId="951"/>
    <cellStyle name="Comma 45 2 2 2" xfId="952"/>
    <cellStyle name="Comma 45 2 2 2 2" xfId="953"/>
    <cellStyle name="Comma 45 2 2 3" xfId="954"/>
    <cellStyle name="Comma 45 2 3" xfId="955"/>
    <cellStyle name="Comma 45 2 3 2" xfId="956"/>
    <cellStyle name="Comma 45 2 4" xfId="957"/>
    <cellStyle name="Comma 45 2 4 2" xfId="958"/>
    <cellStyle name="Comma 45 2 5" xfId="959"/>
    <cellStyle name="Comma 45 3" xfId="960"/>
    <cellStyle name="Comma 45 3 2" xfId="961"/>
    <cellStyle name="Comma 45 3 2 2" xfId="962"/>
    <cellStyle name="Comma 45 3 2 2 2" xfId="963"/>
    <cellStyle name="Comma 45 3 2 3" xfId="964"/>
    <cellStyle name="Comma 45 3 3" xfId="965"/>
    <cellStyle name="Comma 45 3 3 2" xfId="966"/>
    <cellStyle name="Comma 45 3 4" xfId="967"/>
    <cellStyle name="Comma 45 3 4 2" xfId="968"/>
    <cellStyle name="Comma 45 3 5" xfId="969"/>
    <cellStyle name="Comma 45 4" xfId="970"/>
    <cellStyle name="Comma 45 4 2" xfId="971"/>
    <cellStyle name="Comma 45 4 2 2" xfId="972"/>
    <cellStyle name="Comma 45 4 2 2 2" xfId="973"/>
    <cellStyle name="Comma 45 4 2 3" xfId="974"/>
    <cellStyle name="Comma 45 4 3" xfId="975"/>
    <cellStyle name="Comma 45 4 3 2" xfId="976"/>
    <cellStyle name="Comma 45 4 4" xfId="977"/>
    <cellStyle name="Comma 45 4 4 2" xfId="978"/>
    <cellStyle name="Comma 45 4 5" xfId="979"/>
    <cellStyle name="Comma 45 5" xfId="980"/>
    <cellStyle name="Comma 45 5 2" xfId="981"/>
    <cellStyle name="Comma 45 5 2 2" xfId="982"/>
    <cellStyle name="Comma 45 5 2 2 2" xfId="983"/>
    <cellStyle name="Comma 45 5 2 3" xfId="984"/>
    <cellStyle name="Comma 45 5 3" xfId="985"/>
    <cellStyle name="Comma 45 5 3 2" xfId="986"/>
    <cellStyle name="Comma 45 5 4" xfId="987"/>
    <cellStyle name="Comma 45 5 4 2" xfId="988"/>
    <cellStyle name="Comma 45 5 5" xfId="989"/>
    <cellStyle name="Comma 45 6" xfId="990"/>
    <cellStyle name="Comma 45 6 2" xfId="991"/>
    <cellStyle name="Comma 45 6 2 2" xfId="992"/>
    <cellStyle name="Comma 45 6 2 2 2" xfId="993"/>
    <cellStyle name="Comma 45 6 2 3" xfId="994"/>
    <cellStyle name="Comma 45 6 3" xfId="995"/>
    <cellStyle name="Comma 45 6 3 2" xfId="996"/>
    <cellStyle name="Comma 45 6 4" xfId="997"/>
    <cellStyle name="Comma 45 6 4 2" xfId="998"/>
    <cellStyle name="Comma 45 6 5" xfId="999"/>
    <cellStyle name="Comma 45 7" xfId="1000"/>
    <cellStyle name="Comma 45 7 2" xfId="1001"/>
    <cellStyle name="Comma 45 7 2 2" xfId="1002"/>
    <cellStyle name="Comma 45 7 2 2 2" xfId="1003"/>
    <cellStyle name="Comma 45 7 2 3" xfId="1004"/>
    <cellStyle name="Comma 45 7 3" xfId="1005"/>
    <cellStyle name="Comma 45 7 3 2" xfId="1006"/>
    <cellStyle name="Comma 45 7 4" xfId="1007"/>
    <cellStyle name="Comma 45 8" xfId="1008"/>
    <cellStyle name="Comma 45 8 2" xfId="1009"/>
    <cellStyle name="Comma 45 8 2 2" xfId="1010"/>
    <cellStyle name="Comma 45 8 2 2 2" xfId="1011"/>
    <cellStyle name="Comma 45 8 2 3" xfId="1012"/>
    <cellStyle name="Comma 45 8 3" xfId="1013"/>
    <cellStyle name="Comma 45 8 3 2" xfId="1014"/>
    <cellStyle name="Comma 45 8 4" xfId="1015"/>
    <cellStyle name="Comma 45 9" xfId="1016"/>
    <cellStyle name="Comma 45 9 2" xfId="1017"/>
    <cellStyle name="Comma 45 9 2 2" xfId="1018"/>
    <cellStyle name="Comma 45 9 3" xfId="1019"/>
    <cellStyle name="Comma 46" xfId="1020"/>
    <cellStyle name="Comma 46 10" xfId="1021"/>
    <cellStyle name="Comma 46 10 2" xfId="1022"/>
    <cellStyle name="Comma 46 11" xfId="1023"/>
    <cellStyle name="Comma 46 11 2" xfId="1024"/>
    <cellStyle name="Comma 46 12" xfId="1025"/>
    <cellStyle name="Comma 46 2" xfId="1026"/>
    <cellStyle name="Comma 46 2 2" xfId="1027"/>
    <cellStyle name="Comma 46 2 2 2" xfId="1028"/>
    <cellStyle name="Comma 46 2 2 2 2" xfId="1029"/>
    <cellStyle name="Comma 46 2 2 3" xfId="1030"/>
    <cellStyle name="Comma 46 2 3" xfId="1031"/>
    <cellStyle name="Comma 46 2 3 2" xfId="1032"/>
    <cellStyle name="Comma 46 2 4" xfId="1033"/>
    <cellStyle name="Comma 46 2 4 2" xfId="1034"/>
    <cellStyle name="Comma 46 2 5" xfId="1035"/>
    <cellStyle name="Comma 46 3" xfId="1036"/>
    <cellStyle name="Comma 46 3 2" xfId="1037"/>
    <cellStyle name="Comma 46 3 2 2" xfId="1038"/>
    <cellStyle name="Comma 46 3 2 2 2" xfId="1039"/>
    <cellStyle name="Comma 46 3 2 3" xfId="1040"/>
    <cellStyle name="Comma 46 3 3" xfId="1041"/>
    <cellStyle name="Comma 46 3 3 2" xfId="1042"/>
    <cellStyle name="Comma 46 3 4" xfId="1043"/>
    <cellStyle name="Comma 46 3 4 2" xfId="1044"/>
    <cellStyle name="Comma 46 3 5" xfId="1045"/>
    <cellStyle name="Comma 46 4" xfId="1046"/>
    <cellStyle name="Comma 46 4 2" xfId="1047"/>
    <cellStyle name="Comma 46 4 2 2" xfId="1048"/>
    <cellStyle name="Comma 46 4 2 2 2" xfId="1049"/>
    <cellStyle name="Comma 46 4 2 3" xfId="1050"/>
    <cellStyle name="Comma 46 4 3" xfId="1051"/>
    <cellStyle name="Comma 46 4 3 2" xfId="1052"/>
    <cellStyle name="Comma 46 4 4" xfId="1053"/>
    <cellStyle name="Comma 46 4 4 2" xfId="1054"/>
    <cellStyle name="Comma 46 4 5" xfId="1055"/>
    <cellStyle name="Comma 46 5" xfId="1056"/>
    <cellStyle name="Comma 46 5 2" xfId="1057"/>
    <cellStyle name="Comma 46 5 2 2" xfId="1058"/>
    <cellStyle name="Comma 46 5 2 2 2" xfId="1059"/>
    <cellStyle name="Comma 46 5 2 3" xfId="1060"/>
    <cellStyle name="Comma 46 5 3" xfId="1061"/>
    <cellStyle name="Comma 46 5 3 2" xfId="1062"/>
    <cellStyle name="Comma 46 5 4" xfId="1063"/>
    <cellStyle name="Comma 46 5 4 2" xfId="1064"/>
    <cellStyle name="Comma 46 5 5" xfId="1065"/>
    <cellStyle name="Comma 46 6" xfId="1066"/>
    <cellStyle name="Comma 46 6 2" xfId="1067"/>
    <cellStyle name="Comma 46 6 2 2" xfId="1068"/>
    <cellStyle name="Comma 46 6 2 2 2" xfId="1069"/>
    <cellStyle name="Comma 46 6 2 3" xfId="1070"/>
    <cellStyle name="Comma 46 6 3" xfId="1071"/>
    <cellStyle name="Comma 46 6 3 2" xfId="1072"/>
    <cellStyle name="Comma 46 6 4" xfId="1073"/>
    <cellStyle name="Comma 46 6 4 2" xfId="1074"/>
    <cellStyle name="Comma 46 6 5" xfId="1075"/>
    <cellStyle name="Comma 46 7" xfId="1076"/>
    <cellStyle name="Comma 46 7 2" xfId="1077"/>
    <cellStyle name="Comma 46 7 2 2" xfId="1078"/>
    <cellStyle name="Comma 46 7 2 2 2" xfId="1079"/>
    <cellStyle name="Comma 46 7 2 3" xfId="1080"/>
    <cellStyle name="Comma 46 7 3" xfId="1081"/>
    <cellStyle name="Comma 46 7 3 2" xfId="1082"/>
    <cellStyle name="Comma 46 7 4" xfId="1083"/>
    <cellStyle name="Comma 46 8" xfId="1084"/>
    <cellStyle name="Comma 46 8 2" xfId="1085"/>
    <cellStyle name="Comma 46 8 2 2" xfId="1086"/>
    <cellStyle name="Comma 46 8 2 2 2" xfId="1087"/>
    <cellStyle name="Comma 46 8 2 3" xfId="1088"/>
    <cellStyle name="Comma 46 8 3" xfId="1089"/>
    <cellStyle name="Comma 46 8 3 2" xfId="1090"/>
    <cellStyle name="Comma 46 8 4" xfId="1091"/>
    <cellStyle name="Comma 46 9" xfId="1092"/>
    <cellStyle name="Comma 46 9 2" xfId="1093"/>
    <cellStyle name="Comma 46 9 2 2" xfId="1094"/>
    <cellStyle name="Comma 46 9 3" xfId="1095"/>
    <cellStyle name="Comma 47" xfId="1096"/>
    <cellStyle name="Comma 47 10" xfId="1097"/>
    <cellStyle name="Comma 47 10 2" xfId="1098"/>
    <cellStyle name="Comma 47 11" xfId="1099"/>
    <cellStyle name="Comma 47 11 2" xfId="1100"/>
    <cellStyle name="Comma 47 12" xfId="1101"/>
    <cellStyle name="Comma 47 2" xfId="1102"/>
    <cellStyle name="Comma 47 2 2" xfId="1103"/>
    <cellStyle name="Comma 47 2 2 2" xfId="1104"/>
    <cellStyle name="Comma 47 2 2 2 2" xfId="1105"/>
    <cellStyle name="Comma 47 2 2 3" xfId="1106"/>
    <cellStyle name="Comma 47 2 3" xfId="1107"/>
    <cellStyle name="Comma 47 2 3 2" xfId="1108"/>
    <cellStyle name="Comma 47 2 4" xfId="1109"/>
    <cellStyle name="Comma 47 2 4 2" xfId="1110"/>
    <cellStyle name="Comma 47 2 5" xfId="1111"/>
    <cellStyle name="Comma 47 3" xfId="1112"/>
    <cellStyle name="Comma 47 3 2" xfId="1113"/>
    <cellStyle name="Comma 47 3 2 2" xfId="1114"/>
    <cellStyle name="Comma 47 3 2 2 2" xfId="1115"/>
    <cellStyle name="Comma 47 3 2 3" xfId="1116"/>
    <cellStyle name="Comma 47 3 3" xfId="1117"/>
    <cellStyle name="Comma 47 3 3 2" xfId="1118"/>
    <cellStyle name="Comma 47 3 4" xfId="1119"/>
    <cellStyle name="Comma 47 3 4 2" xfId="1120"/>
    <cellStyle name="Comma 47 3 5" xfId="1121"/>
    <cellStyle name="Comma 47 4" xfId="1122"/>
    <cellStyle name="Comma 47 4 2" xfId="1123"/>
    <cellStyle name="Comma 47 4 2 2" xfId="1124"/>
    <cellStyle name="Comma 47 4 2 2 2" xfId="1125"/>
    <cellStyle name="Comma 47 4 2 3" xfId="1126"/>
    <cellStyle name="Comma 47 4 3" xfId="1127"/>
    <cellStyle name="Comma 47 4 3 2" xfId="1128"/>
    <cellStyle name="Comma 47 4 4" xfId="1129"/>
    <cellStyle name="Comma 47 4 4 2" xfId="1130"/>
    <cellStyle name="Comma 47 4 5" xfId="1131"/>
    <cellStyle name="Comma 47 5" xfId="1132"/>
    <cellStyle name="Comma 47 5 2" xfId="1133"/>
    <cellStyle name="Comma 47 5 2 2" xfId="1134"/>
    <cellStyle name="Comma 47 5 2 2 2" xfId="1135"/>
    <cellStyle name="Comma 47 5 2 3" xfId="1136"/>
    <cellStyle name="Comma 47 5 3" xfId="1137"/>
    <cellStyle name="Comma 47 5 3 2" xfId="1138"/>
    <cellStyle name="Comma 47 5 4" xfId="1139"/>
    <cellStyle name="Comma 47 5 4 2" xfId="1140"/>
    <cellStyle name="Comma 47 5 5" xfId="1141"/>
    <cellStyle name="Comma 47 6" xfId="1142"/>
    <cellStyle name="Comma 47 6 2" xfId="1143"/>
    <cellStyle name="Comma 47 6 2 2" xfId="1144"/>
    <cellStyle name="Comma 47 6 2 2 2" xfId="1145"/>
    <cellStyle name="Comma 47 6 2 3" xfId="1146"/>
    <cellStyle name="Comma 47 6 3" xfId="1147"/>
    <cellStyle name="Comma 47 6 3 2" xfId="1148"/>
    <cellStyle name="Comma 47 6 4" xfId="1149"/>
    <cellStyle name="Comma 47 6 4 2" xfId="1150"/>
    <cellStyle name="Comma 47 6 5" xfId="1151"/>
    <cellStyle name="Comma 47 7" xfId="1152"/>
    <cellStyle name="Comma 47 7 2" xfId="1153"/>
    <cellStyle name="Comma 47 7 2 2" xfId="1154"/>
    <cellStyle name="Comma 47 7 2 2 2" xfId="1155"/>
    <cellStyle name="Comma 47 7 2 3" xfId="1156"/>
    <cellStyle name="Comma 47 7 3" xfId="1157"/>
    <cellStyle name="Comma 47 7 3 2" xfId="1158"/>
    <cellStyle name="Comma 47 7 4" xfId="1159"/>
    <cellStyle name="Comma 47 8" xfId="1160"/>
    <cellStyle name="Comma 47 8 2" xfId="1161"/>
    <cellStyle name="Comma 47 8 2 2" xfId="1162"/>
    <cellStyle name="Comma 47 8 2 2 2" xfId="1163"/>
    <cellStyle name="Comma 47 8 2 3" xfId="1164"/>
    <cellStyle name="Comma 47 8 3" xfId="1165"/>
    <cellStyle name="Comma 47 8 3 2" xfId="1166"/>
    <cellStyle name="Comma 47 8 4" xfId="1167"/>
    <cellStyle name="Comma 47 9" xfId="1168"/>
    <cellStyle name="Comma 47 9 2" xfId="1169"/>
    <cellStyle name="Comma 47 9 2 2" xfId="1170"/>
    <cellStyle name="Comma 47 9 3" xfId="1171"/>
    <cellStyle name="Comma 48" xfId="1172"/>
    <cellStyle name="Comma 48 10" xfId="1173"/>
    <cellStyle name="Comma 48 10 2" xfId="1174"/>
    <cellStyle name="Comma 48 11" xfId="1175"/>
    <cellStyle name="Comma 48 11 2" xfId="1176"/>
    <cellStyle name="Comma 48 12" xfId="1177"/>
    <cellStyle name="Comma 48 2" xfId="1178"/>
    <cellStyle name="Comma 48 2 2" xfId="1179"/>
    <cellStyle name="Comma 48 2 2 2" xfId="1180"/>
    <cellStyle name="Comma 48 2 2 2 2" xfId="1181"/>
    <cellStyle name="Comma 48 2 2 3" xfId="1182"/>
    <cellStyle name="Comma 48 2 3" xfId="1183"/>
    <cellStyle name="Comma 48 2 3 2" xfId="1184"/>
    <cellStyle name="Comma 48 2 4" xfId="1185"/>
    <cellStyle name="Comma 48 2 4 2" xfId="1186"/>
    <cellStyle name="Comma 48 2 5" xfId="1187"/>
    <cellStyle name="Comma 48 3" xfId="1188"/>
    <cellStyle name="Comma 48 3 2" xfId="1189"/>
    <cellStyle name="Comma 48 3 2 2" xfId="1190"/>
    <cellStyle name="Comma 48 3 2 2 2" xfId="1191"/>
    <cellStyle name="Comma 48 3 2 3" xfId="1192"/>
    <cellStyle name="Comma 48 3 3" xfId="1193"/>
    <cellStyle name="Comma 48 3 3 2" xfId="1194"/>
    <cellStyle name="Comma 48 3 4" xfId="1195"/>
    <cellStyle name="Comma 48 3 4 2" xfId="1196"/>
    <cellStyle name="Comma 48 3 5" xfId="1197"/>
    <cellStyle name="Comma 48 4" xfId="1198"/>
    <cellStyle name="Comma 48 4 2" xfId="1199"/>
    <cellStyle name="Comma 48 4 2 2" xfId="1200"/>
    <cellStyle name="Comma 48 4 2 2 2" xfId="1201"/>
    <cellStyle name="Comma 48 4 2 3" xfId="1202"/>
    <cellStyle name="Comma 48 4 3" xfId="1203"/>
    <cellStyle name="Comma 48 4 3 2" xfId="1204"/>
    <cellStyle name="Comma 48 4 4" xfId="1205"/>
    <cellStyle name="Comma 48 4 4 2" xfId="1206"/>
    <cellStyle name="Comma 48 4 5" xfId="1207"/>
    <cellStyle name="Comma 48 5" xfId="1208"/>
    <cellStyle name="Comma 48 5 2" xfId="1209"/>
    <cellStyle name="Comma 48 5 2 2" xfId="1210"/>
    <cellStyle name="Comma 48 5 2 2 2" xfId="1211"/>
    <cellStyle name="Comma 48 5 2 3" xfId="1212"/>
    <cellStyle name="Comma 48 5 3" xfId="1213"/>
    <cellStyle name="Comma 48 5 3 2" xfId="1214"/>
    <cellStyle name="Comma 48 5 4" xfId="1215"/>
    <cellStyle name="Comma 48 5 4 2" xfId="1216"/>
    <cellStyle name="Comma 48 5 5" xfId="1217"/>
    <cellStyle name="Comma 48 6" xfId="1218"/>
    <cellStyle name="Comma 48 6 2" xfId="1219"/>
    <cellStyle name="Comma 48 6 2 2" xfId="1220"/>
    <cellStyle name="Comma 48 6 2 2 2" xfId="1221"/>
    <cellStyle name="Comma 48 6 2 3" xfId="1222"/>
    <cellStyle name="Comma 48 6 3" xfId="1223"/>
    <cellStyle name="Comma 48 6 3 2" xfId="1224"/>
    <cellStyle name="Comma 48 6 4" xfId="1225"/>
    <cellStyle name="Comma 48 6 4 2" xfId="1226"/>
    <cellStyle name="Comma 48 6 5" xfId="1227"/>
    <cellStyle name="Comma 48 7" xfId="1228"/>
    <cellStyle name="Comma 48 7 2" xfId="1229"/>
    <cellStyle name="Comma 48 7 2 2" xfId="1230"/>
    <cellStyle name="Comma 48 7 2 2 2" xfId="1231"/>
    <cellStyle name="Comma 48 7 2 3" xfId="1232"/>
    <cellStyle name="Comma 48 7 3" xfId="1233"/>
    <cellStyle name="Comma 48 7 3 2" xfId="1234"/>
    <cellStyle name="Comma 48 7 4" xfId="1235"/>
    <cellStyle name="Comma 48 8" xfId="1236"/>
    <cellStyle name="Comma 48 8 2" xfId="1237"/>
    <cellStyle name="Comma 48 8 2 2" xfId="1238"/>
    <cellStyle name="Comma 48 8 2 2 2" xfId="1239"/>
    <cellStyle name="Comma 48 8 2 3" xfId="1240"/>
    <cellStyle name="Comma 48 8 3" xfId="1241"/>
    <cellStyle name="Comma 48 8 3 2" xfId="1242"/>
    <cellStyle name="Comma 48 8 4" xfId="1243"/>
    <cellStyle name="Comma 48 9" xfId="1244"/>
    <cellStyle name="Comma 48 9 2" xfId="1245"/>
    <cellStyle name="Comma 48 9 2 2" xfId="1246"/>
    <cellStyle name="Comma 48 9 3" xfId="1247"/>
    <cellStyle name="Comma 49" xfId="1248"/>
    <cellStyle name="Comma 49 10" xfId="1249"/>
    <cellStyle name="Comma 49 10 2" xfId="1250"/>
    <cellStyle name="Comma 49 11" xfId="1251"/>
    <cellStyle name="Comma 49 11 2" xfId="1252"/>
    <cellStyle name="Comma 49 12" xfId="1253"/>
    <cellStyle name="Comma 49 2" xfId="1254"/>
    <cellStyle name="Comma 49 2 2" xfId="1255"/>
    <cellStyle name="Comma 49 2 2 2" xfId="1256"/>
    <cellStyle name="Comma 49 2 2 2 2" xfId="1257"/>
    <cellStyle name="Comma 49 2 2 3" xfId="1258"/>
    <cellStyle name="Comma 49 2 3" xfId="1259"/>
    <cellStyle name="Comma 49 2 3 2" xfId="1260"/>
    <cellStyle name="Comma 49 2 4" xfId="1261"/>
    <cellStyle name="Comma 49 2 4 2" xfId="1262"/>
    <cellStyle name="Comma 49 2 5" xfId="1263"/>
    <cellStyle name="Comma 49 3" xfId="1264"/>
    <cellStyle name="Comma 49 3 2" xfId="1265"/>
    <cellStyle name="Comma 49 3 2 2" xfId="1266"/>
    <cellStyle name="Comma 49 3 2 2 2" xfId="1267"/>
    <cellStyle name="Comma 49 3 2 3" xfId="1268"/>
    <cellStyle name="Comma 49 3 3" xfId="1269"/>
    <cellStyle name="Comma 49 3 3 2" xfId="1270"/>
    <cellStyle name="Comma 49 3 4" xfId="1271"/>
    <cellStyle name="Comma 49 3 4 2" xfId="1272"/>
    <cellStyle name="Comma 49 3 5" xfId="1273"/>
    <cellStyle name="Comma 49 4" xfId="1274"/>
    <cellStyle name="Comma 49 4 2" xfId="1275"/>
    <cellStyle name="Comma 49 4 2 2" xfId="1276"/>
    <cellStyle name="Comma 49 4 2 2 2" xfId="1277"/>
    <cellStyle name="Comma 49 4 2 3" xfId="1278"/>
    <cellStyle name="Comma 49 4 3" xfId="1279"/>
    <cellStyle name="Comma 49 4 3 2" xfId="1280"/>
    <cellStyle name="Comma 49 4 4" xfId="1281"/>
    <cellStyle name="Comma 49 4 4 2" xfId="1282"/>
    <cellStyle name="Comma 49 4 5" xfId="1283"/>
    <cellStyle name="Comma 49 5" xfId="1284"/>
    <cellStyle name="Comma 49 5 2" xfId="1285"/>
    <cellStyle name="Comma 49 5 2 2" xfId="1286"/>
    <cellStyle name="Comma 49 5 2 2 2" xfId="1287"/>
    <cellStyle name="Comma 49 5 2 3" xfId="1288"/>
    <cellStyle name="Comma 49 5 3" xfId="1289"/>
    <cellStyle name="Comma 49 5 3 2" xfId="1290"/>
    <cellStyle name="Comma 49 5 4" xfId="1291"/>
    <cellStyle name="Comma 49 5 4 2" xfId="1292"/>
    <cellStyle name="Comma 49 5 5" xfId="1293"/>
    <cellStyle name="Comma 49 6" xfId="1294"/>
    <cellStyle name="Comma 49 6 2" xfId="1295"/>
    <cellStyle name="Comma 49 6 2 2" xfId="1296"/>
    <cellStyle name="Comma 49 6 2 2 2" xfId="1297"/>
    <cellStyle name="Comma 49 6 2 3" xfId="1298"/>
    <cellStyle name="Comma 49 6 3" xfId="1299"/>
    <cellStyle name="Comma 49 6 3 2" xfId="1300"/>
    <cellStyle name="Comma 49 6 4" xfId="1301"/>
    <cellStyle name="Comma 49 6 4 2" xfId="1302"/>
    <cellStyle name="Comma 49 6 5" xfId="1303"/>
    <cellStyle name="Comma 49 7" xfId="1304"/>
    <cellStyle name="Comma 49 7 2" xfId="1305"/>
    <cellStyle name="Comma 49 7 2 2" xfId="1306"/>
    <cellStyle name="Comma 49 7 2 2 2" xfId="1307"/>
    <cellStyle name="Comma 49 7 2 3" xfId="1308"/>
    <cellStyle name="Comma 49 7 3" xfId="1309"/>
    <cellStyle name="Comma 49 7 3 2" xfId="1310"/>
    <cellStyle name="Comma 49 7 4" xfId="1311"/>
    <cellStyle name="Comma 49 8" xfId="1312"/>
    <cellStyle name="Comma 49 8 2" xfId="1313"/>
    <cellStyle name="Comma 49 8 2 2" xfId="1314"/>
    <cellStyle name="Comma 49 8 2 2 2" xfId="1315"/>
    <cellStyle name="Comma 49 8 2 3" xfId="1316"/>
    <cellStyle name="Comma 49 8 3" xfId="1317"/>
    <cellStyle name="Comma 49 8 3 2" xfId="1318"/>
    <cellStyle name="Comma 49 8 4" xfId="1319"/>
    <cellStyle name="Comma 49 9" xfId="1320"/>
    <cellStyle name="Comma 49 9 2" xfId="1321"/>
    <cellStyle name="Comma 49 9 2 2" xfId="1322"/>
    <cellStyle name="Comma 49 9 3" xfId="1323"/>
    <cellStyle name="Comma 5" xfId="28"/>
    <cellStyle name="Comma 5 10" xfId="4645"/>
    <cellStyle name="Comma 5 10 2" xfId="7749"/>
    <cellStyle name="Comma 5 10 2 2" xfId="13942"/>
    <cellStyle name="Comma 5 10 2 2 2" xfId="33620"/>
    <cellStyle name="Comma 5 10 2 3" xfId="20094"/>
    <cellStyle name="Comma 5 10 2 3 2" xfId="39772"/>
    <cellStyle name="Comma 5 10 2 4" xfId="27456"/>
    <cellStyle name="Comma 5 10 2 5" xfId="22438"/>
    <cellStyle name="Comma 5 10 3" xfId="10876"/>
    <cellStyle name="Comma 5 10 3 2" xfId="30554"/>
    <cellStyle name="Comma 5 10 4" xfId="17028"/>
    <cellStyle name="Comma 5 10 4 2" xfId="36706"/>
    <cellStyle name="Comma 5 10 5" xfId="24390"/>
    <cellStyle name="Comma 5 10 6" xfId="41622"/>
    <cellStyle name="Comma 5 10 7" xfId="21957"/>
    <cellStyle name="Comma 5 11" xfId="6214"/>
    <cellStyle name="Comma 5 11 2" xfId="12408"/>
    <cellStyle name="Comma 5 11 2 2" xfId="32086"/>
    <cellStyle name="Comma 5 11 2 3" xfId="22441"/>
    <cellStyle name="Comma 5 11 3" xfId="18560"/>
    <cellStyle name="Comma 5 11 3 2" xfId="38238"/>
    <cellStyle name="Comma 5 11 4" xfId="25922"/>
    <cellStyle name="Comma 5 11 5" xfId="41625"/>
    <cellStyle name="Comma 5 11 6" xfId="21967"/>
    <cellStyle name="Comma 5 12" xfId="9342"/>
    <cellStyle name="Comma 5 12 2" xfId="22444"/>
    <cellStyle name="Comma 5 12 3" xfId="29020"/>
    <cellStyle name="Comma 5 12 4" xfId="41628"/>
    <cellStyle name="Comma 5 12 5" xfId="21974"/>
    <cellStyle name="Comma 5 13" xfId="15494"/>
    <cellStyle name="Comma 5 13 2" xfId="22447"/>
    <cellStyle name="Comma 5 13 3" xfId="35172"/>
    <cellStyle name="Comma 5 13 4" xfId="41631"/>
    <cellStyle name="Comma 5 13 5" xfId="21977"/>
    <cellStyle name="Comma 5 14" xfId="337"/>
    <cellStyle name="Comma 5 14 2" xfId="22450"/>
    <cellStyle name="Comma 5 14 3" xfId="22736"/>
    <cellStyle name="Comma 5 14 4" xfId="41634"/>
    <cellStyle name="Comma 5 14 5" xfId="21980"/>
    <cellStyle name="Comma 5 15" xfId="22040"/>
    <cellStyle name="Comma 5 15 2" xfId="22466"/>
    <cellStyle name="Comma 5 15 3" xfId="41506"/>
    <cellStyle name="Comma 5 15 4" xfId="41650"/>
    <cellStyle name="Comma 5 16" xfId="22070"/>
    <cellStyle name="Comma 5 16 2" xfId="22482"/>
    <cellStyle name="Comma 5 16 3" xfId="41443"/>
    <cellStyle name="Comma 5 16 4" xfId="41666"/>
    <cellStyle name="Comma 5 17" xfId="22097"/>
    <cellStyle name="Comma 5 17 2" xfId="22498"/>
    <cellStyle name="Comma 5 17 3" xfId="41361"/>
    <cellStyle name="Comma 5 17 4" xfId="41682"/>
    <cellStyle name="Comma 5 18" xfId="22123"/>
    <cellStyle name="Comma 5 18 2" xfId="22514"/>
    <cellStyle name="Comma 5 18 3" xfId="41551"/>
    <cellStyle name="Comma 5 18 4" xfId="41698"/>
    <cellStyle name="Comma 5 19" xfId="22148"/>
    <cellStyle name="Comma 5 19 2" xfId="22530"/>
    <cellStyle name="Comma 5 19 3" xfId="41412"/>
    <cellStyle name="Comma 5 19 4" xfId="41714"/>
    <cellStyle name="Comma 5 2" xfId="107"/>
    <cellStyle name="Comma 5 2 10" xfId="15500"/>
    <cellStyle name="Comma 5 2 10 2" xfId="35178"/>
    <cellStyle name="Comma 5 2 11" xfId="352"/>
    <cellStyle name="Comma 5 2 11 2" xfId="22743"/>
    <cellStyle name="Comma 5 2 12" xfId="41598"/>
    <cellStyle name="Comma 5 2 13" xfId="21848"/>
    <cellStyle name="Comma 5 2 2" xfId="371"/>
    <cellStyle name="Comma 5 2 2 10" xfId="22414"/>
    <cellStyle name="Comma 5 2 2 2" xfId="3788"/>
    <cellStyle name="Comma 5 2 2 2 2" xfId="4564"/>
    <cellStyle name="Comma 5 2 2 2 2 2" xfId="6189"/>
    <cellStyle name="Comma 5 2 2 2 2 2 2" xfId="9275"/>
    <cellStyle name="Comma 5 2 2 2 2 2 2 2" xfId="15468"/>
    <cellStyle name="Comma 5 2 2 2 2 2 2 2 2" xfId="35146"/>
    <cellStyle name="Comma 5 2 2 2 2 2 2 3" xfId="21620"/>
    <cellStyle name="Comma 5 2 2 2 2 2 2 3 2" xfId="41298"/>
    <cellStyle name="Comma 5 2 2 2 2 2 2 4" xfId="28982"/>
    <cellStyle name="Comma 5 2 2 2 2 2 3" xfId="12402"/>
    <cellStyle name="Comma 5 2 2 2 2 2 3 2" xfId="32080"/>
    <cellStyle name="Comma 5 2 2 2 2 2 4" xfId="18554"/>
    <cellStyle name="Comma 5 2 2 2 2 2 4 2" xfId="38232"/>
    <cellStyle name="Comma 5 2 2 2 2 2 5" xfId="25916"/>
    <cellStyle name="Comma 5 2 2 2 2 3" xfId="7740"/>
    <cellStyle name="Comma 5 2 2 2 2 3 2" xfId="13934"/>
    <cellStyle name="Comma 5 2 2 2 2 3 2 2" xfId="33612"/>
    <cellStyle name="Comma 5 2 2 2 2 3 3" xfId="20086"/>
    <cellStyle name="Comma 5 2 2 2 2 3 3 2" xfId="39764"/>
    <cellStyle name="Comma 5 2 2 2 2 3 4" xfId="27448"/>
    <cellStyle name="Comma 5 2 2 2 2 4" xfId="10868"/>
    <cellStyle name="Comma 5 2 2 2 2 4 2" xfId="30546"/>
    <cellStyle name="Comma 5 2 2 2 2 5" xfId="17020"/>
    <cellStyle name="Comma 5 2 2 2 2 5 2" xfId="36698"/>
    <cellStyle name="Comma 5 2 2 2 2 6" xfId="24382"/>
    <cellStyle name="Comma 5 2 2 2 3" xfId="5420"/>
    <cellStyle name="Comma 5 2 2 2 3 2" xfId="8506"/>
    <cellStyle name="Comma 5 2 2 2 3 2 2" xfId="14699"/>
    <cellStyle name="Comma 5 2 2 2 3 2 2 2" xfId="34377"/>
    <cellStyle name="Comma 5 2 2 2 3 2 3" xfId="20851"/>
    <cellStyle name="Comma 5 2 2 2 3 2 3 2" xfId="40529"/>
    <cellStyle name="Comma 5 2 2 2 3 2 4" xfId="28213"/>
    <cellStyle name="Comma 5 2 2 2 3 3" xfId="11633"/>
    <cellStyle name="Comma 5 2 2 2 3 3 2" xfId="31311"/>
    <cellStyle name="Comma 5 2 2 2 3 4" xfId="17785"/>
    <cellStyle name="Comma 5 2 2 2 3 4 2" xfId="37463"/>
    <cellStyle name="Comma 5 2 2 2 3 5" xfId="25147"/>
    <cellStyle name="Comma 5 2 2 2 4" xfId="6971"/>
    <cellStyle name="Comma 5 2 2 2 4 2" xfId="13165"/>
    <cellStyle name="Comma 5 2 2 2 4 2 2" xfId="32843"/>
    <cellStyle name="Comma 5 2 2 2 4 3" xfId="19317"/>
    <cellStyle name="Comma 5 2 2 2 4 3 2" xfId="38995"/>
    <cellStyle name="Comma 5 2 2 2 4 4" xfId="26679"/>
    <cellStyle name="Comma 5 2 2 2 5" xfId="10099"/>
    <cellStyle name="Comma 5 2 2 2 5 2" xfId="29777"/>
    <cellStyle name="Comma 5 2 2 2 6" xfId="16251"/>
    <cellStyle name="Comma 5 2 2 2 6 2" xfId="35929"/>
    <cellStyle name="Comma 5 2 2 2 7" xfId="23613"/>
    <cellStyle name="Comma 5 2 2 3" xfId="1326"/>
    <cellStyle name="Comma 5 2 2 4" xfId="3824"/>
    <cellStyle name="Comma 5 2 2 4 2" xfId="5449"/>
    <cellStyle name="Comma 5 2 2 4 2 2" xfId="8535"/>
    <cellStyle name="Comma 5 2 2 4 2 2 2" xfId="14728"/>
    <cellStyle name="Comma 5 2 2 4 2 2 2 2" xfId="34406"/>
    <cellStyle name="Comma 5 2 2 4 2 2 3" xfId="20880"/>
    <cellStyle name="Comma 5 2 2 4 2 2 3 2" xfId="40558"/>
    <cellStyle name="Comma 5 2 2 4 2 2 4" xfId="28242"/>
    <cellStyle name="Comma 5 2 2 4 2 3" xfId="11662"/>
    <cellStyle name="Comma 5 2 2 4 2 3 2" xfId="31340"/>
    <cellStyle name="Comma 5 2 2 4 2 4" xfId="17814"/>
    <cellStyle name="Comma 5 2 2 4 2 4 2" xfId="37492"/>
    <cellStyle name="Comma 5 2 2 4 2 5" xfId="25176"/>
    <cellStyle name="Comma 5 2 2 4 3" xfId="7000"/>
    <cellStyle name="Comma 5 2 2 4 3 2" xfId="13194"/>
    <cellStyle name="Comma 5 2 2 4 3 2 2" xfId="32872"/>
    <cellStyle name="Comma 5 2 2 4 3 3" xfId="19346"/>
    <cellStyle name="Comma 5 2 2 4 3 3 2" xfId="39024"/>
    <cellStyle name="Comma 5 2 2 4 3 4" xfId="26708"/>
    <cellStyle name="Comma 5 2 2 4 4" xfId="10128"/>
    <cellStyle name="Comma 5 2 2 4 4 2" xfId="29806"/>
    <cellStyle name="Comma 5 2 2 4 5" xfId="16280"/>
    <cellStyle name="Comma 5 2 2 4 5 2" xfId="35958"/>
    <cellStyle name="Comma 5 2 2 4 6" xfId="23642"/>
    <cellStyle name="Comma 5 2 2 5" xfId="4663"/>
    <cellStyle name="Comma 5 2 2 5 2" xfId="7766"/>
    <cellStyle name="Comma 5 2 2 5 2 2" xfId="13959"/>
    <cellStyle name="Comma 5 2 2 5 2 2 2" xfId="33637"/>
    <cellStyle name="Comma 5 2 2 5 2 3" xfId="20111"/>
    <cellStyle name="Comma 5 2 2 5 2 3 2" xfId="39789"/>
    <cellStyle name="Comma 5 2 2 5 2 4" xfId="27473"/>
    <cellStyle name="Comma 5 2 2 5 3" xfId="10893"/>
    <cellStyle name="Comma 5 2 2 5 3 2" xfId="30571"/>
    <cellStyle name="Comma 5 2 2 5 4" xfId="17045"/>
    <cellStyle name="Comma 5 2 2 5 4 2" xfId="36723"/>
    <cellStyle name="Comma 5 2 2 5 5" xfId="24407"/>
    <cellStyle name="Comma 5 2 2 6" xfId="6231"/>
    <cellStyle name="Comma 5 2 2 6 2" xfId="12425"/>
    <cellStyle name="Comma 5 2 2 6 2 2" xfId="32103"/>
    <cellStyle name="Comma 5 2 2 6 3" xfId="18577"/>
    <cellStyle name="Comma 5 2 2 6 3 2" xfId="38255"/>
    <cellStyle name="Comma 5 2 2 6 4" xfId="25939"/>
    <cellStyle name="Comma 5 2 2 7" xfId="9359"/>
    <cellStyle name="Comma 5 2 2 7 2" xfId="29037"/>
    <cellStyle name="Comma 5 2 2 8" xfId="15511"/>
    <cellStyle name="Comma 5 2 2 8 2" xfId="35189"/>
    <cellStyle name="Comma 5 2 2 9" xfId="22754"/>
    <cellStyle name="Comma 5 2 3" xfId="1327"/>
    <cellStyle name="Comma 5 2 4" xfId="3771"/>
    <cellStyle name="Comma 5 2 4 2" xfId="4555"/>
    <cellStyle name="Comma 5 2 4 2 2" xfId="6180"/>
    <cellStyle name="Comma 5 2 4 2 2 2" xfId="9266"/>
    <cellStyle name="Comma 5 2 4 2 2 2 2" xfId="15459"/>
    <cellStyle name="Comma 5 2 4 2 2 2 2 2" xfId="35137"/>
    <cellStyle name="Comma 5 2 4 2 2 2 3" xfId="21611"/>
    <cellStyle name="Comma 5 2 4 2 2 2 3 2" xfId="41289"/>
    <cellStyle name="Comma 5 2 4 2 2 2 4" xfId="28973"/>
    <cellStyle name="Comma 5 2 4 2 2 3" xfId="12393"/>
    <cellStyle name="Comma 5 2 4 2 2 3 2" xfId="32071"/>
    <cellStyle name="Comma 5 2 4 2 2 4" xfId="18545"/>
    <cellStyle name="Comma 5 2 4 2 2 4 2" xfId="38223"/>
    <cellStyle name="Comma 5 2 4 2 2 5" xfId="25907"/>
    <cellStyle name="Comma 5 2 4 2 3" xfId="7731"/>
    <cellStyle name="Comma 5 2 4 2 3 2" xfId="13925"/>
    <cellStyle name="Comma 5 2 4 2 3 2 2" xfId="33603"/>
    <cellStyle name="Comma 5 2 4 2 3 3" xfId="20077"/>
    <cellStyle name="Comma 5 2 4 2 3 3 2" xfId="39755"/>
    <cellStyle name="Comma 5 2 4 2 3 4" xfId="27439"/>
    <cellStyle name="Comma 5 2 4 2 4" xfId="10859"/>
    <cellStyle name="Comma 5 2 4 2 4 2" xfId="30537"/>
    <cellStyle name="Comma 5 2 4 2 5" xfId="17011"/>
    <cellStyle name="Comma 5 2 4 2 5 2" xfId="36689"/>
    <cellStyle name="Comma 5 2 4 2 6" xfId="24373"/>
    <cellStyle name="Comma 5 2 4 3" xfId="5411"/>
    <cellStyle name="Comma 5 2 4 3 2" xfId="8497"/>
    <cellStyle name="Comma 5 2 4 3 2 2" xfId="14690"/>
    <cellStyle name="Comma 5 2 4 3 2 2 2" xfId="34368"/>
    <cellStyle name="Comma 5 2 4 3 2 3" xfId="20842"/>
    <cellStyle name="Comma 5 2 4 3 2 3 2" xfId="40520"/>
    <cellStyle name="Comma 5 2 4 3 2 4" xfId="28204"/>
    <cellStyle name="Comma 5 2 4 3 3" xfId="11624"/>
    <cellStyle name="Comma 5 2 4 3 3 2" xfId="31302"/>
    <cellStyle name="Comma 5 2 4 3 4" xfId="17776"/>
    <cellStyle name="Comma 5 2 4 3 4 2" xfId="37454"/>
    <cellStyle name="Comma 5 2 4 3 5" xfId="25138"/>
    <cellStyle name="Comma 5 2 4 4" xfId="6962"/>
    <cellStyle name="Comma 5 2 4 4 2" xfId="13156"/>
    <cellStyle name="Comma 5 2 4 4 2 2" xfId="32834"/>
    <cellStyle name="Comma 5 2 4 4 3" xfId="19308"/>
    <cellStyle name="Comma 5 2 4 4 3 2" xfId="38986"/>
    <cellStyle name="Comma 5 2 4 4 4" xfId="26670"/>
    <cellStyle name="Comma 5 2 4 5" xfId="10090"/>
    <cellStyle name="Comma 5 2 4 5 2" xfId="29768"/>
    <cellStyle name="Comma 5 2 4 6" xfId="16242"/>
    <cellStyle name="Comma 5 2 4 6 2" xfId="35920"/>
    <cellStyle name="Comma 5 2 4 7" xfId="23604"/>
    <cellStyle name="Comma 5 2 5" xfId="1325"/>
    <cellStyle name="Comma 5 2 6" xfId="3813"/>
    <cellStyle name="Comma 5 2 6 2" xfId="5438"/>
    <cellStyle name="Comma 5 2 6 2 2" xfId="8524"/>
    <cellStyle name="Comma 5 2 6 2 2 2" xfId="14717"/>
    <cellStyle name="Comma 5 2 6 2 2 2 2" xfId="34395"/>
    <cellStyle name="Comma 5 2 6 2 2 3" xfId="20869"/>
    <cellStyle name="Comma 5 2 6 2 2 3 2" xfId="40547"/>
    <cellStyle name="Comma 5 2 6 2 2 4" xfId="28231"/>
    <cellStyle name="Comma 5 2 6 2 3" xfId="11651"/>
    <cellStyle name="Comma 5 2 6 2 3 2" xfId="31329"/>
    <cellStyle name="Comma 5 2 6 2 4" xfId="17803"/>
    <cellStyle name="Comma 5 2 6 2 4 2" xfId="37481"/>
    <cellStyle name="Comma 5 2 6 2 5" xfId="25165"/>
    <cellStyle name="Comma 5 2 6 3" xfId="6989"/>
    <cellStyle name="Comma 5 2 6 3 2" xfId="13183"/>
    <cellStyle name="Comma 5 2 6 3 2 2" xfId="32861"/>
    <cellStyle name="Comma 5 2 6 3 3" xfId="19335"/>
    <cellStyle name="Comma 5 2 6 3 3 2" xfId="39013"/>
    <cellStyle name="Comma 5 2 6 3 4" xfId="26697"/>
    <cellStyle name="Comma 5 2 6 4" xfId="10117"/>
    <cellStyle name="Comma 5 2 6 4 2" xfId="29795"/>
    <cellStyle name="Comma 5 2 6 5" xfId="16269"/>
    <cellStyle name="Comma 5 2 6 5 2" xfId="35947"/>
    <cellStyle name="Comma 5 2 6 6" xfId="23631"/>
    <cellStyle name="Comma 5 2 7" xfId="4651"/>
    <cellStyle name="Comma 5 2 7 2" xfId="7755"/>
    <cellStyle name="Comma 5 2 7 2 2" xfId="13948"/>
    <cellStyle name="Comma 5 2 7 2 2 2" xfId="33626"/>
    <cellStyle name="Comma 5 2 7 2 3" xfId="20100"/>
    <cellStyle name="Comma 5 2 7 2 3 2" xfId="39778"/>
    <cellStyle name="Comma 5 2 7 2 4" xfId="27462"/>
    <cellStyle name="Comma 5 2 7 3" xfId="10882"/>
    <cellStyle name="Comma 5 2 7 3 2" xfId="30560"/>
    <cellStyle name="Comma 5 2 7 4" xfId="17034"/>
    <cellStyle name="Comma 5 2 7 4 2" xfId="36712"/>
    <cellStyle name="Comma 5 2 7 5" xfId="24396"/>
    <cellStyle name="Comma 5 2 8" xfId="6220"/>
    <cellStyle name="Comma 5 2 8 2" xfId="12414"/>
    <cellStyle name="Comma 5 2 8 2 2" xfId="32092"/>
    <cellStyle name="Comma 5 2 8 3" xfId="18566"/>
    <cellStyle name="Comma 5 2 8 3 2" xfId="38244"/>
    <cellStyle name="Comma 5 2 8 4" xfId="25928"/>
    <cellStyle name="Comma 5 2 9" xfId="9348"/>
    <cellStyle name="Comma 5 2 9 2" xfId="29026"/>
    <cellStyle name="Comma 5 20" xfId="22170"/>
    <cellStyle name="Comma 5 20 2" xfId="22546"/>
    <cellStyle name="Comma 5 20 3" xfId="41523"/>
    <cellStyle name="Comma 5 20 4" xfId="41730"/>
    <cellStyle name="Comma 5 21" xfId="22195"/>
    <cellStyle name="Comma 5 21 2" xfId="22562"/>
    <cellStyle name="Comma 5 21 3" xfId="41508"/>
    <cellStyle name="Comma 5 21 4" xfId="41746"/>
    <cellStyle name="Comma 5 22" xfId="22235"/>
    <cellStyle name="Comma 5 22 2" xfId="22578"/>
    <cellStyle name="Comma 5 22 3" xfId="41474"/>
    <cellStyle name="Comma 5 22 4" xfId="41762"/>
    <cellStyle name="Comma 5 23" xfId="22263"/>
    <cellStyle name="Comma 5 23 2" xfId="22594"/>
    <cellStyle name="Comma 5 23 3" xfId="41475"/>
    <cellStyle name="Comma 5 23 4" xfId="41778"/>
    <cellStyle name="Comma 5 24" xfId="22289"/>
    <cellStyle name="Comma 5 24 2" xfId="22610"/>
    <cellStyle name="Comma 5 24 3" xfId="41422"/>
    <cellStyle name="Comma 5 24 4" xfId="41794"/>
    <cellStyle name="Comma 5 25" xfId="22313"/>
    <cellStyle name="Comma 5 25 2" xfId="22626"/>
    <cellStyle name="Comma 5 25 3" xfId="41447"/>
    <cellStyle name="Comma 5 25 4" xfId="41810"/>
    <cellStyle name="Comma 5 26" xfId="22336"/>
    <cellStyle name="Comma 5 26 2" xfId="22642"/>
    <cellStyle name="Comma 5 26 3" xfId="41535"/>
    <cellStyle name="Comma 5 26 4" xfId="41826"/>
    <cellStyle name="Comma 5 27" xfId="22352"/>
    <cellStyle name="Comma 5 27 2" xfId="22658"/>
    <cellStyle name="Comma 5 27 3" xfId="41439"/>
    <cellStyle name="Comma 5 27 4" xfId="41842"/>
    <cellStyle name="Comma 5 28" xfId="22368"/>
    <cellStyle name="Comma 5 28 2" xfId="22674"/>
    <cellStyle name="Comma 5 28 3" xfId="41374"/>
    <cellStyle name="Comma 5 28 4" xfId="41858"/>
    <cellStyle name="Comma 5 29" xfId="22393"/>
    <cellStyle name="Comma 5 3" xfId="365"/>
    <cellStyle name="Comma 5 3 10" xfId="41601"/>
    <cellStyle name="Comma 5 3 11" xfId="21871"/>
    <cellStyle name="Comma 5 3 2" xfId="3783"/>
    <cellStyle name="Comma 5 3 2 2" xfId="4559"/>
    <cellStyle name="Comma 5 3 2 2 2" xfId="6184"/>
    <cellStyle name="Comma 5 3 2 2 2 2" xfId="9270"/>
    <cellStyle name="Comma 5 3 2 2 2 2 2" xfId="15463"/>
    <cellStyle name="Comma 5 3 2 2 2 2 2 2" xfId="35141"/>
    <cellStyle name="Comma 5 3 2 2 2 2 3" xfId="21615"/>
    <cellStyle name="Comma 5 3 2 2 2 2 3 2" xfId="41293"/>
    <cellStyle name="Comma 5 3 2 2 2 2 4" xfId="28977"/>
    <cellStyle name="Comma 5 3 2 2 2 3" xfId="12397"/>
    <cellStyle name="Comma 5 3 2 2 2 3 2" xfId="32075"/>
    <cellStyle name="Comma 5 3 2 2 2 4" xfId="18549"/>
    <cellStyle name="Comma 5 3 2 2 2 4 2" xfId="38227"/>
    <cellStyle name="Comma 5 3 2 2 2 5" xfId="25911"/>
    <cellStyle name="Comma 5 3 2 2 3" xfId="7735"/>
    <cellStyle name="Comma 5 3 2 2 3 2" xfId="13929"/>
    <cellStyle name="Comma 5 3 2 2 3 2 2" xfId="33607"/>
    <cellStyle name="Comma 5 3 2 2 3 3" xfId="20081"/>
    <cellStyle name="Comma 5 3 2 2 3 3 2" xfId="39759"/>
    <cellStyle name="Comma 5 3 2 2 3 4" xfId="27443"/>
    <cellStyle name="Comma 5 3 2 2 4" xfId="10863"/>
    <cellStyle name="Comma 5 3 2 2 4 2" xfId="30541"/>
    <cellStyle name="Comma 5 3 2 2 5" xfId="17015"/>
    <cellStyle name="Comma 5 3 2 2 5 2" xfId="36693"/>
    <cellStyle name="Comma 5 3 2 2 6" xfId="24377"/>
    <cellStyle name="Comma 5 3 2 3" xfId="5415"/>
    <cellStyle name="Comma 5 3 2 3 2" xfId="8501"/>
    <cellStyle name="Comma 5 3 2 3 2 2" xfId="14694"/>
    <cellStyle name="Comma 5 3 2 3 2 2 2" xfId="34372"/>
    <cellStyle name="Comma 5 3 2 3 2 3" xfId="20846"/>
    <cellStyle name="Comma 5 3 2 3 2 3 2" xfId="40524"/>
    <cellStyle name="Comma 5 3 2 3 2 4" xfId="28208"/>
    <cellStyle name="Comma 5 3 2 3 3" xfId="11628"/>
    <cellStyle name="Comma 5 3 2 3 3 2" xfId="31306"/>
    <cellStyle name="Comma 5 3 2 3 4" xfId="17780"/>
    <cellStyle name="Comma 5 3 2 3 4 2" xfId="37458"/>
    <cellStyle name="Comma 5 3 2 3 5" xfId="25142"/>
    <cellStyle name="Comma 5 3 2 4" xfId="6966"/>
    <cellStyle name="Comma 5 3 2 4 2" xfId="13160"/>
    <cellStyle name="Comma 5 3 2 4 2 2" xfId="32838"/>
    <cellStyle name="Comma 5 3 2 4 3" xfId="19312"/>
    <cellStyle name="Comma 5 3 2 4 3 2" xfId="38990"/>
    <cellStyle name="Comma 5 3 2 4 4" xfId="26674"/>
    <cellStyle name="Comma 5 3 2 5" xfId="10094"/>
    <cellStyle name="Comma 5 3 2 5 2" xfId="29772"/>
    <cellStyle name="Comma 5 3 2 6" xfId="16246"/>
    <cellStyle name="Comma 5 3 2 6 2" xfId="35924"/>
    <cellStyle name="Comma 5 3 2 7" xfId="23608"/>
    <cellStyle name="Comma 5 3 2 8" xfId="22417"/>
    <cellStyle name="Comma 5 3 3" xfId="1328"/>
    <cellStyle name="Comma 5 3 4" xfId="3818"/>
    <cellStyle name="Comma 5 3 4 2" xfId="5443"/>
    <cellStyle name="Comma 5 3 4 2 2" xfId="8529"/>
    <cellStyle name="Comma 5 3 4 2 2 2" xfId="14722"/>
    <cellStyle name="Comma 5 3 4 2 2 2 2" xfId="34400"/>
    <cellStyle name="Comma 5 3 4 2 2 3" xfId="20874"/>
    <cellStyle name="Comma 5 3 4 2 2 3 2" xfId="40552"/>
    <cellStyle name="Comma 5 3 4 2 2 4" xfId="28236"/>
    <cellStyle name="Comma 5 3 4 2 3" xfId="11656"/>
    <cellStyle name="Comma 5 3 4 2 3 2" xfId="31334"/>
    <cellStyle name="Comma 5 3 4 2 4" xfId="17808"/>
    <cellStyle name="Comma 5 3 4 2 4 2" xfId="37486"/>
    <cellStyle name="Comma 5 3 4 2 5" xfId="25170"/>
    <cellStyle name="Comma 5 3 4 3" xfId="6994"/>
    <cellStyle name="Comma 5 3 4 3 2" xfId="13188"/>
    <cellStyle name="Comma 5 3 4 3 2 2" xfId="32866"/>
    <cellStyle name="Comma 5 3 4 3 3" xfId="19340"/>
    <cellStyle name="Comma 5 3 4 3 3 2" xfId="39018"/>
    <cellStyle name="Comma 5 3 4 3 4" xfId="26702"/>
    <cellStyle name="Comma 5 3 4 4" xfId="10122"/>
    <cellStyle name="Comma 5 3 4 4 2" xfId="29800"/>
    <cellStyle name="Comma 5 3 4 5" xfId="16274"/>
    <cellStyle name="Comma 5 3 4 5 2" xfId="35952"/>
    <cellStyle name="Comma 5 3 4 6" xfId="23636"/>
    <cellStyle name="Comma 5 3 5" xfId="4657"/>
    <cellStyle name="Comma 5 3 5 2" xfId="7760"/>
    <cellStyle name="Comma 5 3 5 2 2" xfId="13953"/>
    <cellStyle name="Comma 5 3 5 2 2 2" xfId="33631"/>
    <cellStyle name="Comma 5 3 5 2 3" xfId="20105"/>
    <cellStyle name="Comma 5 3 5 2 3 2" xfId="39783"/>
    <cellStyle name="Comma 5 3 5 2 4" xfId="27467"/>
    <cellStyle name="Comma 5 3 5 3" xfId="10887"/>
    <cellStyle name="Comma 5 3 5 3 2" xfId="30565"/>
    <cellStyle name="Comma 5 3 5 4" xfId="17039"/>
    <cellStyle name="Comma 5 3 5 4 2" xfId="36717"/>
    <cellStyle name="Comma 5 3 5 5" xfId="24401"/>
    <cellStyle name="Comma 5 3 6" xfId="6225"/>
    <cellStyle name="Comma 5 3 6 2" xfId="12419"/>
    <cellStyle name="Comma 5 3 6 2 2" xfId="32097"/>
    <cellStyle name="Comma 5 3 6 3" xfId="18571"/>
    <cellStyle name="Comma 5 3 6 3 2" xfId="38249"/>
    <cellStyle name="Comma 5 3 6 4" xfId="25933"/>
    <cellStyle name="Comma 5 3 7" xfId="9353"/>
    <cellStyle name="Comma 5 3 7 2" xfId="29031"/>
    <cellStyle name="Comma 5 3 8" xfId="15505"/>
    <cellStyle name="Comma 5 3 8 2" xfId="35183"/>
    <cellStyle name="Comma 5 3 9" xfId="22748"/>
    <cellStyle name="Comma 5 30" xfId="22687"/>
    <cellStyle name="Comma 5 31" xfId="41577"/>
    <cellStyle name="Comma 5 32" xfId="21777"/>
    <cellStyle name="Comma 5 4" xfId="1329"/>
    <cellStyle name="Comma 5 4 2" xfId="22420"/>
    <cellStyle name="Comma 5 4 3" xfId="22915"/>
    <cellStyle name="Comma 5 4 4" xfId="41349"/>
    <cellStyle name="Comma 5 4 5" xfId="41604"/>
    <cellStyle name="Comma 5 4 6" xfId="21882"/>
    <cellStyle name="Comma 5 5" xfId="1330"/>
    <cellStyle name="Comma 5 5 2" xfId="1331"/>
    <cellStyle name="Comma 5 5 2 2" xfId="22917"/>
    <cellStyle name="Comma 5 5 2 3" xfId="22423"/>
    <cellStyle name="Comma 5 5 3" xfId="1332"/>
    <cellStyle name="Comma 5 5 4" xfId="22916"/>
    <cellStyle name="Comma 5 5 5" xfId="41394"/>
    <cellStyle name="Comma 5 5 6" xfId="41607"/>
    <cellStyle name="Comma 5 5 7" xfId="21896"/>
    <cellStyle name="Comma 5 6" xfId="1333"/>
    <cellStyle name="Comma 5 6 2" xfId="22426"/>
    <cellStyle name="Comma 5 6 3" xfId="22918"/>
    <cellStyle name="Comma 5 6 4" xfId="41552"/>
    <cellStyle name="Comma 5 6 5" xfId="41610"/>
    <cellStyle name="Comma 5 6 6" xfId="21910"/>
    <cellStyle name="Comma 5 7" xfId="3763"/>
    <cellStyle name="Comma 5 7 2" xfId="4551"/>
    <cellStyle name="Comma 5 7 2 2" xfId="6176"/>
    <cellStyle name="Comma 5 7 2 2 2" xfId="9262"/>
    <cellStyle name="Comma 5 7 2 2 2 2" xfId="15455"/>
    <cellStyle name="Comma 5 7 2 2 2 2 2" xfId="35133"/>
    <cellStyle name="Comma 5 7 2 2 2 3" xfId="21607"/>
    <cellStyle name="Comma 5 7 2 2 2 3 2" xfId="41285"/>
    <cellStyle name="Comma 5 7 2 2 2 4" xfId="28969"/>
    <cellStyle name="Comma 5 7 2 2 3" xfId="12389"/>
    <cellStyle name="Comma 5 7 2 2 3 2" xfId="32067"/>
    <cellStyle name="Comma 5 7 2 2 4" xfId="18541"/>
    <cellStyle name="Comma 5 7 2 2 4 2" xfId="38219"/>
    <cellStyle name="Comma 5 7 2 2 5" xfId="25903"/>
    <cellStyle name="Comma 5 7 2 3" xfId="7727"/>
    <cellStyle name="Comma 5 7 2 3 2" xfId="13921"/>
    <cellStyle name="Comma 5 7 2 3 2 2" xfId="33599"/>
    <cellStyle name="Comma 5 7 2 3 3" xfId="20073"/>
    <cellStyle name="Comma 5 7 2 3 3 2" xfId="39751"/>
    <cellStyle name="Comma 5 7 2 3 4" xfId="27435"/>
    <cellStyle name="Comma 5 7 2 4" xfId="10855"/>
    <cellStyle name="Comma 5 7 2 4 2" xfId="30533"/>
    <cellStyle name="Comma 5 7 2 5" xfId="17007"/>
    <cellStyle name="Comma 5 7 2 5 2" xfId="36685"/>
    <cellStyle name="Comma 5 7 2 6" xfId="24369"/>
    <cellStyle name="Comma 5 7 2 7" xfId="22429"/>
    <cellStyle name="Comma 5 7 3" xfId="5407"/>
    <cellStyle name="Comma 5 7 3 2" xfId="8493"/>
    <cellStyle name="Comma 5 7 3 2 2" xfId="14686"/>
    <cellStyle name="Comma 5 7 3 2 2 2" xfId="34364"/>
    <cellStyle name="Comma 5 7 3 2 3" xfId="20838"/>
    <cellStyle name="Comma 5 7 3 2 3 2" xfId="40516"/>
    <cellStyle name="Comma 5 7 3 2 4" xfId="28200"/>
    <cellStyle name="Comma 5 7 3 3" xfId="11620"/>
    <cellStyle name="Comma 5 7 3 3 2" xfId="31298"/>
    <cellStyle name="Comma 5 7 3 4" xfId="17772"/>
    <cellStyle name="Comma 5 7 3 4 2" xfId="37450"/>
    <cellStyle name="Comma 5 7 3 5" xfId="25134"/>
    <cellStyle name="Comma 5 7 4" xfId="6958"/>
    <cellStyle name="Comma 5 7 4 2" xfId="13152"/>
    <cellStyle name="Comma 5 7 4 2 2" xfId="32830"/>
    <cellStyle name="Comma 5 7 4 3" xfId="19304"/>
    <cellStyle name="Comma 5 7 4 3 2" xfId="38982"/>
    <cellStyle name="Comma 5 7 4 4" xfId="26666"/>
    <cellStyle name="Comma 5 7 5" xfId="10086"/>
    <cellStyle name="Comma 5 7 5 2" xfId="29764"/>
    <cellStyle name="Comma 5 7 6" xfId="16238"/>
    <cellStyle name="Comma 5 7 6 2" xfId="35916"/>
    <cellStyle name="Comma 5 7 7" xfId="23600"/>
    <cellStyle name="Comma 5 7 8" xfId="41613"/>
    <cellStyle name="Comma 5 7 9" xfId="21923"/>
    <cellStyle name="Comma 5 8" xfId="1324"/>
    <cellStyle name="Comma 5 8 2" xfId="22432"/>
    <cellStyle name="Comma 5 8 3" xfId="22914"/>
    <cellStyle name="Comma 5 8 4" xfId="41456"/>
    <cellStyle name="Comma 5 8 5" xfId="41616"/>
    <cellStyle name="Comma 5 8 6" xfId="21935"/>
    <cellStyle name="Comma 5 9" xfId="3807"/>
    <cellStyle name="Comma 5 9 2" xfId="5432"/>
    <cellStyle name="Comma 5 9 2 2" xfId="8518"/>
    <cellStyle name="Comma 5 9 2 2 2" xfId="14711"/>
    <cellStyle name="Comma 5 9 2 2 2 2" xfId="34389"/>
    <cellStyle name="Comma 5 9 2 2 3" xfId="20863"/>
    <cellStyle name="Comma 5 9 2 2 3 2" xfId="40541"/>
    <cellStyle name="Comma 5 9 2 2 4" xfId="28225"/>
    <cellStyle name="Comma 5 9 2 3" xfId="11645"/>
    <cellStyle name="Comma 5 9 2 3 2" xfId="31323"/>
    <cellStyle name="Comma 5 9 2 4" xfId="17797"/>
    <cellStyle name="Comma 5 9 2 4 2" xfId="37475"/>
    <cellStyle name="Comma 5 9 2 5" xfId="25159"/>
    <cellStyle name="Comma 5 9 2 6" xfId="22435"/>
    <cellStyle name="Comma 5 9 3" xfId="6983"/>
    <cellStyle name="Comma 5 9 3 2" xfId="13177"/>
    <cellStyle name="Comma 5 9 3 2 2" xfId="32855"/>
    <cellStyle name="Comma 5 9 3 3" xfId="19329"/>
    <cellStyle name="Comma 5 9 3 3 2" xfId="39007"/>
    <cellStyle name="Comma 5 9 3 4" xfId="26691"/>
    <cellStyle name="Comma 5 9 4" xfId="10111"/>
    <cellStyle name="Comma 5 9 4 2" xfId="29789"/>
    <cellStyle name="Comma 5 9 5" xfId="16263"/>
    <cellStyle name="Comma 5 9 5 2" xfId="35941"/>
    <cellStyle name="Comma 5 9 6" xfId="23625"/>
    <cellStyle name="Comma 5 9 7" xfId="41619"/>
    <cellStyle name="Comma 5 9 8" xfId="21946"/>
    <cellStyle name="Comma 50" xfId="1334"/>
    <cellStyle name="Comma 50 10" xfId="1335"/>
    <cellStyle name="Comma 50 10 2" xfId="1336"/>
    <cellStyle name="Comma 50 11" xfId="1337"/>
    <cellStyle name="Comma 50 11 2" xfId="1338"/>
    <cellStyle name="Comma 50 12" xfId="1339"/>
    <cellStyle name="Comma 50 2" xfId="1340"/>
    <cellStyle name="Comma 50 2 2" xfId="1341"/>
    <cellStyle name="Comma 50 2 2 2" xfId="1342"/>
    <cellStyle name="Comma 50 2 2 2 2" xfId="1343"/>
    <cellStyle name="Comma 50 2 2 3" xfId="1344"/>
    <cellStyle name="Comma 50 2 3" xfId="1345"/>
    <cellStyle name="Comma 50 2 3 2" xfId="1346"/>
    <cellStyle name="Comma 50 2 4" xfId="1347"/>
    <cellStyle name="Comma 50 2 4 2" xfId="1348"/>
    <cellStyle name="Comma 50 2 5" xfId="1349"/>
    <cellStyle name="Comma 50 3" xfId="1350"/>
    <cellStyle name="Comma 50 3 2" xfId="1351"/>
    <cellStyle name="Comma 50 3 2 2" xfId="1352"/>
    <cellStyle name="Comma 50 3 2 2 2" xfId="1353"/>
    <cellStyle name="Comma 50 3 2 3" xfId="1354"/>
    <cellStyle name="Comma 50 3 3" xfId="1355"/>
    <cellStyle name="Comma 50 3 3 2" xfId="1356"/>
    <cellStyle name="Comma 50 3 4" xfId="1357"/>
    <cellStyle name="Comma 50 3 4 2" xfId="1358"/>
    <cellStyle name="Comma 50 3 5" xfId="1359"/>
    <cellStyle name="Comma 50 4" xfId="1360"/>
    <cellStyle name="Comma 50 4 2" xfId="1361"/>
    <cellStyle name="Comma 50 4 2 2" xfId="1362"/>
    <cellStyle name="Comma 50 4 2 2 2" xfId="1363"/>
    <cellStyle name="Comma 50 4 2 3" xfId="1364"/>
    <cellStyle name="Comma 50 4 3" xfId="1365"/>
    <cellStyle name="Comma 50 4 3 2" xfId="1366"/>
    <cellStyle name="Comma 50 4 4" xfId="1367"/>
    <cellStyle name="Comma 50 4 4 2" xfId="1368"/>
    <cellStyle name="Comma 50 4 5" xfId="1369"/>
    <cellStyle name="Comma 50 5" xfId="1370"/>
    <cellStyle name="Comma 50 5 2" xfId="1371"/>
    <cellStyle name="Comma 50 5 2 2" xfId="1372"/>
    <cellStyle name="Comma 50 5 2 2 2" xfId="1373"/>
    <cellStyle name="Comma 50 5 2 3" xfId="1374"/>
    <cellStyle name="Comma 50 5 3" xfId="1375"/>
    <cellStyle name="Comma 50 5 3 2" xfId="1376"/>
    <cellStyle name="Comma 50 5 4" xfId="1377"/>
    <cellStyle name="Comma 50 5 4 2" xfId="1378"/>
    <cellStyle name="Comma 50 5 5" xfId="1379"/>
    <cellStyle name="Comma 50 6" xfId="1380"/>
    <cellStyle name="Comma 50 6 2" xfId="1381"/>
    <cellStyle name="Comma 50 6 2 2" xfId="1382"/>
    <cellStyle name="Comma 50 6 2 2 2" xfId="1383"/>
    <cellStyle name="Comma 50 6 2 3" xfId="1384"/>
    <cellStyle name="Comma 50 6 3" xfId="1385"/>
    <cellStyle name="Comma 50 6 3 2" xfId="1386"/>
    <cellStyle name="Comma 50 6 4" xfId="1387"/>
    <cellStyle name="Comma 50 6 4 2" xfId="1388"/>
    <cellStyle name="Comma 50 6 5" xfId="1389"/>
    <cellStyle name="Comma 50 7" xfId="1390"/>
    <cellStyle name="Comma 50 7 2" xfId="1391"/>
    <cellStyle name="Comma 50 7 2 2" xfId="1392"/>
    <cellStyle name="Comma 50 7 2 2 2" xfId="1393"/>
    <cellStyle name="Comma 50 7 2 3" xfId="1394"/>
    <cellStyle name="Comma 50 7 3" xfId="1395"/>
    <cellStyle name="Comma 50 7 3 2" xfId="1396"/>
    <cellStyle name="Comma 50 7 4" xfId="1397"/>
    <cellStyle name="Comma 50 8" xfId="1398"/>
    <cellStyle name="Comma 50 8 2" xfId="1399"/>
    <cellStyle name="Comma 50 8 2 2" xfId="1400"/>
    <cellStyle name="Comma 50 8 2 2 2" xfId="1401"/>
    <cellStyle name="Comma 50 8 2 3" xfId="1402"/>
    <cellStyle name="Comma 50 8 3" xfId="1403"/>
    <cellStyle name="Comma 50 8 3 2" xfId="1404"/>
    <cellStyle name="Comma 50 8 4" xfId="1405"/>
    <cellStyle name="Comma 50 9" xfId="1406"/>
    <cellStyle name="Comma 50 9 2" xfId="1407"/>
    <cellStyle name="Comma 50 9 2 2" xfId="1408"/>
    <cellStyle name="Comma 50 9 3" xfId="1409"/>
    <cellStyle name="Comma 51" xfId="1410"/>
    <cellStyle name="Comma 51 10" xfId="1411"/>
    <cellStyle name="Comma 51 10 2" xfId="1412"/>
    <cellStyle name="Comma 51 11" xfId="1413"/>
    <cellStyle name="Comma 51 11 2" xfId="1414"/>
    <cellStyle name="Comma 51 12" xfId="1415"/>
    <cellStyle name="Comma 51 2" xfId="1416"/>
    <cellStyle name="Comma 51 2 2" xfId="1417"/>
    <cellStyle name="Comma 51 2 2 2" xfId="1418"/>
    <cellStyle name="Comma 51 2 2 2 2" xfId="1419"/>
    <cellStyle name="Comma 51 2 2 3" xfId="1420"/>
    <cellStyle name="Comma 51 2 3" xfId="1421"/>
    <cellStyle name="Comma 51 2 3 2" xfId="1422"/>
    <cellStyle name="Comma 51 2 4" xfId="1423"/>
    <cellStyle name="Comma 51 2 4 2" xfId="1424"/>
    <cellStyle name="Comma 51 2 5" xfId="1425"/>
    <cellStyle name="Comma 51 3" xfId="1426"/>
    <cellStyle name="Comma 51 3 2" xfId="1427"/>
    <cellStyle name="Comma 51 3 2 2" xfId="1428"/>
    <cellStyle name="Comma 51 3 2 2 2" xfId="1429"/>
    <cellStyle name="Comma 51 3 2 3" xfId="1430"/>
    <cellStyle name="Comma 51 3 3" xfId="1431"/>
    <cellStyle name="Comma 51 3 3 2" xfId="1432"/>
    <cellStyle name="Comma 51 3 4" xfId="1433"/>
    <cellStyle name="Comma 51 3 4 2" xfId="1434"/>
    <cellStyle name="Comma 51 3 5" xfId="1435"/>
    <cellStyle name="Comma 51 4" xfId="1436"/>
    <cellStyle name="Comma 51 4 2" xfId="1437"/>
    <cellStyle name="Comma 51 4 2 2" xfId="1438"/>
    <cellStyle name="Comma 51 4 2 2 2" xfId="1439"/>
    <cellStyle name="Comma 51 4 2 3" xfId="1440"/>
    <cellStyle name="Comma 51 4 3" xfId="1441"/>
    <cellStyle name="Comma 51 4 3 2" xfId="1442"/>
    <cellStyle name="Comma 51 4 4" xfId="1443"/>
    <cellStyle name="Comma 51 4 4 2" xfId="1444"/>
    <cellStyle name="Comma 51 4 5" xfId="1445"/>
    <cellStyle name="Comma 51 5" xfId="1446"/>
    <cellStyle name="Comma 51 5 2" xfId="1447"/>
    <cellStyle name="Comma 51 5 2 2" xfId="1448"/>
    <cellStyle name="Comma 51 5 2 2 2" xfId="1449"/>
    <cellStyle name="Comma 51 5 2 3" xfId="1450"/>
    <cellStyle name="Comma 51 5 3" xfId="1451"/>
    <cellStyle name="Comma 51 5 3 2" xfId="1452"/>
    <cellStyle name="Comma 51 5 4" xfId="1453"/>
    <cellStyle name="Comma 51 5 4 2" xfId="1454"/>
    <cellStyle name="Comma 51 5 5" xfId="1455"/>
    <cellStyle name="Comma 51 6" xfId="1456"/>
    <cellStyle name="Comma 51 6 2" xfId="1457"/>
    <cellStyle name="Comma 51 6 2 2" xfId="1458"/>
    <cellStyle name="Comma 51 6 2 2 2" xfId="1459"/>
    <cellStyle name="Comma 51 6 2 3" xfId="1460"/>
    <cellStyle name="Comma 51 6 3" xfId="1461"/>
    <cellStyle name="Comma 51 6 3 2" xfId="1462"/>
    <cellStyle name="Comma 51 6 4" xfId="1463"/>
    <cellStyle name="Comma 51 6 4 2" xfId="1464"/>
    <cellStyle name="Comma 51 6 5" xfId="1465"/>
    <cellStyle name="Comma 51 7" xfId="1466"/>
    <cellStyle name="Comma 51 7 2" xfId="1467"/>
    <cellStyle name="Comma 51 7 2 2" xfId="1468"/>
    <cellStyle name="Comma 51 7 2 2 2" xfId="1469"/>
    <cellStyle name="Comma 51 7 2 3" xfId="1470"/>
    <cellStyle name="Comma 51 7 3" xfId="1471"/>
    <cellStyle name="Comma 51 7 3 2" xfId="1472"/>
    <cellStyle name="Comma 51 7 4" xfId="1473"/>
    <cellStyle name="Comma 51 8" xfId="1474"/>
    <cellStyle name="Comma 51 8 2" xfId="1475"/>
    <cellStyle name="Comma 51 8 2 2" xfId="1476"/>
    <cellStyle name="Comma 51 8 2 2 2" xfId="1477"/>
    <cellStyle name="Comma 51 8 2 3" xfId="1478"/>
    <cellStyle name="Comma 51 8 3" xfId="1479"/>
    <cellStyle name="Comma 51 8 3 2" xfId="1480"/>
    <cellStyle name="Comma 51 8 4" xfId="1481"/>
    <cellStyle name="Comma 51 9" xfId="1482"/>
    <cellStyle name="Comma 51 9 2" xfId="1483"/>
    <cellStyle name="Comma 51 9 2 2" xfId="1484"/>
    <cellStyle name="Comma 51 9 3" xfId="1485"/>
    <cellStyle name="Comma 52" xfId="1486"/>
    <cellStyle name="Comma 52 10" xfId="1487"/>
    <cellStyle name="Comma 52 10 2" xfId="1488"/>
    <cellStyle name="Comma 52 11" xfId="1489"/>
    <cellStyle name="Comma 52 11 2" xfId="1490"/>
    <cellStyle name="Comma 52 12" xfId="1491"/>
    <cellStyle name="Comma 52 2" xfId="1492"/>
    <cellStyle name="Comma 52 2 2" xfId="1493"/>
    <cellStyle name="Comma 52 2 2 2" xfId="1494"/>
    <cellStyle name="Comma 52 2 2 2 2" xfId="1495"/>
    <cellStyle name="Comma 52 2 2 3" xfId="1496"/>
    <cellStyle name="Comma 52 2 3" xfId="1497"/>
    <cellStyle name="Comma 52 2 3 2" xfId="1498"/>
    <cellStyle name="Comma 52 2 4" xfId="1499"/>
    <cellStyle name="Comma 52 2 4 2" xfId="1500"/>
    <cellStyle name="Comma 52 2 5" xfId="1501"/>
    <cellStyle name="Comma 52 3" xfId="1502"/>
    <cellStyle name="Comma 52 3 2" xfId="1503"/>
    <cellStyle name="Comma 52 3 2 2" xfId="1504"/>
    <cellStyle name="Comma 52 3 2 2 2" xfId="1505"/>
    <cellStyle name="Comma 52 3 2 3" xfId="1506"/>
    <cellStyle name="Comma 52 3 3" xfId="1507"/>
    <cellStyle name="Comma 52 3 3 2" xfId="1508"/>
    <cellStyle name="Comma 52 3 4" xfId="1509"/>
    <cellStyle name="Comma 52 3 4 2" xfId="1510"/>
    <cellStyle name="Comma 52 3 5" xfId="1511"/>
    <cellStyle name="Comma 52 4" xfId="1512"/>
    <cellStyle name="Comma 52 4 2" xfId="1513"/>
    <cellStyle name="Comma 52 4 2 2" xfId="1514"/>
    <cellStyle name="Comma 52 4 2 2 2" xfId="1515"/>
    <cellStyle name="Comma 52 4 2 3" xfId="1516"/>
    <cellStyle name="Comma 52 4 3" xfId="1517"/>
    <cellStyle name="Comma 52 4 3 2" xfId="1518"/>
    <cellStyle name="Comma 52 4 4" xfId="1519"/>
    <cellStyle name="Comma 52 4 4 2" xfId="1520"/>
    <cellStyle name="Comma 52 4 5" xfId="1521"/>
    <cellStyle name="Comma 52 5" xfId="1522"/>
    <cellStyle name="Comma 52 5 2" xfId="1523"/>
    <cellStyle name="Comma 52 5 2 2" xfId="1524"/>
    <cellStyle name="Comma 52 5 2 2 2" xfId="1525"/>
    <cellStyle name="Comma 52 5 2 3" xfId="1526"/>
    <cellStyle name="Comma 52 5 3" xfId="1527"/>
    <cellStyle name="Comma 52 5 3 2" xfId="1528"/>
    <cellStyle name="Comma 52 5 4" xfId="1529"/>
    <cellStyle name="Comma 52 5 4 2" xfId="1530"/>
    <cellStyle name="Comma 52 5 5" xfId="1531"/>
    <cellStyle name="Comma 52 6" xfId="1532"/>
    <cellStyle name="Comma 52 6 2" xfId="1533"/>
    <cellStyle name="Comma 52 6 2 2" xfId="1534"/>
    <cellStyle name="Comma 52 6 2 2 2" xfId="1535"/>
    <cellStyle name="Comma 52 6 2 3" xfId="1536"/>
    <cellStyle name="Comma 52 6 3" xfId="1537"/>
    <cellStyle name="Comma 52 6 3 2" xfId="1538"/>
    <cellStyle name="Comma 52 6 4" xfId="1539"/>
    <cellStyle name="Comma 52 6 4 2" xfId="1540"/>
    <cellStyle name="Comma 52 6 5" xfId="1541"/>
    <cellStyle name="Comma 52 7" xfId="1542"/>
    <cellStyle name="Comma 52 7 2" xfId="1543"/>
    <cellStyle name="Comma 52 7 2 2" xfId="1544"/>
    <cellStyle name="Comma 52 7 2 2 2" xfId="1545"/>
    <cellStyle name="Comma 52 7 2 3" xfId="1546"/>
    <cellStyle name="Comma 52 7 3" xfId="1547"/>
    <cellStyle name="Comma 52 7 3 2" xfId="1548"/>
    <cellStyle name="Comma 52 7 4" xfId="1549"/>
    <cellStyle name="Comma 52 8" xfId="1550"/>
    <cellStyle name="Comma 52 8 2" xfId="1551"/>
    <cellStyle name="Comma 52 8 2 2" xfId="1552"/>
    <cellStyle name="Comma 52 8 2 2 2" xfId="1553"/>
    <cellStyle name="Comma 52 8 2 3" xfId="1554"/>
    <cellStyle name="Comma 52 8 3" xfId="1555"/>
    <cellStyle name="Comma 52 8 3 2" xfId="1556"/>
    <cellStyle name="Comma 52 8 4" xfId="1557"/>
    <cellStyle name="Comma 52 9" xfId="1558"/>
    <cellStyle name="Comma 52 9 2" xfId="1559"/>
    <cellStyle name="Comma 52 9 2 2" xfId="1560"/>
    <cellStyle name="Comma 52 9 3" xfId="1561"/>
    <cellStyle name="Comma 53" xfId="1562"/>
    <cellStyle name="Comma 53 10" xfId="1563"/>
    <cellStyle name="Comma 53 10 2" xfId="1564"/>
    <cellStyle name="Comma 53 11" xfId="1565"/>
    <cellStyle name="Comma 53 11 2" xfId="1566"/>
    <cellStyle name="Comma 53 12" xfId="1567"/>
    <cellStyle name="Comma 53 2" xfId="1568"/>
    <cellStyle name="Comma 53 2 2" xfId="1569"/>
    <cellStyle name="Comma 53 2 2 2" xfId="1570"/>
    <cellStyle name="Comma 53 2 2 2 2" xfId="1571"/>
    <cellStyle name="Comma 53 2 2 3" xfId="1572"/>
    <cellStyle name="Comma 53 2 3" xfId="1573"/>
    <cellStyle name="Comma 53 2 3 2" xfId="1574"/>
    <cellStyle name="Comma 53 2 4" xfId="1575"/>
    <cellStyle name="Comma 53 2 4 2" xfId="1576"/>
    <cellStyle name="Comma 53 2 5" xfId="1577"/>
    <cellStyle name="Comma 53 3" xfId="1578"/>
    <cellStyle name="Comma 53 3 2" xfId="1579"/>
    <cellStyle name="Comma 53 3 2 2" xfId="1580"/>
    <cellStyle name="Comma 53 3 2 2 2" xfId="1581"/>
    <cellStyle name="Comma 53 3 2 3" xfId="1582"/>
    <cellStyle name="Comma 53 3 3" xfId="1583"/>
    <cellStyle name="Comma 53 3 3 2" xfId="1584"/>
    <cellStyle name="Comma 53 3 4" xfId="1585"/>
    <cellStyle name="Comma 53 3 4 2" xfId="1586"/>
    <cellStyle name="Comma 53 3 5" xfId="1587"/>
    <cellStyle name="Comma 53 4" xfId="1588"/>
    <cellStyle name="Comma 53 4 2" xfId="1589"/>
    <cellStyle name="Comma 53 4 2 2" xfId="1590"/>
    <cellStyle name="Comma 53 4 2 2 2" xfId="1591"/>
    <cellStyle name="Comma 53 4 2 3" xfId="1592"/>
    <cellStyle name="Comma 53 4 3" xfId="1593"/>
    <cellStyle name="Comma 53 4 3 2" xfId="1594"/>
    <cellStyle name="Comma 53 4 4" xfId="1595"/>
    <cellStyle name="Comma 53 4 4 2" xfId="1596"/>
    <cellStyle name="Comma 53 4 5" xfId="1597"/>
    <cellStyle name="Comma 53 5" xfId="1598"/>
    <cellStyle name="Comma 53 5 2" xfId="1599"/>
    <cellStyle name="Comma 53 5 2 2" xfId="1600"/>
    <cellStyle name="Comma 53 5 2 2 2" xfId="1601"/>
    <cellStyle name="Comma 53 5 2 3" xfId="1602"/>
    <cellStyle name="Comma 53 5 3" xfId="1603"/>
    <cellStyle name="Comma 53 5 3 2" xfId="1604"/>
    <cellStyle name="Comma 53 5 4" xfId="1605"/>
    <cellStyle name="Comma 53 5 4 2" xfId="1606"/>
    <cellStyle name="Comma 53 5 5" xfId="1607"/>
    <cellStyle name="Comma 53 6" xfId="1608"/>
    <cellStyle name="Comma 53 6 2" xfId="1609"/>
    <cellStyle name="Comma 53 6 2 2" xfId="1610"/>
    <cellStyle name="Comma 53 6 2 2 2" xfId="1611"/>
    <cellStyle name="Comma 53 6 2 3" xfId="1612"/>
    <cellStyle name="Comma 53 6 3" xfId="1613"/>
    <cellStyle name="Comma 53 6 3 2" xfId="1614"/>
    <cellStyle name="Comma 53 6 4" xfId="1615"/>
    <cellStyle name="Comma 53 6 4 2" xfId="1616"/>
    <cellStyle name="Comma 53 6 5" xfId="1617"/>
    <cellStyle name="Comma 53 7" xfId="1618"/>
    <cellStyle name="Comma 53 7 2" xfId="1619"/>
    <cellStyle name="Comma 53 7 2 2" xfId="1620"/>
    <cellStyle name="Comma 53 7 2 2 2" xfId="1621"/>
    <cellStyle name="Comma 53 7 2 3" xfId="1622"/>
    <cellStyle name="Comma 53 7 3" xfId="1623"/>
    <cellStyle name="Comma 53 7 3 2" xfId="1624"/>
    <cellStyle name="Comma 53 7 4" xfId="1625"/>
    <cellStyle name="Comma 53 8" xfId="1626"/>
    <cellStyle name="Comma 53 8 2" xfId="1627"/>
    <cellStyle name="Comma 53 8 2 2" xfId="1628"/>
    <cellStyle name="Comma 53 8 2 2 2" xfId="1629"/>
    <cellStyle name="Comma 53 8 2 3" xfId="1630"/>
    <cellStyle name="Comma 53 8 3" xfId="1631"/>
    <cellStyle name="Comma 53 8 3 2" xfId="1632"/>
    <cellStyle name="Comma 53 8 4" xfId="1633"/>
    <cellStyle name="Comma 53 9" xfId="1634"/>
    <cellStyle name="Comma 53 9 2" xfId="1635"/>
    <cellStyle name="Comma 53 9 2 2" xfId="1636"/>
    <cellStyle name="Comma 53 9 3" xfId="1637"/>
    <cellStyle name="Comma 54" xfId="1638"/>
    <cellStyle name="Comma 54 10" xfId="1639"/>
    <cellStyle name="Comma 54 10 2" xfId="1640"/>
    <cellStyle name="Comma 54 11" xfId="1641"/>
    <cellStyle name="Comma 54 11 2" xfId="1642"/>
    <cellStyle name="Comma 54 12" xfId="1643"/>
    <cellStyle name="Comma 54 2" xfId="1644"/>
    <cellStyle name="Comma 54 2 2" xfId="1645"/>
    <cellStyle name="Comma 54 2 2 2" xfId="1646"/>
    <cellStyle name="Comma 54 2 2 2 2" xfId="1647"/>
    <cellStyle name="Comma 54 2 2 3" xfId="1648"/>
    <cellStyle name="Comma 54 2 3" xfId="1649"/>
    <cellStyle name="Comma 54 2 3 2" xfId="1650"/>
    <cellStyle name="Comma 54 2 4" xfId="1651"/>
    <cellStyle name="Comma 54 2 4 2" xfId="1652"/>
    <cellStyle name="Comma 54 2 5" xfId="1653"/>
    <cellStyle name="Comma 54 3" xfId="1654"/>
    <cellStyle name="Comma 54 3 2" xfId="1655"/>
    <cellStyle name="Comma 54 3 2 2" xfId="1656"/>
    <cellStyle name="Comma 54 3 2 2 2" xfId="1657"/>
    <cellStyle name="Comma 54 3 2 3" xfId="1658"/>
    <cellStyle name="Comma 54 3 3" xfId="1659"/>
    <cellStyle name="Comma 54 3 3 2" xfId="1660"/>
    <cellStyle name="Comma 54 3 4" xfId="1661"/>
    <cellStyle name="Comma 54 3 4 2" xfId="1662"/>
    <cellStyle name="Comma 54 3 5" xfId="1663"/>
    <cellStyle name="Comma 54 4" xfId="1664"/>
    <cellStyle name="Comma 54 4 2" xfId="1665"/>
    <cellStyle name="Comma 54 4 2 2" xfId="1666"/>
    <cellStyle name="Comma 54 4 2 2 2" xfId="1667"/>
    <cellStyle name="Comma 54 4 2 3" xfId="1668"/>
    <cellStyle name="Comma 54 4 3" xfId="1669"/>
    <cellStyle name="Comma 54 4 3 2" xfId="1670"/>
    <cellStyle name="Comma 54 4 4" xfId="1671"/>
    <cellStyle name="Comma 54 4 4 2" xfId="1672"/>
    <cellStyle name="Comma 54 4 5" xfId="1673"/>
    <cellStyle name="Comma 54 5" xfId="1674"/>
    <cellStyle name="Comma 54 5 2" xfId="1675"/>
    <cellStyle name="Comma 54 5 2 2" xfId="1676"/>
    <cellStyle name="Comma 54 5 2 2 2" xfId="1677"/>
    <cellStyle name="Comma 54 5 2 3" xfId="1678"/>
    <cellStyle name="Comma 54 5 3" xfId="1679"/>
    <cellStyle name="Comma 54 5 3 2" xfId="1680"/>
    <cellStyle name="Comma 54 5 4" xfId="1681"/>
    <cellStyle name="Comma 54 5 4 2" xfId="1682"/>
    <cellStyle name="Comma 54 5 5" xfId="1683"/>
    <cellStyle name="Comma 54 6" xfId="1684"/>
    <cellStyle name="Comma 54 6 2" xfId="1685"/>
    <cellStyle name="Comma 54 6 2 2" xfId="1686"/>
    <cellStyle name="Comma 54 6 2 2 2" xfId="1687"/>
    <cellStyle name="Comma 54 6 2 3" xfId="1688"/>
    <cellStyle name="Comma 54 6 3" xfId="1689"/>
    <cellStyle name="Comma 54 6 3 2" xfId="1690"/>
    <cellStyle name="Comma 54 6 4" xfId="1691"/>
    <cellStyle name="Comma 54 6 4 2" xfId="1692"/>
    <cellStyle name="Comma 54 6 5" xfId="1693"/>
    <cellStyle name="Comma 54 7" xfId="1694"/>
    <cellStyle name="Comma 54 7 2" xfId="1695"/>
    <cellStyle name="Comma 54 7 2 2" xfId="1696"/>
    <cellStyle name="Comma 54 7 2 2 2" xfId="1697"/>
    <cellStyle name="Comma 54 7 2 3" xfId="1698"/>
    <cellStyle name="Comma 54 7 3" xfId="1699"/>
    <cellStyle name="Comma 54 7 3 2" xfId="1700"/>
    <cellStyle name="Comma 54 7 4" xfId="1701"/>
    <cellStyle name="Comma 54 8" xfId="1702"/>
    <cellStyle name="Comma 54 8 2" xfId="1703"/>
    <cellStyle name="Comma 54 8 2 2" xfId="1704"/>
    <cellStyle name="Comma 54 8 2 2 2" xfId="1705"/>
    <cellStyle name="Comma 54 8 2 3" xfId="1706"/>
    <cellStyle name="Comma 54 8 3" xfId="1707"/>
    <cellStyle name="Comma 54 8 3 2" xfId="1708"/>
    <cellStyle name="Comma 54 8 4" xfId="1709"/>
    <cellStyle name="Comma 54 9" xfId="1710"/>
    <cellStyle name="Comma 54 9 2" xfId="1711"/>
    <cellStyle name="Comma 54 9 2 2" xfId="1712"/>
    <cellStyle name="Comma 54 9 3" xfId="1713"/>
    <cellStyle name="Comma 55" xfId="1714"/>
    <cellStyle name="Comma 55 10" xfId="1715"/>
    <cellStyle name="Comma 55 10 2" xfId="1716"/>
    <cellStyle name="Comma 55 11" xfId="1717"/>
    <cellStyle name="Comma 55 11 2" xfId="1718"/>
    <cellStyle name="Comma 55 12" xfId="1719"/>
    <cellStyle name="Comma 55 2" xfId="1720"/>
    <cellStyle name="Comma 55 2 2" xfId="1721"/>
    <cellStyle name="Comma 55 2 2 2" xfId="1722"/>
    <cellStyle name="Comma 55 2 2 2 2" xfId="1723"/>
    <cellStyle name="Comma 55 2 2 3" xfId="1724"/>
    <cellStyle name="Comma 55 2 3" xfId="1725"/>
    <cellStyle name="Comma 55 2 3 2" xfId="1726"/>
    <cellStyle name="Comma 55 2 4" xfId="1727"/>
    <cellStyle name="Comma 55 2 4 2" xfId="1728"/>
    <cellStyle name="Comma 55 2 5" xfId="1729"/>
    <cellStyle name="Comma 55 3" xfId="1730"/>
    <cellStyle name="Comma 55 3 2" xfId="1731"/>
    <cellStyle name="Comma 55 3 2 2" xfId="1732"/>
    <cellStyle name="Comma 55 3 2 2 2" xfId="1733"/>
    <cellStyle name="Comma 55 3 2 3" xfId="1734"/>
    <cellStyle name="Comma 55 3 3" xfId="1735"/>
    <cellStyle name="Comma 55 3 3 2" xfId="1736"/>
    <cellStyle name="Comma 55 3 4" xfId="1737"/>
    <cellStyle name="Comma 55 3 4 2" xfId="1738"/>
    <cellStyle name="Comma 55 3 5" xfId="1739"/>
    <cellStyle name="Comma 55 4" xfId="1740"/>
    <cellStyle name="Comma 55 4 2" xfId="1741"/>
    <cellStyle name="Comma 55 4 2 2" xfId="1742"/>
    <cellStyle name="Comma 55 4 2 2 2" xfId="1743"/>
    <cellStyle name="Comma 55 4 2 3" xfId="1744"/>
    <cellStyle name="Comma 55 4 3" xfId="1745"/>
    <cellStyle name="Comma 55 4 3 2" xfId="1746"/>
    <cellStyle name="Comma 55 4 4" xfId="1747"/>
    <cellStyle name="Comma 55 4 4 2" xfId="1748"/>
    <cellStyle name="Comma 55 4 5" xfId="1749"/>
    <cellStyle name="Comma 55 5" xfId="1750"/>
    <cellStyle name="Comma 55 5 2" xfId="1751"/>
    <cellStyle name="Comma 55 5 2 2" xfId="1752"/>
    <cellStyle name="Comma 55 5 2 2 2" xfId="1753"/>
    <cellStyle name="Comma 55 5 2 3" xfId="1754"/>
    <cellStyle name="Comma 55 5 3" xfId="1755"/>
    <cellStyle name="Comma 55 5 3 2" xfId="1756"/>
    <cellStyle name="Comma 55 5 4" xfId="1757"/>
    <cellStyle name="Comma 55 5 4 2" xfId="1758"/>
    <cellStyle name="Comma 55 5 5" xfId="1759"/>
    <cellStyle name="Comma 55 6" xfId="1760"/>
    <cellStyle name="Comma 55 6 2" xfId="1761"/>
    <cellStyle name="Comma 55 6 2 2" xfId="1762"/>
    <cellStyle name="Comma 55 6 2 2 2" xfId="1763"/>
    <cellStyle name="Comma 55 6 2 3" xfId="1764"/>
    <cellStyle name="Comma 55 6 3" xfId="1765"/>
    <cellStyle name="Comma 55 6 3 2" xfId="1766"/>
    <cellStyle name="Comma 55 6 4" xfId="1767"/>
    <cellStyle name="Comma 55 6 4 2" xfId="1768"/>
    <cellStyle name="Comma 55 6 5" xfId="1769"/>
    <cellStyle name="Comma 55 7" xfId="1770"/>
    <cellStyle name="Comma 55 7 2" xfId="1771"/>
    <cellStyle name="Comma 55 7 2 2" xfId="1772"/>
    <cellStyle name="Comma 55 7 2 2 2" xfId="1773"/>
    <cellStyle name="Comma 55 7 2 3" xfId="1774"/>
    <cellStyle name="Comma 55 7 3" xfId="1775"/>
    <cellStyle name="Comma 55 7 3 2" xfId="1776"/>
    <cellStyle name="Comma 55 7 4" xfId="1777"/>
    <cellStyle name="Comma 55 8" xfId="1778"/>
    <cellStyle name="Comma 55 8 2" xfId="1779"/>
    <cellStyle name="Comma 55 8 2 2" xfId="1780"/>
    <cellStyle name="Comma 55 8 2 2 2" xfId="1781"/>
    <cellStyle name="Comma 55 8 2 3" xfId="1782"/>
    <cellStyle name="Comma 55 8 3" xfId="1783"/>
    <cellStyle name="Comma 55 8 3 2" xfId="1784"/>
    <cellStyle name="Comma 55 8 4" xfId="1785"/>
    <cellStyle name="Comma 55 9" xfId="1786"/>
    <cellStyle name="Comma 55 9 2" xfId="1787"/>
    <cellStyle name="Comma 55 9 2 2" xfId="1788"/>
    <cellStyle name="Comma 55 9 3" xfId="1789"/>
    <cellStyle name="Comma 56" xfId="1790"/>
    <cellStyle name="Comma 56 10" xfId="1791"/>
    <cellStyle name="Comma 56 10 2" xfId="1792"/>
    <cellStyle name="Comma 56 11" xfId="1793"/>
    <cellStyle name="Comma 56 11 2" xfId="1794"/>
    <cellStyle name="Comma 56 12" xfId="1795"/>
    <cellStyle name="Comma 56 2" xfId="1796"/>
    <cellStyle name="Comma 56 2 2" xfId="1797"/>
    <cellStyle name="Comma 56 2 2 2" xfId="1798"/>
    <cellStyle name="Comma 56 2 2 2 2" xfId="1799"/>
    <cellStyle name="Comma 56 2 2 3" xfId="1800"/>
    <cellStyle name="Comma 56 2 3" xfId="1801"/>
    <cellStyle name="Comma 56 2 3 2" xfId="1802"/>
    <cellStyle name="Comma 56 2 4" xfId="1803"/>
    <cellStyle name="Comma 56 2 4 2" xfId="1804"/>
    <cellStyle name="Comma 56 2 5" xfId="1805"/>
    <cellStyle name="Comma 56 3" xfId="1806"/>
    <cellStyle name="Comma 56 3 2" xfId="1807"/>
    <cellStyle name="Comma 56 3 2 2" xfId="1808"/>
    <cellStyle name="Comma 56 3 2 2 2" xfId="1809"/>
    <cellStyle name="Comma 56 3 2 3" xfId="1810"/>
    <cellStyle name="Comma 56 3 3" xfId="1811"/>
    <cellStyle name="Comma 56 3 3 2" xfId="1812"/>
    <cellStyle name="Comma 56 3 4" xfId="1813"/>
    <cellStyle name="Comma 56 3 4 2" xfId="1814"/>
    <cellStyle name="Comma 56 3 5" xfId="1815"/>
    <cellStyle name="Comma 56 4" xfId="1816"/>
    <cellStyle name="Comma 56 4 2" xfId="1817"/>
    <cellStyle name="Comma 56 4 2 2" xfId="1818"/>
    <cellStyle name="Comma 56 4 2 2 2" xfId="1819"/>
    <cellStyle name="Comma 56 4 2 3" xfId="1820"/>
    <cellStyle name="Comma 56 4 3" xfId="1821"/>
    <cellStyle name="Comma 56 4 3 2" xfId="1822"/>
    <cellStyle name="Comma 56 4 4" xfId="1823"/>
    <cellStyle name="Comma 56 4 4 2" xfId="1824"/>
    <cellStyle name="Comma 56 4 5" xfId="1825"/>
    <cellStyle name="Comma 56 5" xfId="1826"/>
    <cellStyle name="Comma 56 5 2" xfId="1827"/>
    <cellStyle name="Comma 56 5 2 2" xfId="1828"/>
    <cellStyle name="Comma 56 5 2 2 2" xfId="1829"/>
    <cellStyle name="Comma 56 5 2 3" xfId="1830"/>
    <cellStyle name="Comma 56 5 3" xfId="1831"/>
    <cellStyle name="Comma 56 5 3 2" xfId="1832"/>
    <cellStyle name="Comma 56 5 4" xfId="1833"/>
    <cellStyle name="Comma 56 5 4 2" xfId="1834"/>
    <cellStyle name="Comma 56 5 5" xfId="1835"/>
    <cellStyle name="Comma 56 6" xfId="1836"/>
    <cellStyle name="Comma 56 6 2" xfId="1837"/>
    <cellStyle name="Comma 56 6 2 2" xfId="1838"/>
    <cellStyle name="Comma 56 6 2 2 2" xfId="1839"/>
    <cellStyle name="Comma 56 6 2 3" xfId="1840"/>
    <cellStyle name="Comma 56 6 3" xfId="1841"/>
    <cellStyle name="Comma 56 6 3 2" xfId="1842"/>
    <cellStyle name="Comma 56 6 4" xfId="1843"/>
    <cellStyle name="Comma 56 6 4 2" xfId="1844"/>
    <cellStyle name="Comma 56 6 5" xfId="1845"/>
    <cellStyle name="Comma 56 7" xfId="1846"/>
    <cellStyle name="Comma 56 7 2" xfId="1847"/>
    <cellStyle name="Comma 56 7 2 2" xfId="1848"/>
    <cellStyle name="Comma 56 7 2 2 2" xfId="1849"/>
    <cellStyle name="Comma 56 7 2 3" xfId="1850"/>
    <cellStyle name="Comma 56 7 3" xfId="1851"/>
    <cellStyle name="Comma 56 7 3 2" xfId="1852"/>
    <cellStyle name="Comma 56 7 4" xfId="1853"/>
    <cellStyle name="Comma 56 8" xfId="1854"/>
    <cellStyle name="Comma 56 8 2" xfId="1855"/>
    <cellStyle name="Comma 56 8 2 2" xfId="1856"/>
    <cellStyle name="Comma 56 8 2 2 2" xfId="1857"/>
    <cellStyle name="Comma 56 8 2 3" xfId="1858"/>
    <cellStyle name="Comma 56 8 3" xfId="1859"/>
    <cellStyle name="Comma 56 8 3 2" xfId="1860"/>
    <cellStyle name="Comma 56 8 4" xfId="1861"/>
    <cellStyle name="Comma 56 9" xfId="1862"/>
    <cellStyle name="Comma 56 9 2" xfId="1863"/>
    <cellStyle name="Comma 56 9 2 2" xfId="1864"/>
    <cellStyle name="Comma 56 9 3" xfId="1865"/>
    <cellStyle name="Comma 57" xfId="1866"/>
    <cellStyle name="Comma 57 10" xfId="1867"/>
    <cellStyle name="Comma 57 10 2" xfId="1868"/>
    <cellStyle name="Comma 57 11" xfId="1869"/>
    <cellStyle name="Comma 57 11 2" xfId="1870"/>
    <cellStyle name="Comma 57 12" xfId="1871"/>
    <cellStyle name="Comma 57 2" xfId="1872"/>
    <cellStyle name="Comma 57 2 2" xfId="1873"/>
    <cellStyle name="Comma 57 2 2 2" xfId="1874"/>
    <cellStyle name="Comma 57 2 2 2 2" xfId="1875"/>
    <cellStyle name="Comma 57 2 2 3" xfId="1876"/>
    <cellStyle name="Comma 57 2 3" xfId="1877"/>
    <cellStyle name="Comma 57 2 3 2" xfId="1878"/>
    <cellStyle name="Comma 57 2 4" xfId="1879"/>
    <cellStyle name="Comma 57 2 4 2" xfId="1880"/>
    <cellStyle name="Comma 57 2 5" xfId="1881"/>
    <cellStyle name="Comma 57 3" xfId="1882"/>
    <cellStyle name="Comma 57 3 2" xfId="1883"/>
    <cellStyle name="Comma 57 3 2 2" xfId="1884"/>
    <cellStyle name="Comma 57 3 2 2 2" xfId="1885"/>
    <cellStyle name="Comma 57 3 2 3" xfId="1886"/>
    <cellStyle name="Comma 57 3 3" xfId="1887"/>
    <cellStyle name="Comma 57 3 3 2" xfId="1888"/>
    <cellStyle name="Comma 57 3 4" xfId="1889"/>
    <cellStyle name="Comma 57 3 4 2" xfId="1890"/>
    <cellStyle name="Comma 57 3 5" xfId="1891"/>
    <cellStyle name="Comma 57 4" xfId="1892"/>
    <cellStyle name="Comma 57 4 2" xfId="1893"/>
    <cellStyle name="Comma 57 4 2 2" xfId="1894"/>
    <cellStyle name="Comma 57 4 2 2 2" xfId="1895"/>
    <cellStyle name="Comma 57 4 2 3" xfId="1896"/>
    <cellStyle name="Comma 57 4 3" xfId="1897"/>
    <cellStyle name="Comma 57 4 3 2" xfId="1898"/>
    <cellStyle name="Comma 57 4 4" xfId="1899"/>
    <cellStyle name="Comma 57 4 4 2" xfId="1900"/>
    <cellStyle name="Comma 57 4 5" xfId="1901"/>
    <cellStyle name="Comma 57 5" xfId="1902"/>
    <cellStyle name="Comma 57 5 2" xfId="1903"/>
    <cellStyle name="Comma 57 5 2 2" xfId="1904"/>
    <cellStyle name="Comma 57 5 2 2 2" xfId="1905"/>
    <cellStyle name="Comma 57 5 2 3" xfId="1906"/>
    <cellStyle name="Comma 57 5 3" xfId="1907"/>
    <cellStyle name="Comma 57 5 3 2" xfId="1908"/>
    <cellStyle name="Comma 57 5 4" xfId="1909"/>
    <cellStyle name="Comma 57 5 4 2" xfId="1910"/>
    <cellStyle name="Comma 57 5 5" xfId="1911"/>
    <cellStyle name="Comma 57 6" xfId="1912"/>
    <cellStyle name="Comma 57 6 2" xfId="1913"/>
    <cellStyle name="Comma 57 6 2 2" xfId="1914"/>
    <cellStyle name="Comma 57 6 2 2 2" xfId="1915"/>
    <cellStyle name="Comma 57 6 2 3" xfId="1916"/>
    <cellStyle name="Comma 57 6 3" xfId="1917"/>
    <cellStyle name="Comma 57 6 3 2" xfId="1918"/>
    <cellStyle name="Comma 57 6 4" xfId="1919"/>
    <cellStyle name="Comma 57 6 4 2" xfId="1920"/>
    <cellStyle name="Comma 57 6 5" xfId="1921"/>
    <cellStyle name="Comma 57 7" xfId="1922"/>
    <cellStyle name="Comma 57 7 2" xfId="1923"/>
    <cellStyle name="Comma 57 7 2 2" xfId="1924"/>
    <cellStyle name="Comma 57 7 2 2 2" xfId="1925"/>
    <cellStyle name="Comma 57 7 2 3" xfId="1926"/>
    <cellStyle name="Comma 57 7 3" xfId="1927"/>
    <cellStyle name="Comma 57 7 3 2" xfId="1928"/>
    <cellStyle name="Comma 57 7 4" xfId="1929"/>
    <cellStyle name="Comma 57 8" xfId="1930"/>
    <cellStyle name="Comma 57 8 2" xfId="1931"/>
    <cellStyle name="Comma 57 8 2 2" xfId="1932"/>
    <cellStyle name="Comma 57 8 2 2 2" xfId="1933"/>
    <cellStyle name="Comma 57 8 2 3" xfId="1934"/>
    <cellStyle name="Comma 57 8 3" xfId="1935"/>
    <cellStyle name="Comma 57 8 3 2" xfId="1936"/>
    <cellStyle name="Comma 57 8 4" xfId="1937"/>
    <cellStyle name="Comma 57 9" xfId="1938"/>
    <cellStyle name="Comma 57 9 2" xfId="1939"/>
    <cellStyle name="Comma 57 9 2 2" xfId="1940"/>
    <cellStyle name="Comma 57 9 3" xfId="1941"/>
    <cellStyle name="Comma 58" xfId="1942"/>
    <cellStyle name="Comma 58 10" xfId="1943"/>
    <cellStyle name="Comma 58 10 2" xfId="1944"/>
    <cellStyle name="Comma 58 11" xfId="1945"/>
    <cellStyle name="Comma 58 11 2" xfId="1946"/>
    <cellStyle name="Comma 58 12" xfId="1947"/>
    <cellStyle name="Comma 58 2" xfId="1948"/>
    <cellStyle name="Comma 58 2 2" xfId="1949"/>
    <cellStyle name="Comma 58 2 2 2" xfId="1950"/>
    <cellStyle name="Comma 58 2 2 2 2" xfId="1951"/>
    <cellStyle name="Comma 58 2 2 3" xfId="1952"/>
    <cellStyle name="Comma 58 2 3" xfId="1953"/>
    <cellStyle name="Comma 58 2 3 2" xfId="1954"/>
    <cellStyle name="Comma 58 2 4" xfId="1955"/>
    <cellStyle name="Comma 58 2 4 2" xfId="1956"/>
    <cellStyle name="Comma 58 2 5" xfId="1957"/>
    <cellStyle name="Comma 58 3" xfId="1958"/>
    <cellStyle name="Comma 58 3 2" xfId="1959"/>
    <cellStyle name="Comma 58 3 2 2" xfId="1960"/>
    <cellStyle name="Comma 58 3 2 2 2" xfId="1961"/>
    <cellStyle name="Comma 58 3 2 3" xfId="1962"/>
    <cellStyle name="Comma 58 3 3" xfId="1963"/>
    <cellStyle name="Comma 58 3 3 2" xfId="1964"/>
    <cellStyle name="Comma 58 3 4" xfId="1965"/>
    <cellStyle name="Comma 58 3 4 2" xfId="1966"/>
    <cellStyle name="Comma 58 3 5" xfId="1967"/>
    <cellStyle name="Comma 58 4" xfId="1968"/>
    <cellStyle name="Comma 58 4 2" xfId="1969"/>
    <cellStyle name="Comma 58 4 2 2" xfId="1970"/>
    <cellStyle name="Comma 58 4 2 2 2" xfId="1971"/>
    <cellStyle name="Comma 58 4 2 3" xfId="1972"/>
    <cellStyle name="Comma 58 4 3" xfId="1973"/>
    <cellStyle name="Comma 58 4 3 2" xfId="1974"/>
    <cellStyle name="Comma 58 4 4" xfId="1975"/>
    <cellStyle name="Comma 58 4 4 2" xfId="1976"/>
    <cellStyle name="Comma 58 4 5" xfId="1977"/>
    <cellStyle name="Comma 58 5" xfId="1978"/>
    <cellStyle name="Comma 58 5 2" xfId="1979"/>
    <cellStyle name="Comma 58 5 2 2" xfId="1980"/>
    <cellStyle name="Comma 58 5 2 2 2" xfId="1981"/>
    <cellStyle name="Comma 58 5 2 3" xfId="1982"/>
    <cellStyle name="Comma 58 5 3" xfId="1983"/>
    <cellStyle name="Comma 58 5 3 2" xfId="1984"/>
    <cellStyle name="Comma 58 5 4" xfId="1985"/>
    <cellStyle name="Comma 58 5 4 2" xfId="1986"/>
    <cellStyle name="Comma 58 5 5" xfId="1987"/>
    <cellStyle name="Comma 58 6" xfId="1988"/>
    <cellStyle name="Comma 58 6 2" xfId="1989"/>
    <cellStyle name="Comma 58 6 2 2" xfId="1990"/>
    <cellStyle name="Comma 58 6 2 2 2" xfId="1991"/>
    <cellStyle name="Comma 58 6 2 3" xfId="1992"/>
    <cellStyle name="Comma 58 6 3" xfId="1993"/>
    <cellStyle name="Comma 58 6 3 2" xfId="1994"/>
    <cellStyle name="Comma 58 6 4" xfId="1995"/>
    <cellStyle name="Comma 58 6 4 2" xfId="1996"/>
    <cellStyle name="Comma 58 6 5" xfId="1997"/>
    <cellStyle name="Comma 58 7" xfId="1998"/>
    <cellStyle name="Comma 58 7 2" xfId="1999"/>
    <cellStyle name="Comma 58 7 2 2" xfId="2000"/>
    <cellStyle name="Comma 58 7 2 2 2" xfId="2001"/>
    <cellStyle name="Comma 58 7 2 3" xfId="2002"/>
    <cellStyle name="Comma 58 7 3" xfId="2003"/>
    <cellStyle name="Comma 58 7 3 2" xfId="2004"/>
    <cellStyle name="Comma 58 7 4" xfId="2005"/>
    <cellStyle name="Comma 58 8" xfId="2006"/>
    <cellStyle name="Comma 58 8 2" xfId="2007"/>
    <cellStyle name="Comma 58 8 2 2" xfId="2008"/>
    <cellStyle name="Comma 58 8 2 2 2" xfId="2009"/>
    <cellStyle name="Comma 58 8 2 3" xfId="2010"/>
    <cellStyle name="Comma 58 8 3" xfId="2011"/>
    <cellStyle name="Comma 58 8 3 2" xfId="2012"/>
    <cellStyle name="Comma 58 8 4" xfId="2013"/>
    <cellStyle name="Comma 58 9" xfId="2014"/>
    <cellStyle name="Comma 58 9 2" xfId="2015"/>
    <cellStyle name="Comma 58 9 2 2" xfId="2016"/>
    <cellStyle name="Comma 58 9 3" xfId="2017"/>
    <cellStyle name="Comma 59" xfId="2018"/>
    <cellStyle name="Comma 6" xfId="19"/>
    <cellStyle name="Comma 6 10" xfId="9328"/>
    <cellStyle name="Comma 6 10 2" xfId="15490"/>
    <cellStyle name="Comma 6 10 2 2" xfId="35168"/>
    <cellStyle name="Comma 6 10 3" xfId="21642"/>
    <cellStyle name="Comma 6 10 3 2" xfId="41320"/>
    <cellStyle name="Comma 6 10 4" xfId="29015"/>
    <cellStyle name="Comma 6 11" xfId="9344"/>
    <cellStyle name="Comma 6 11 2" xfId="29022"/>
    <cellStyle name="Comma 6 12" xfId="15496"/>
    <cellStyle name="Comma 6 12 2" xfId="35174"/>
    <cellStyle name="Comma 6 13" xfId="340"/>
    <cellStyle name="Comma 6 13 2" xfId="22738"/>
    <cellStyle name="Comma 6 14" xfId="22691"/>
    <cellStyle name="Comma 6 15" xfId="41578"/>
    <cellStyle name="Comma 6 16" xfId="21780"/>
    <cellStyle name="Comma 6 2" xfId="104"/>
    <cellStyle name="Comma 6 2 10" xfId="15502"/>
    <cellStyle name="Comma 6 2 10 2" xfId="35180"/>
    <cellStyle name="Comma 6 2 11" xfId="354"/>
    <cellStyle name="Comma 6 2 11 2" xfId="22745"/>
    <cellStyle name="Comma 6 2 12" xfId="22394"/>
    <cellStyle name="Comma 6 2 2" xfId="373"/>
    <cellStyle name="Comma 6 2 2 2" xfId="3790"/>
    <cellStyle name="Comma 6 2 2 2 2" xfId="4566"/>
    <cellStyle name="Comma 6 2 2 2 2 2" xfId="6191"/>
    <cellStyle name="Comma 6 2 2 2 2 2 2" xfId="9277"/>
    <cellStyle name="Comma 6 2 2 2 2 2 2 2" xfId="15470"/>
    <cellStyle name="Comma 6 2 2 2 2 2 2 2 2" xfId="35148"/>
    <cellStyle name="Comma 6 2 2 2 2 2 2 3" xfId="21622"/>
    <cellStyle name="Comma 6 2 2 2 2 2 2 3 2" xfId="41300"/>
    <cellStyle name="Comma 6 2 2 2 2 2 2 4" xfId="28984"/>
    <cellStyle name="Comma 6 2 2 2 2 2 3" xfId="12404"/>
    <cellStyle name="Comma 6 2 2 2 2 2 3 2" xfId="32082"/>
    <cellStyle name="Comma 6 2 2 2 2 2 4" xfId="18556"/>
    <cellStyle name="Comma 6 2 2 2 2 2 4 2" xfId="38234"/>
    <cellStyle name="Comma 6 2 2 2 2 2 5" xfId="25918"/>
    <cellStyle name="Comma 6 2 2 2 2 3" xfId="7742"/>
    <cellStyle name="Comma 6 2 2 2 2 3 2" xfId="13936"/>
    <cellStyle name="Comma 6 2 2 2 2 3 2 2" xfId="33614"/>
    <cellStyle name="Comma 6 2 2 2 2 3 3" xfId="20088"/>
    <cellStyle name="Comma 6 2 2 2 2 3 3 2" xfId="39766"/>
    <cellStyle name="Comma 6 2 2 2 2 3 4" xfId="27450"/>
    <cellStyle name="Comma 6 2 2 2 2 4" xfId="10870"/>
    <cellStyle name="Comma 6 2 2 2 2 4 2" xfId="30548"/>
    <cellStyle name="Comma 6 2 2 2 2 5" xfId="17022"/>
    <cellStyle name="Comma 6 2 2 2 2 5 2" xfId="36700"/>
    <cellStyle name="Comma 6 2 2 2 2 6" xfId="24384"/>
    <cellStyle name="Comma 6 2 2 2 3" xfId="5422"/>
    <cellStyle name="Comma 6 2 2 2 3 2" xfId="8508"/>
    <cellStyle name="Comma 6 2 2 2 3 2 2" xfId="14701"/>
    <cellStyle name="Comma 6 2 2 2 3 2 2 2" xfId="34379"/>
    <cellStyle name="Comma 6 2 2 2 3 2 3" xfId="20853"/>
    <cellStyle name="Comma 6 2 2 2 3 2 3 2" xfId="40531"/>
    <cellStyle name="Comma 6 2 2 2 3 2 4" xfId="28215"/>
    <cellStyle name="Comma 6 2 2 2 3 3" xfId="11635"/>
    <cellStyle name="Comma 6 2 2 2 3 3 2" xfId="31313"/>
    <cellStyle name="Comma 6 2 2 2 3 4" xfId="17787"/>
    <cellStyle name="Comma 6 2 2 2 3 4 2" xfId="37465"/>
    <cellStyle name="Comma 6 2 2 2 3 5" xfId="25149"/>
    <cellStyle name="Comma 6 2 2 2 4" xfId="6973"/>
    <cellStyle name="Comma 6 2 2 2 4 2" xfId="13167"/>
    <cellStyle name="Comma 6 2 2 2 4 2 2" xfId="32845"/>
    <cellStyle name="Comma 6 2 2 2 4 3" xfId="19319"/>
    <cellStyle name="Comma 6 2 2 2 4 3 2" xfId="38997"/>
    <cellStyle name="Comma 6 2 2 2 4 4" xfId="26681"/>
    <cellStyle name="Comma 6 2 2 2 5" xfId="10101"/>
    <cellStyle name="Comma 6 2 2 2 5 2" xfId="29779"/>
    <cellStyle name="Comma 6 2 2 2 6" xfId="16253"/>
    <cellStyle name="Comma 6 2 2 2 6 2" xfId="35931"/>
    <cellStyle name="Comma 6 2 2 2 7" xfId="23615"/>
    <cellStyle name="Comma 6 2 2 3" xfId="3826"/>
    <cellStyle name="Comma 6 2 2 3 2" xfId="5451"/>
    <cellStyle name="Comma 6 2 2 3 2 2" xfId="8537"/>
    <cellStyle name="Comma 6 2 2 3 2 2 2" xfId="14730"/>
    <cellStyle name="Comma 6 2 2 3 2 2 2 2" xfId="34408"/>
    <cellStyle name="Comma 6 2 2 3 2 2 3" xfId="20882"/>
    <cellStyle name="Comma 6 2 2 3 2 2 3 2" xfId="40560"/>
    <cellStyle name="Comma 6 2 2 3 2 2 4" xfId="28244"/>
    <cellStyle name="Comma 6 2 2 3 2 3" xfId="11664"/>
    <cellStyle name="Comma 6 2 2 3 2 3 2" xfId="31342"/>
    <cellStyle name="Comma 6 2 2 3 2 4" xfId="17816"/>
    <cellStyle name="Comma 6 2 2 3 2 4 2" xfId="37494"/>
    <cellStyle name="Comma 6 2 2 3 2 5" xfId="25178"/>
    <cellStyle name="Comma 6 2 2 3 3" xfId="7002"/>
    <cellStyle name="Comma 6 2 2 3 3 2" xfId="13196"/>
    <cellStyle name="Comma 6 2 2 3 3 2 2" xfId="32874"/>
    <cellStyle name="Comma 6 2 2 3 3 3" xfId="19348"/>
    <cellStyle name="Comma 6 2 2 3 3 3 2" xfId="39026"/>
    <cellStyle name="Comma 6 2 2 3 3 4" xfId="26710"/>
    <cellStyle name="Comma 6 2 2 3 4" xfId="10130"/>
    <cellStyle name="Comma 6 2 2 3 4 2" xfId="29808"/>
    <cellStyle name="Comma 6 2 2 3 5" xfId="16282"/>
    <cellStyle name="Comma 6 2 2 3 5 2" xfId="35960"/>
    <cellStyle name="Comma 6 2 2 3 6" xfId="23644"/>
    <cellStyle name="Comma 6 2 2 4" xfId="4665"/>
    <cellStyle name="Comma 6 2 2 4 2" xfId="7768"/>
    <cellStyle name="Comma 6 2 2 4 2 2" xfId="13961"/>
    <cellStyle name="Comma 6 2 2 4 2 2 2" xfId="33639"/>
    <cellStyle name="Comma 6 2 2 4 2 3" xfId="20113"/>
    <cellStyle name="Comma 6 2 2 4 2 3 2" xfId="39791"/>
    <cellStyle name="Comma 6 2 2 4 2 4" xfId="27475"/>
    <cellStyle name="Comma 6 2 2 4 3" xfId="10895"/>
    <cellStyle name="Comma 6 2 2 4 3 2" xfId="30573"/>
    <cellStyle name="Comma 6 2 2 4 4" xfId="17047"/>
    <cellStyle name="Comma 6 2 2 4 4 2" xfId="36725"/>
    <cellStyle name="Comma 6 2 2 4 5" xfId="24409"/>
    <cellStyle name="Comma 6 2 2 5" xfId="6233"/>
    <cellStyle name="Comma 6 2 2 5 2" xfId="12427"/>
    <cellStyle name="Comma 6 2 2 5 2 2" xfId="32105"/>
    <cellStyle name="Comma 6 2 2 5 3" xfId="18579"/>
    <cellStyle name="Comma 6 2 2 5 3 2" xfId="38257"/>
    <cellStyle name="Comma 6 2 2 5 4" xfId="25941"/>
    <cellStyle name="Comma 6 2 2 6" xfId="9361"/>
    <cellStyle name="Comma 6 2 2 6 2" xfId="29039"/>
    <cellStyle name="Comma 6 2 2 7" xfId="15513"/>
    <cellStyle name="Comma 6 2 2 7 2" xfId="35191"/>
    <cellStyle name="Comma 6 2 2 8" xfId="22756"/>
    <cellStyle name="Comma 6 2 3" xfId="3773"/>
    <cellStyle name="Comma 6 2 3 2" xfId="4557"/>
    <cellStyle name="Comma 6 2 3 2 2" xfId="6182"/>
    <cellStyle name="Comma 6 2 3 2 2 2" xfId="9268"/>
    <cellStyle name="Comma 6 2 3 2 2 2 2" xfId="15461"/>
    <cellStyle name="Comma 6 2 3 2 2 2 2 2" xfId="35139"/>
    <cellStyle name="Comma 6 2 3 2 2 2 3" xfId="21613"/>
    <cellStyle name="Comma 6 2 3 2 2 2 3 2" xfId="41291"/>
    <cellStyle name="Comma 6 2 3 2 2 2 4" xfId="28975"/>
    <cellStyle name="Comma 6 2 3 2 2 3" xfId="12395"/>
    <cellStyle name="Comma 6 2 3 2 2 3 2" xfId="32073"/>
    <cellStyle name="Comma 6 2 3 2 2 4" xfId="18547"/>
    <cellStyle name="Comma 6 2 3 2 2 4 2" xfId="38225"/>
    <cellStyle name="Comma 6 2 3 2 2 5" xfId="25909"/>
    <cellStyle name="Comma 6 2 3 2 3" xfId="7733"/>
    <cellStyle name="Comma 6 2 3 2 3 2" xfId="13927"/>
    <cellStyle name="Comma 6 2 3 2 3 2 2" xfId="33605"/>
    <cellStyle name="Comma 6 2 3 2 3 3" xfId="20079"/>
    <cellStyle name="Comma 6 2 3 2 3 3 2" xfId="39757"/>
    <cellStyle name="Comma 6 2 3 2 3 4" xfId="27441"/>
    <cellStyle name="Comma 6 2 3 2 4" xfId="10861"/>
    <cellStyle name="Comma 6 2 3 2 4 2" xfId="30539"/>
    <cellStyle name="Comma 6 2 3 2 5" xfId="17013"/>
    <cellStyle name="Comma 6 2 3 2 5 2" xfId="36691"/>
    <cellStyle name="Comma 6 2 3 2 6" xfId="24375"/>
    <cellStyle name="Comma 6 2 3 3" xfId="5413"/>
    <cellStyle name="Comma 6 2 3 3 2" xfId="8499"/>
    <cellStyle name="Comma 6 2 3 3 2 2" xfId="14692"/>
    <cellStyle name="Comma 6 2 3 3 2 2 2" xfId="34370"/>
    <cellStyle name="Comma 6 2 3 3 2 3" xfId="20844"/>
    <cellStyle name="Comma 6 2 3 3 2 3 2" xfId="40522"/>
    <cellStyle name="Comma 6 2 3 3 2 4" xfId="28206"/>
    <cellStyle name="Comma 6 2 3 3 3" xfId="11626"/>
    <cellStyle name="Comma 6 2 3 3 3 2" xfId="31304"/>
    <cellStyle name="Comma 6 2 3 3 4" xfId="17778"/>
    <cellStyle name="Comma 6 2 3 3 4 2" xfId="37456"/>
    <cellStyle name="Comma 6 2 3 3 5" xfId="25140"/>
    <cellStyle name="Comma 6 2 3 4" xfId="6964"/>
    <cellStyle name="Comma 6 2 3 4 2" xfId="13158"/>
    <cellStyle name="Comma 6 2 3 4 2 2" xfId="32836"/>
    <cellStyle name="Comma 6 2 3 4 3" xfId="19310"/>
    <cellStyle name="Comma 6 2 3 4 3 2" xfId="38988"/>
    <cellStyle name="Comma 6 2 3 4 4" xfId="26672"/>
    <cellStyle name="Comma 6 2 3 5" xfId="10092"/>
    <cellStyle name="Comma 6 2 3 5 2" xfId="29770"/>
    <cellStyle name="Comma 6 2 3 6" xfId="16244"/>
    <cellStyle name="Comma 6 2 3 6 2" xfId="35922"/>
    <cellStyle name="Comma 6 2 3 7" xfId="23606"/>
    <cellStyle name="Comma 6 2 4" xfId="2020"/>
    <cellStyle name="Comma 6 2 5" xfId="3815"/>
    <cellStyle name="Comma 6 2 5 2" xfId="5440"/>
    <cellStyle name="Comma 6 2 5 2 2" xfId="8526"/>
    <cellStyle name="Comma 6 2 5 2 2 2" xfId="14719"/>
    <cellStyle name="Comma 6 2 5 2 2 2 2" xfId="34397"/>
    <cellStyle name="Comma 6 2 5 2 2 3" xfId="20871"/>
    <cellStyle name="Comma 6 2 5 2 2 3 2" xfId="40549"/>
    <cellStyle name="Comma 6 2 5 2 2 4" xfId="28233"/>
    <cellStyle name="Comma 6 2 5 2 3" xfId="11653"/>
    <cellStyle name="Comma 6 2 5 2 3 2" xfId="31331"/>
    <cellStyle name="Comma 6 2 5 2 4" xfId="17805"/>
    <cellStyle name="Comma 6 2 5 2 4 2" xfId="37483"/>
    <cellStyle name="Comma 6 2 5 2 5" xfId="25167"/>
    <cellStyle name="Comma 6 2 5 3" xfId="6991"/>
    <cellStyle name="Comma 6 2 5 3 2" xfId="13185"/>
    <cellStyle name="Comma 6 2 5 3 2 2" xfId="32863"/>
    <cellStyle name="Comma 6 2 5 3 3" xfId="19337"/>
    <cellStyle name="Comma 6 2 5 3 3 2" xfId="39015"/>
    <cellStyle name="Comma 6 2 5 3 4" xfId="26699"/>
    <cellStyle name="Comma 6 2 5 4" xfId="10119"/>
    <cellStyle name="Comma 6 2 5 4 2" xfId="29797"/>
    <cellStyle name="Comma 6 2 5 5" xfId="16271"/>
    <cellStyle name="Comma 6 2 5 5 2" xfId="35949"/>
    <cellStyle name="Comma 6 2 5 6" xfId="23633"/>
    <cellStyle name="Comma 6 2 6" xfId="4653"/>
    <cellStyle name="Comma 6 2 6 2" xfId="7757"/>
    <cellStyle name="Comma 6 2 6 2 2" xfId="13950"/>
    <cellStyle name="Comma 6 2 6 2 2 2" xfId="33628"/>
    <cellStyle name="Comma 6 2 6 2 3" xfId="20102"/>
    <cellStyle name="Comma 6 2 6 2 3 2" xfId="39780"/>
    <cellStyle name="Comma 6 2 6 2 4" xfId="27464"/>
    <cellStyle name="Comma 6 2 6 3" xfId="10884"/>
    <cellStyle name="Comma 6 2 6 3 2" xfId="30562"/>
    <cellStyle name="Comma 6 2 6 4" xfId="17036"/>
    <cellStyle name="Comma 6 2 6 4 2" xfId="36714"/>
    <cellStyle name="Comma 6 2 6 5" xfId="24398"/>
    <cellStyle name="Comma 6 2 7" xfId="6222"/>
    <cellStyle name="Comma 6 2 7 2" xfId="12416"/>
    <cellStyle name="Comma 6 2 7 2 2" xfId="32094"/>
    <cellStyle name="Comma 6 2 7 3" xfId="18568"/>
    <cellStyle name="Comma 6 2 7 3 2" xfId="38246"/>
    <cellStyle name="Comma 6 2 7 4" xfId="25930"/>
    <cellStyle name="Comma 6 2 8" xfId="9331"/>
    <cellStyle name="Comma 6 2 8 2" xfId="15491"/>
    <cellStyle name="Comma 6 2 8 2 2" xfId="35169"/>
    <cellStyle name="Comma 6 2 8 3" xfId="21643"/>
    <cellStyle name="Comma 6 2 8 3 2" xfId="41321"/>
    <cellStyle name="Comma 6 2 8 4" xfId="29016"/>
    <cellStyle name="Comma 6 2 9" xfId="9350"/>
    <cellStyle name="Comma 6 2 9 2" xfId="29028"/>
    <cellStyle name="Comma 6 3" xfId="367"/>
    <cellStyle name="Comma 6 3 10" xfId="15507"/>
    <cellStyle name="Comma 6 3 10 2" xfId="35185"/>
    <cellStyle name="Comma 6 3 11" xfId="22750"/>
    <cellStyle name="Comma 6 3 2" xfId="2022"/>
    <cellStyle name="Comma 6 3 3" xfId="2023"/>
    <cellStyle name="Comma 6 3 4" xfId="3785"/>
    <cellStyle name="Comma 6 3 4 2" xfId="4561"/>
    <cellStyle name="Comma 6 3 4 2 2" xfId="6186"/>
    <cellStyle name="Comma 6 3 4 2 2 2" xfId="9272"/>
    <cellStyle name="Comma 6 3 4 2 2 2 2" xfId="15465"/>
    <cellStyle name="Comma 6 3 4 2 2 2 2 2" xfId="35143"/>
    <cellStyle name="Comma 6 3 4 2 2 2 3" xfId="21617"/>
    <cellStyle name="Comma 6 3 4 2 2 2 3 2" xfId="41295"/>
    <cellStyle name="Comma 6 3 4 2 2 2 4" xfId="28979"/>
    <cellStyle name="Comma 6 3 4 2 2 3" xfId="12399"/>
    <cellStyle name="Comma 6 3 4 2 2 3 2" xfId="32077"/>
    <cellStyle name="Comma 6 3 4 2 2 4" xfId="18551"/>
    <cellStyle name="Comma 6 3 4 2 2 4 2" xfId="38229"/>
    <cellStyle name="Comma 6 3 4 2 2 5" xfId="25913"/>
    <cellStyle name="Comma 6 3 4 2 3" xfId="7737"/>
    <cellStyle name="Comma 6 3 4 2 3 2" xfId="13931"/>
    <cellStyle name="Comma 6 3 4 2 3 2 2" xfId="33609"/>
    <cellStyle name="Comma 6 3 4 2 3 3" xfId="20083"/>
    <cellStyle name="Comma 6 3 4 2 3 3 2" xfId="39761"/>
    <cellStyle name="Comma 6 3 4 2 3 4" xfId="27445"/>
    <cellStyle name="Comma 6 3 4 2 4" xfId="10865"/>
    <cellStyle name="Comma 6 3 4 2 4 2" xfId="30543"/>
    <cellStyle name="Comma 6 3 4 2 5" xfId="17017"/>
    <cellStyle name="Comma 6 3 4 2 5 2" xfId="36695"/>
    <cellStyle name="Comma 6 3 4 2 6" xfId="24379"/>
    <cellStyle name="Comma 6 3 4 3" xfId="5417"/>
    <cellStyle name="Comma 6 3 4 3 2" xfId="8503"/>
    <cellStyle name="Comma 6 3 4 3 2 2" xfId="14696"/>
    <cellStyle name="Comma 6 3 4 3 2 2 2" xfId="34374"/>
    <cellStyle name="Comma 6 3 4 3 2 3" xfId="20848"/>
    <cellStyle name="Comma 6 3 4 3 2 3 2" xfId="40526"/>
    <cellStyle name="Comma 6 3 4 3 2 4" xfId="28210"/>
    <cellStyle name="Comma 6 3 4 3 3" xfId="11630"/>
    <cellStyle name="Comma 6 3 4 3 3 2" xfId="31308"/>
    <cellStyle name="Comma 6 3 4 3 4" xfId="17782"/>
    <cellStyle name="Comma 6 3 4 3 4 2" xfId="37460"/>
    <cellStyle name="Comma 6 3 4 3 5" xfId="25144"/>
    <cellStyle name="Comma 6 3 4 4" xfId="6968"/>
    <cellStyle name="Comma 6 3 4 4 2" xfId="13162"/>
    <cellStyle name="Comma 6 3 4 4 2 2" xfId="32840"/>
    <cellStyle name="Comma 6 3 4 4 3" xfId="19314"/>
    <cellStyle name="Comma 6 3 4 4 3 2" xfId="38992"/>
    <cellStyle name="Comma 6 3 4 4 4" xfId="26676"/>
    <cellStyle name="Comma 6 3 4 5" xfId="10096"/>
    <cellStyle name="Comma 6 3 4 5 2" xfId="29774"/>
    <cellStyle name="Comma 6 3 4 6" xfId="16248"/>
    <cellStyle name="Comma 6 3 4 6 2" xfId="35926"/>
    <cellStyle name="Comma 6 3 4 7" xfId="23610"/>
    <cellStyle name="Comma 6 3 5" xfId="2021"/>
    <cellStyle name="Comma 6 3 6" xfId="3820"/>
    <cellStyle name="Comma 6 3 6 2" xfId="5445"/>
    <cellStyle name="Comma 6 3 6 2 2" xfId="8531"/>
    <cellStyle name="Comma 6 3 6 2 2 2" xfId="14724"/>
    <cellStyle name="Comma 6 3 6 2 2 2 2" xfId="34402"/>
    <cellStyle name="Comma 6 3 6 2 2 3" xfId="20876"/>
    <cellStyle name="Comma 6 3 6 2 2 3 2" xfId="40554"/>
    <cellStyle name="Comma 6 3 6 2 2 4" xfId="28238"/>
    <cellStyle name="Comma 6 3 6 2 3" xfId="11658"/>
    <cellStyle name="Comma 6 3 6 2 3 2" xfId="31336"/>
    <cellStyle name="Comma 6 3 6 2 4" xfId="17810"/>
    <cellStyle name="Comma 6 3 6 2 4 2" xfId="37488"/>
    <cellStyle name="Comma 6 3 6 2 5" xfId="25172"/>
    <cellStyle name="Comma 6 3 6 3" xfId="6996"/>
    <cellStyle name="Comma 6 3 6 3 2" xfId="13190"/>
    <cellStyle name="Comma 6 3 6 3 2 2" xfId="32868"/>
    <cellStyle name="Comma 6 3 6 3 3" xfId="19342"/>
    <cellStyle name="Comma 6 3 6 3 3 2" xfId="39020"/>
    <cellStyle name="Comma 6 3 6 3 4" xfId="26704"/>
    <cellStyle name="Comma 6 3 6 4" xfId="10124"/>
    <cellStyle name="Comma 6 3 6 4 2" xfId="29802"/>
    <cellStyle name="Comma 6 3 6 5" xfId="16276"/>
    <cellStyle name="Comma 6 3 6 5 2" xfId="35954"/>
    <cellStyle name="Comma 6 3 6 6" xfId="23638"/>
    <cellStyle name="Comma 6 3 7" xfId="4659"/>
    <cellStyle name="Comma 6 3 7 2" xfId="7762"/>
    <cellStyle name="Comma 6 3 7 2 2" xfId="13955"/>
    <cellStyle name="Comma 6 3 7 2 2 2" xfId="33633"/>
    <cellStyle name="Comma 6 3 7 2 3" xfId="20107"/>
    <cellStyle name="Comma 6 3 7 2 3 2" xfId="39785"/>
    <cellStyle name="Comma 6 3 7 2 4" xfId="27469"/>
    <cellStyle name="Comma 6 3 7 3" xfId="10889"/>
    <cellStyle name="Comma 6 3 7 3 2" xfId="30567"/>
    <cellStyle name="Comma 6 3 7 4" xfId="17041"/>
    <cellStyle name="Comma 6 3 7 4 2" xfId="36719"/>
    <cellStyle name="Comma 6 3 7 5" xfId="24403"/>
    <cellStyle name="Comma 6 3 8" xfId="6227"/>
    <cellStyle name="Comma 6 3 8 2" xfId="12421"/>
    <cellStyle name="Comma 6 3 8 2 2" xfId="32099"/>
    <cellStyle name="Comma 6 3 8 3" xfId="18573"/>
    <cellStyle name="Comma 6 3 8 3 2" xfId="38251"/>
    <cellStyle name="Comma 6 3 8 4" xfId="25935"/>
    <cellStyle name="Comma 6 3 9" xfId="9355"/>
    <cellStyle name="Comma 6 3 9 2" xfId="29033"/>
    <cellStyle name="Comma 6 4" xfId="2024"/>
    <cellStyle name="Comma 6 5" xfId="3765"/>
    <cellStyle name="Comma 6 5 2" xfId="4553"/>
    <cellStyle name="Comma 6 5 2 2" xfId="6178"/>
    <cellStyle name="Comma 6 5 2 2 2" xfId="9264"/>
    <cellStyle name="Comma 6 5 2 2 2 2" xfId="15457"/>
    <cellStyle name="Comma 6 5 2 2 2 2 2" xfId="35135"/>
    <cellStyle name="Comma 6 5 2 2 2 3" xfId="21609"/>
    <cellStyle name="Comma 6 5 2 2 2 3 2" xfId="41287"/>
    <cellStyle name="Comma 6 5 2 2 2 4" xfId="28971"/>
    <cellStyle name="Comma 6 5 2 2 3" xfId="12391"/>
    <cellStyle name="Comma 6 5 2 2 3 2" xfId="32069"/>
    <cellStyle name="Comma 6 5 2 2 4" xfId="18543"/>
    <cellStyle name="Comma 6 5 2 2 4 2" xfId="38221"/>
    <cellStyle name="Comma 6 5 2 2 5" xfId="25905"/>
    <cellStyle name="Comma 6 5 2 3" xfId="7729"/>
    <cellStyle name="Comma 6 5 2 3 2" xfId="13923"/>
    <cellStyle name="Comma 6 5 2 3 2 2" xfId="33601"/>
    <cellStyle name="Comma 6 5 2 3 3" xfId="20075"/>
    <cellStyle name="Comma 6 5 2 3 3 2" xfId="39753"/>
    <cellStyle name="Comma 6 5 2 3 4" xfId="27437"/>
    <cellStyle name="Comma 6 5 2 4" xfId="10857"/>
    <cellStyle name="Comma 6 5 2 4 2" xfId="30535"/>
    <cellStyle name="Comma 6 5 2 5" xfId="17009"/>
    <cellStyle name="Comma 6 5 2 5 2" xfId="36687"/>
    <cellStyle name="Comma 6 5 2 6" xfId="24371"/>
    <cellStyle name="Comma 6 5 3" xfId="5409"/>
    <cellStyle name="Comma 6 5 3 2" xfId="8495"/>
    <cellStyle name="Comma 6 5 3 2 2" xfId="14688"/>
    <cellStyle name="Comma 6 5 3 2 2 2" xfId="34366"/>
    <cellStyle name="Comma 6 5 3 2 3" xfId="20840"/>
    <cellStyle name="Comma 6 5 3 2 3 2" xfId="40518"/>
    <cellStyle name="Comma 6 5 3 2 4" xfId="28202"/>
    <cellStyle name="Comma 6 5 3 3" xfId="11622"/>
    <cellStyle name="Comma 6 5 3 3 2" xfId="31300"/>
    <cellStyle name="Comma 6 5 3 4" xfId="17774"/>
    <cellStyle name="Comma 6 5 3 4 2" xfId="37452"/>
    <cellStyle name="Comma 6 5 3 5" xfId="25136"/>
    <cellStyle name="Comma 6 5 4" xfId="6960"/>
    <cellStyle name="Comma 6 5 4 2" xfId="13154"/>
    <cellStyle name="Comma 6 5 4 2 2" xfId="32832"/>
    <cellStyle name="Comma 6 5 4 3" xfId="19306"/>
    <cellStyle name="Comma 6 5 4 3 2" xfId="38984"/>
    <cellStyle name="Comma 6 5 4 4" xfId="26668"/>
    <cellStyle name="Comma 6 5 5" xfId="10088"/>
    <cellStyle name="Comma 6 5 5 2" xfId="29766"/>
    <cellStyle name="Comma 6 5 6" xfId="16240"/>
    <cellStyle name="Comma 6 5 6 2" xfId="35918"/>
    <cellStyle name="Comma 6 5 7" xfId="23602"/>
    <cellStyle name="Comma 6 6" xfId="2019"/>
    <cellStyle name="Comma 6 7" xfId="3809"/>
    <cellStyle name="Comma 6 7 2" xfId="5434"/>
    <cellStyle name="Comma 6 7 2 2" xfId="8520"/>
    <cellStyle name="Comma 6 7 2 2 2" xfId="14713"/>
    <cellStyle name="Comma 6 7 2 2 2 2" xfId="34391"/>
    <cellStyle name="Comma 6 7 2 2 3" xfId="20865"/>
    <cellStyle name="Comma 6 7 2 2 3 2" xfId="40543"/>
    <cellStyle name="Comma 6 7 2 2 4" xfId="28227"/>
    <cellStyle name="Comma 6 7 2 3" xfId="11647"/>
    <cellStyle name="Comma 6 7 2 3 2" xfId="31325"/>
    <cellStyle name="Comma 6 7 2 4" xfId="17799"/>
    <cellStyle name="Comma 6 7 2 4 2" xfId="37477"/>
    <cellStyle name="Comma 6 7 2 5" xfId="25161"/>
    <cellStyle name="Comma 6 7 3" xfId="6985"/>
    <cellStyle name="Comma 6 7 3 2" xfId="13179"/>
    <cellStyle name="Comma 6 7 3 2 2" xfId="32857"/>
    <cellStyle name="Comma 6 7 3 3" xfId="19331"/>
    <cellStyle name="Comma 6 7 3 3 2" xfId="39009"/>
    <cellStyle name="Comma 6 7 3 4" xfId="26693"/>
    <cellStyle name="Comma 6 7 4" xfId="10113"/>
    <cellStyle name="Comma 6 7 4 2" xfId="29791"/>
    <cellStyle name="Comma 6 7 5" xfId="16265"/>
    <cellStyle name="Comma 6 7 5 2" xfId="35943"/>
    <cellStyle name="Comma 6 7 6" xfId="23627"/>
    <cellStyle name="Comma 6 8" xfId="4647"/>
    <cellStyle name="Comma 6 8 2" xfId="7751"/>
    <cellStyle name="Comma 6 8 2 2" xfId="13944"/>
    <cellStyle name="Comma 6 8 2 2 2" xfId="33622"/>
    <cellStyle name="Comma 6 8 2 3" xfId="20096"/>
    <cellStyle name="Comma 6 8 2 3 2" xfId="39774"/>
    <cellStyle name="Comma 6 8 2 4" xfId="27458"/>
    <cellStyle name="Comma 6 8 3" xfId="10878"/>
    <cellStyle name="Comma 6 8 3 2" xfId="30556"/>
    <cellStyle name="Comma 6 8 4" xfId="17030"/>
    <cellStyle name="Comma 6 8 4 2" xfId="36708"/>
    <cellStyle name="Comma 6 8 5" xfId="24392"/>
    <cellStyle name="Comma 6 9" xfId="6216"/>
    <cellStyle name="Comma 6 9 2" xfId="12410"/>
    <cellStyle name="Comma 6 9 2 2" xfId="32088"/>
    <cellStyle name="Comma 6 9 3" xfId="18562"/>
    <cellStyle name="Comma 6 9 3 2" xfId="38240"/>
    <cellStyle name="Comma 6 9 4" xfId="25924"/>
    <cellStyle name="Comma 60" xfId="2025"/>
    <cellStyle name="Comma 61" xfId="2026"/>
    <cellStyle name="Comma 62" xfId="2027"/>
    <cellStyle name="Comma 63" xfId="2028"/>
    <cellStyle name="Comma 64" xfId="2029"/>
    <cellStyle name="Comma 65" xfId="2030"/>
    <cellStyle name="Comma 66" xfId="2031"/>
    <cellStyle name="Comma 67" xfId="2032"/>
    <cellStyle name="Comma 68" xfId="2033"/>
    <cellStyle name="Comma 69" xfId="2034"/>
    <cellStyle name="Comma 7" xfId="58"/>
    <cellStyle name="Comma 7 10" xfId="41579"/>
    <cellStyle name="Comma 7 11" xfId="21781"/>
    <cellStyle name="Comma 7 12" xfId="21696"/>
    <cellStyle name="Comma 7 2" xfId="121"/>
    <cellStyle name="Comma 7 2 2" xfId="147"/>
    <cellStyle name="Comma 7 2 2 2" xfId="211"/>
    <cellStyle name="Comma 7 2 2 2 2" xfId="22919"/>
    <cellStyle name="Comma 7 2 2 3" xfId="21747"/>
    <cellStyle name="Comma 7 2 3" xfId="173"/>
    <cellStyle name="Comma 7 2 3 2" xfId="22395"/>
    <cellStyle name="Comma 7 2 4" xfId="2036"/>
    <cellStyle name="Comma 7 2 5" xfId="21709"/>
    <cellStyle name="Comma 7 3" xfId="93"/>
    <cellStyle name="Comma 7 3 2" xfId="198"/>
    <cellStyle name="Comma 7 3 2 2" xfId="2038"/>
    <cellStyle name="Comma 7 3 3" xfId="2039"/>
    <cellStyle name="Comma 7 3 4" xfId="2037"/>
    <cellStyle name="Comma 7 3 5" xfId="21734"/>
    <cellStyle name="Comma 7 4" xfId="136"/>
    <cellStyle name="Comma 7 4 2" xfId="186"/>
    <cellStyle name="Comma 7 4 2 2" xfId="22920"/>
    <cellStyle name="Comma 7 4 3" xfId="2040"/>
    <cellStyle name="Comma 7 4 4" xfId="21722"/>
    <cellStyle name="Comma 7 5" xfId="160"/>
    <cellStyle name="Comma 7 5 2" xfId="3769"/>
    <cellStyle name="Comma 7 6" xfId="2035"/>
    <cellStyle name="Comma 7 7" xfId="347"/>
    <cellStyle name="Comma 7 8" xfId="22690"/>
    <cellStyle name="Comma 7 9" xfId="41477"/>
    <cellStyle name="Comma 70" xfId="2041"/>
    <cellStyle name="Comma 71" xfId="2042"/>
    <cellStyle name="Comma 72" xfId="2043"/>
    <cellStyle name="Comma 73" xfId="2044"/>
    <cellStyle name="Comma 74" xfId="2045"/>
    <cellStyle name="Comma 75" xfId="2046"/>
    <cellStyle name="Comma 76" xfId="2047"/>
    <cellStyle name="Comma 77" xfId="2048"/>
    <cellStyle name="Comma 78" xfId="2049"/>
    <cellStyle name="Comma 79" xfId="2050"/>
    <cellStyle name="Comma 8" xfId="21"/>
    <cellStyle name="Comma 8 2" xfId="2052"/>
    <cellStyle name="Comma 8 2 2" xfId="2053"/>
    <cellStyle name="Comma 8 2 3" xfId="2054"/>
    <cellStyle name="Comma 8 2 4" xfId="22921"/>
    <cellStyle name="Comma 8 2 5" xfId="22396"/>
    <cellStyle name="Comma 8 3" xfId="3776"/>
    <cellStyle name="Comma 8 4" xfId="2051"/>
    <cellStyle name="Comma 8 5" xfId="357"/>
    <cellStyle name="Comma 8 6" xfId="22692"/>
    <cellStyle name="Comma 8 7" xfId="41396"/>
    <cellStyle name="Comma 8 8" xfId="41580"/>
    <cellStyle name="Comma 8 9" xfId="21782"/>
    <cellStyle name="Comma 80" xfId="2055"/>
    <cellStyle name="Comma 81" xfId="2056"/>
    <cellStyle name="Comma 82" xfId="2057"/>
    <cellStyle name="Comma 83" xfId="2058"/>
    <cellStyle name="Comma 84" xfId="2059"/>
    <cellStyle name="Comma 85" xfId="2060"/>
    <cellStyle name="Comma 86" xfId="2061"/>
    <cellStyle name="Comma 87" xfId="2062"/>
    <cellStyle name="Comma 88" xfId="2063"/>
    <cellStyle name="Comma 89" xfId="2064"/>
    <cellStyle name="Comma 9" xfId="81"/>
    <cellStyle name="Comma 9 10" xfId="21784"/>
    <cellStyle name="Comma 9 2" xfId="2066"/>
    <cellStyle name="Comma 9 2 2" xfId="2067"/>
    <cellStyle name="Comma 9 2 3" xfId="2068"/>
    <cellStyle name="Comma 9 2 4" xfId="22922"/>
    <cellStyle name="Comma 9 2 5" xfId="22398"/>
    <cellStyle name="Comma 9 3" xfId="2069"/>
    <cellStyle name="Comma 9 4" xfId="3780"/>
    <cellStyle name="Comma 9 5" xfId="2065"/>
    <cellStyle name="Comma 9 6" xfId="361"/>
    <cellStyle name="Comma 9 7" xfId="22693"/>
    <cellStyle name="Comma 9 8" xfId="41483"/>
    <cellStyle name="Comma 9 9" xfId="41582"/>
    <cellStyle name="Comma 90" xfId="2070"/>
    <cellStyle name="Comma 91" xfId="2071"/>
    <cellStyle name="Comma 92" xfId="2072"/>
    <cellStyle name="Comma 93" xfId="2073"/>
    <cellStyle name="Comma 94" xfId="2074"/>
    <cellStyle name="Comma 95" xfId="2075"/>
    <cellStyle name="Comma 96" xfId="2076"/>
    <cellStyle name="Comma 97" xfId="2077"/>
    <cellStyle name="Comma 98" xfId="2078"/>
    <cellStyle name="Comma 99" xfId="2079"/>
    <cellStyle name="Comma(+Credit)" xfId="2080"/>
    <cellStyle name="Comma0" xfId="9289"/>
    <cellStyle name="Comma0 2" xfId="28988"/>
    <cellStyle name="Comma0 3" xfId="21810"/>
    <cellStyle name="Company Name" xfId="2081"/>
    <cellStyle name="Company Name 2" xfId="2082"/>
    <cellStyle name="Company Name 3" xfId="2083"/>
    <cellStyle name="Currency" xfId="42084" builtinId="4"/>
    <cellStyle name="Currency [0] 2" xfId="231"/>
    <cellStyle name="Currency [0] 2 2" xfId="3691"/>
    <cellStyle name="Currency [0] 2 3" xfId="381"/>
    <cellStyle name="Currency [0] 3" xfId="256"/>
    <cellStyle name="Currency [0] 4" xfId="349"/>
    <cellStyle name="Currency [0] 5" xfId="3690"/>
    <cellStyle name="Currency [0] 6" xfId="3796"/>
    <cellStyle name="Currency [0] 7" xfId="6211"/>
    <cellStyle name="Currency [0] 8" xfId="9339"/>
    <cellStyle name="Currency [0] 9" xfId="225"/>
    <cellStyle name="Currency 0.0" xfId="2084"/>
    <cellStyle name="Currency 0.00" xfId="2085"/>
    <cellStyle name="Currency 0.000" xfId="2086"/>
    <cellStyle name="Currency 10" xfId="360"/>
    <cellStyle name="Currency 10 10" xfId="41885"/>
    <cellStyle name="Currency 10 2" xfId="2088"/>
    <cellStyle name="Currency 10 2 2" xfId="41886"/>
    <cellStyle name="Currency 10 3" xfId="2089"/>
    <cellStyle name="Currency 10 3 2" xfId="41887"/>
    <cellStyle name="Currency 10 4" xfId="2090"/>
    <cellStyle name="Currency 10 4 2" xfId="41888"/>
    <cellStyle name="Currency 10 5" xfId="2091"/>
    <cellStyle name="Currency 10 5 2" xfId="41889"/>
    <cellStyle name="Currency 10 6" xfId="2092"/>
    <cellStyle name="Currency 10 6 2" xfId="2093"/>
    <cellStyle name="Currency 10 6 3" xfId="2094"/>
    <cellStyle name="Currency 10 7" xfId="2095"/>
    <cellStyle name="Currency 10 8" xfId="3779"/>
    <cellStyle name="Currency 10 9" xfId="2087"/>
    <cellStyle name="Currency 100" xfId="2096"/>
    <cellStyle name="Currency 101" xfId="2097"/>
    <cellStyle name="Currency 102" xfId="2098"/>
    <cellStyle name="Currency 103" xfId="2099"/>
    <cellStyle name="Currency 104" xfId="2100"/>
    <cellStyle name="Currency 105" xfId="2101"/>
    <cellStyle name="Currency 106" xfId="2102"/>
    <cellStyle name="Currency 107" xfId="2103"/>
    <cellStyle name="Currency 108" xfId="2104"/>
    <cellStyle name="Currency 109" xfId="2105"/>
    <cellStyle name="Currency 11" xfId="2106"/>
    <cellStyle name="Currency 11 2" xfId="2107"/>
    <cellStyle name="Currency 11 2 2" xfId="41891"/>
    <cellStyle name="Currency 11 3" xfId="2108"/>
    <cellStyle name="Currency 11 3 2" xfId="41892"/>
    <cellStyle name="Currency 11 4" xfId="41893"/>
    <cellStyle name="Currency 11 5" xfId="41894"/>
    <cellStyle name="Currency 11 6" xfId="41890"/>
    <cellStyle name="Currency 110" xfId="2109"/>
    <cellStyle name="Currency 111" xfId="2110"/>
    <cellStyle name="Currency 112" xfId="2111"/>
    <cellStyle name="Currency 113" xfId="2112"/>
    <cellStyle name="Currency 114" xfId="2113"/>
    <cellStyle name="Currency 115" xfId="2114"/>
    <cellStyle name="Currency 116" xfId="2115"/>
    <cellStyle name="Currency 117" xfId="2116"/>
    <cellStyle name="Currency 118" xfId="2117"/>
    <cellStyle name="Currency 118 2" xfId="2118"/>
    <cellStyle name="Currency 118 2 2" xfId="2119"/>
    <cellStyle name="Currency 118 2 2 2" xfId="2120"/>
    <cellStyle name="Currency 118 2 3" xfId="2121"/>
    <cellStyle name="Currency 118 3" xfId="2122"/>
    <cellStyle name="Currency 118 3 2" xfId="2123"/>
    <cellStyle name="Currency 118 4" xfId="2124"/>
    <cellStyle name="Currency 118 4 2" xfId="2125"/>
    <cellStyle name="Currency 118 5" xfId="2126"/>
    <cellStyle name="Currency 119" xfId="2127"/>
    <cellStyle name="Currency 119 2" xfId="2128"/>
    <cellStyle name="Currency 119 2 2" xfId="2129"/>
    <cellStyle name="Currency 119 2 2 2" xfId="2130"/>
    <cellStyle name="Currency 119 2 3" xfId="2131"/>
    <cellStyle name="Currency 119 3" xfId="2132"/>
    <cellStyle name="Currency 119 3 2" xfId="2133"/>
    <cellStyle name="Currency 119 4" xfId="2134"/>
    <cellStyle name="Currency 119 4 2" xfId="2135"/>
    <cellStyle name="Currency 119 5" xfId="2136"/>
    <cellStyle name="Currency 12" xfId="2137"/>
    <cellStyle name="Currency 12 2" xfId="2138"/>
    <cellStyle name="Currency 12 2 2" xfId="41896"/>
    <cellStyle name="Currency 12 3" xfId="2139"/>
    <cellStyle name="Currency 12 3 2" xfId="41897"/>
    <cellStyle name="Currency 12 4" xfId="41898"/>
    <cellStyle name="Currency 12 5" xfId="41895"/>
    <cellStyle name="Currency 120" xfId="2140"/>
    <cellStyle name="Currency 120 2" xfId="3947"/>
    <cellStyle name="Currency 120 2 2" xfId="5572"/>
    <cellStyle name="Currency 120 2 2 2" xfId="8658"/>
    <cellStyle name="Currency 120 2 2 2 2" xfId="14851"/>
    <cellStyle name="Currency 120 2 2 2 2 2" xfId="34529"/>
    <cellStyle name="Currency 120 2 2 2 3" xfId="21003"/>
    <cellStyle name="Currency 120 2 2 2 3 2" xfId="40681"/>
    <cellStyle name="Currency 120 2 2 2 4" xfId="28365"/>
    <cellStyle name="Currency 120 2 2 3" xfId="11785"/>
    <cellStyle name="Currency 120 2 2 3 2" xfId="31463"/>
    <cellStyle name="Currency 120 2 2 4" xfId="17937"/>
    <cellStyle name="Currency 120 2 2 4 2" xfId="37615"/>
    <cellStyle name="Currency 120 2 2 5" xfId="25299"/>
    <cellStyle name="Currency 120 2 3" xfId="7123"/>
    <cellStyle name="Currency 120 2 3 2" xfId="13317"/>
    <cellStyle name="Currency 120 2 3 2 2" xfId="32995"/>
    <cellStyle name="Currency 120 2 3 3" xfId="19469"/>
    <cellStyle name="Currency 120 2 3 3 2" xfId="39147"/>
    <cellStyle name="Currency 120 2 3 4" xfId="26831"/>
    <cellStyle name="Currency 120 2 4" xfId="10251"/>
    <cellStyle name="Currency 120 2 4 2" xfId="29929"/>
    <cellStyle name="Currency 120 2 5" xfId="16403"/>
    <cellStyle name="Currency 120 2 5 2" xfId="36081"/>
    <cellStyle name="Currency 120 2 6" xfId="23765"/>
    <cellStyle name="Currency 120 3" xfId="4788"/>
    <cellStyle name="Currency 120 3 2" xfId="7889"/>
    <cellStyle name="Currency 120 3 2 2" xfId="14082"/>
    <cellStyle name="Currency 120 3 2 2 2" xfId="33760"/>
    <cellStyle name="Currency 120 3 2 3" xfId="20234"/>
    <cellStyle name="Currency 120 3 2 3 2" xfId="39912"/>
    <cellStyle name="Currency 120 3 2 4" xfId="27596"/>
    <cellStyle name="Currency 120 3 3" xfId="11016"/>
    <cellStyle name="Currency 120 3 3 2" xfId="30694"/>
    <cellStyle name="Currency 120 3 4" xfId="17168"/>
    <cellStyle name="Currency 120 3 4 2" xfId="36846"/>
    <cellStyle name="Currency 120 3 5" xfId="24530"/>
    <cellStyle name="Currency 120 4" xfId="6354"/>
    <cellStyle name="Currency 120 4 2" xfId="12548"/>
    <cellStyle name="Currency 120 4 2 2" xfId="32226"/>
    <cellStyle name="Currency 120 4 3" xfId="18700"/>
    <cellStyle name="Currency 120 4 3 2" xfId="38378"/>
    <cellStyle name="Currency 120 4 4" xfId="26062"/>
    <cellStyle name="Currency 120 5" xfId="9482"/>
    <cellStyle name="Currency 120 5 2" xfId="29160"/>
    <cellStyle name="Currency 120 6" xfId="15634"/>
    <cellStyle name="Currency 120 6 2" xfId="35312"/>
    <cellStyle name="Currency 120 7" xfId="22923"/>
    <cellStyle name="Currency 121" xfId="2141"/>
    <cellStyle name="Currency 121 2" xfId="3948"/>
    <cellStyle name="Currency 121 2 2" xfId="5573"/>
    <cellStyle name="Currency 121 2 2 2" xfId="8659"/>
    <cellStyle name="Currency 121 2 2 2 2" xfId="14852"/>
    <cellStyle name="Currency 121 2 2 2 2 2" xfId="34530"/>
    <cellStyle name="Currency 121 2 2 2 3" xfId="21004"/>
    <cellStyle name="Currency 121 2 2 2 3 2" xfId="40682"/>
    <cellStyle name="Currency 121 2 2 2 4" xfId="28366"/>
    <cellStyle name="Currency 121 2 2 3" xfId="11786"/>
    <cellStyle name="Currency 121 2 2 3 2" xfId="31464"/>
    <cellStyle name="Currency 121 2 2 4" xfId="17938"/>
    <cellStyle name="Currency 121 2 2 4 2" xfId="37616"/>
    <cellStyle name="Currency 121 2 2 5" xfId="25300"/>
    <cellStyle name="Currency 121 2 3" xfId="7124"/>
    <cellStyle name="Currency 121 2 3 2" xfId="13318"/>
    <cellStyle name="Currency 121 2 3 2 2" xfId="32996"/>
    <cellStyle name="Currency 121 2 3 3" xfId="19470"/>
    <cellStyle name="Currency 121 2 3 3 2" xfId="39148"/>
    <cellStyle name="Currency 121 2 3 4" xfId="26832"/>
    <cellStyle name="Currency 121 2 4" xfId="10252"/>
    <cellStyle name="Currency 121 2 4 2" xfId="29930"/>
    <cellStyle name="Currency 121 2 5" xfId="16404"/>
    <cellStyle name="Currency 121 2 5 2" xfId="36082"/>
    <cellStyle name="Currency 121 2 6" xfId="23766"/>
    <cellStyle name="Currency 121 3" xfId="4789"/>
    <cellStyle name="Currency 121 3 2" xfId="7890"/>
    <cellStyle name="Currency 121 3 2 2" xfId="14083"/>
    <cellStyle name="Currency 121 3 2 2 2" xfId="33761"/>
    <cellStyle name="Currency 121 3 2 3" xfId="20235"/>
    <cellStyle name="Currency 121 3 2 3 2" xfId="39913"/>
    <cellStyle name="Currency 121 3 2 4" xfId="27597"/>
    <cellStyle name="Currency 121 3 3" xfId="11017"/>
    <cellStyle name="Currency 121 3 3 2" xfId="30695"/>
    <cellStyle name="Currency 121 3 4" xfId="17169"/>
    <cellStyle name="Currency 121 3 4 2" xfId="36847"/>
    <cellStyle name="Currency 121 3 5" xfId="24531"/>
    <cellStyle name="Currency 121 4" xfId="6355"/>
    <cellStyle name="Currency 121 4 2" xfId="12549"/>
    <cellStyle name="Currency 121 4 2 2" xfId="32227"/>
    <cellStyle name="Currency 121 4 3" xfId="18701"/>
    <cellStyle name="Currency 121 4 3 2" xfId="38379"/>
    <cellStyle name="Currency 121 4 4" xfId="26063"/>
    <cellStyle name="Currency 121 5" xfId="9483"/>
    <cellStyle name="Currency 121 5 2" xfId="29161"/>
    <cellStyle name="Currency 121 6" xfId="15635"/>
    <cellStyle name="Currency 121 6 2" xfId="35313"/>
    <cellStyle name="Currency 121 7" xfId="22924"/>
    <cellStyle name="Currency 122" xfId="2142"/>
    <cellStyle name="Currency 122 2" xfId="3949"/>
    <cellStyle name="Currency 122 2 2" xfId="5574"/>
    <cellStyle name="Currency 122 2 2 2" xfId="8660"/>
    <cellStyle name="Currency 122 2 2 2 2" xfId="14853"/>
    <cellStyle name="Currency 122 2 2 2 2 2" xfId="34531"/>
    <cellStyle name="Currency 122 2 2 2 3" xfId="21005"/>
    <cellStyle name="Currency 122 2 2 2 3 2" xfId="40683"/>
    <cellStyle name="Currency 122 2 2 2 4" xfId="28367"/>
    <cellStyle name="Currency 122 2 2 3" xfId="11787"/>
    <cellStyle name="Currency 122 2 2 3 2" xfId="31465"/>
    <cellStyle name="Currency 122 2 2 4" xfId="17939"/>
    <cellStyle name="Currency 122 2 2 4 2" xfId="37617"/>
    <cellStyle name="Currency 122 2 2 5" xfId="25301"/>
    <cellStyle name="Currency 122 2 3" xfId="7125"/>
    <cellStyle name="Currency 122 2 3 2" xfId="13319"/>
    <cellStyle name="Currency 122 2 3 2 2" xfId="32997"/>
    <cellStyle name="Currency 122 2 3 3" xfId="19471"/>
    <cellStyle name="Currency 122 2 3 3 2" xfId="39149"/>
    <cellStyle name="Currency 122 2 3 4" xfId="26833"/>
    <cellStyle name="Currency 122 2 4" xfId="10253"/>
    <cellStyle name="Currency 122 2 4 2" xfId="29931"/>
    <cellStyle name="Currency 122 2 5" xfId="16405"/>
    <cellStyle name="Currency 122 2 5 2" xfId="36083"/>
    <cellStyle name="Currency 122 2 6" xfId="23767"/>
    <cellStyle name="Currency 122 3" xfId="4790"/>
    <cellStyle name="Currency 122 3 2" xfId="7891"/>
    <cellStyle name="Currency 122 3 2 2" xfId="14084"/>
    <cellStyle name="Currency 122 3 2 2 2" xfId="33762"/>
    <cellStyle name="Currency 122 3 2 3" xfId="20236"/>
    <cellStyle name="Currency 122 3 2 3 2" xfId="39914"/>
    <cellStyle name="Currency 122 3 2 4" xfId="27598"/>
    <cellStyle name="Currency 122 3 3" xfId="11018"/>
    <cellStyle name="Currency 122 3 3 2" xfId="30696"/>
    <cellStyle name="Currency 122 3 4" xfId="17170"/>
    <cellStyle name="Currency 122 3 4 2" xfId="36848"/>
    <cellStyle name="Currency 122 3 5" xfId="24532"/>
    <cellStyle name="Currency 122 4" xfId="6356"/>
    <cellStyle name="Currency 122 4 2" xfId="12550"/>
    <cellStyle name="Currency 122 4 2 2" xfId="32228"/>
    <cellStyle name="Currency 122 4 3" xfId="18702"/>
    <cellStyle name="Currency 122 4 3 2" xfId="38380"/>
    <cellStyle name="Currency 122 4 4" xfId="26064"/>
    <cellStyle name="Currency 122 5" xfId="9484"/>
    <cellStyle name="Currency 122 5 2" xfId="29162"/>
    <cellStyle name="Currency 122 6" xfId="15636"/>
    <cellStyle name="Currency 122 6 2" xfId="35314"/>
    <cellStyle name="Currency 122 7" xfId="22925"/>
    <cellStyle name="Currency 123" xfId="2143"/>
    <cellStyle name="Currency 123 2" xfId="3950"/>
    <cellStyle name="Currency 123 2 2" xfId="5575"/>
    <cellStyle name="Currency 123 2 2 2" xfId="8661"/>
    <cellStyle name="Currency 123 2 2 2 2" xfId="14854"/>
    <cellStyle name="Currency 123 2 2 2 2 2" xfId="34532"/>
    <cellStyle name="Currency 123 2 2 2 3" xfId="21006"/>
    <cellStyle name="Currency 123 2 2 2 3 2" xfId="40684"/>
    <cellStyle name="Currency 123 2 2 2 4" xfId="28368"/>
    <cellStyle name="Currency 123 2 2 3" xfId="11788"/>
    <cellStyle name="Currency 123 2 2 3 2" xfId="31466"/>
    <cellStyle name="Currency 123 2 2 4" xfId="17940"/>
    <cellStyle name="Currency 123 2 2 4 2" xfId="37618"/>
    <cellStyle name="Currency 123 2 2 5" xfId="25302"/>
    <cellStyle name="Currency 123 2 3" xfId="7126"/>
    <cellStyle name="Currency 123 2 3 2" xfId="13320"/>
    <cellStyle name="Currency 123 2 3 2 2" xfId="32998"/>
    <cellStyle name="Currency 123 2 3 3" xfId="19472"/>
    <cellStyle name="Currency 123 2 3 3 2" xfId="39150"/>
    <cellStyle name="Currency 123 2 3 4" xfId="26834"/>
    <cellStyle name="Currency 123 2 4" xfId="10254"/>
    <cellStyle name="Currency 123 2 4 2" xfId="29932"/>
    <cellStyle name="Currency 123 2 5" xfId="16406"/>
    <cellStyle name="Currency 123 2 5 2" xfId="36084"/>
    <cellStyle name="Currency 123 2 6" xfId="23768"/>
    <cellStyle name="Currency 123 3" xfId="4791"/>
    <cellStyle name="Currency 123 3 2" xfId="7892"/>
    <cellStyle name="Currency 123 3 2 2" xfId="14085"/>
    <cellStyle name="Currency 123 3 2 2 2" xfId="33763"/>
    <cellStyle name="Currency 123 3 2 3" xfId="20237"/>
    <cellStyle name="Currency 123 3 2 3 2" xfId="39915"/>
    <cellStyle name="Currency 123 3 2 4" xfId="27599"/>
    <cellStyle name="Currency 123 3 3" xfId="11019"/>
    <cellStyle name="Currency 123 3 3 2" xfId="30697"/>
    <cellStyle name="Currency 123 3 4" xfId="17171"/>
    <cellStyle name="Currency 123 3 4 2" xfId="36849"/>
    <cellStyle name="Currency 123 3 5" xfId="24533"/>
    <cellStyle name="Currency 123 4" xfId="6357"/>
    <cellStyle name="Currency 123 4 2" xfId="12551"/>
    <cellStyle name="Currency 123 4 2 2" xfId="32229"/>
    <cellStyle name="Currency 123 4 3" xfId="18703"/>
    <cellStyle name="Currency 123 4 3 2" xfId="38381"/>
    <cellStyle name="Currency 123 4 4" xfId="26065"/>
    <cellStyle name="Currency 123 5" xfId="9485"/>
    <cellStyle name="Currency 123 5 2" xfId="29163"/>
    <cellStyle name="Currency 123 6" xfId="15637"/>
    <cellStyle name="Currency 123 6 2" xfId="35315"/>
    <cellStyle name="Currency 123 7" xfId="22926"/>
    <cellStyle name="Currency 124" xfId="2144"/>
    <cellStyle name="Currency 124 2" xfId="3951"/>
    <cellStyle name="Currency 124 2 2" xfId="5576"/>
    <cellStyle name="Currency 124 2 2 2" xfId="8662"/>
    <cellStyle name="Currency 124 2 2 2 2" xfId="14855"/>
    <cellStyle name="Currency 124 2 2 2 2 2" xfId="34533"/>
    <cellStyle name="Currency 124 2 2 2 3" xfId="21007"/>
    <cellStyle name="Currency 124 2 2 2 3 2" xfId="40685"/>
    <cellStyle name="Currency 124 2 2 2 4" xfId="28369"/>
    <cellStyle name="Currency 124 2 2 3" xfId="11789"/>
    <cellStyle name="Currency 124 2 2 3 2" xfId="31467"/>
    <cellStyle name="Currency 124 2 2 4" xfId="17941"/>
    <cellStyle name="Currency 124 2 2 4 2" xfId="37619"/>
    <cellStyle name="Currency 124 2 2 5" xfId="25303"/>
    <cellStyle name="Currency 124 2 3" xfId="7127"/>
    <cellStyle name="Currency 124 2 3 2" xfId="13321"/>
    <cellStyle name="Currency 124 2 3 2 2" xfId="32999"/>
    <cellStyle name="Currency 124 2 3 3" xfId="19473"/>
    <cellStyle name="Currency 124 2 3 3 2" xfId="39151"/>
    <cellStyle name="Currency 124 2 3 4" xfId="26835"/>
    <cellStyle name="Currency 124 2 4" xfId="10255"/>
    <cellStyle name="Currency 124 2 4 2" xfId="29933"/>
    <cellStyle name="Currency 124 2 5" xfId="16407"/>
    <cellStyle name="Currency 124 2 5 2" xfId="36085"/>
    <cellStyle name="Currency 124 2 6" xfId="23769"/>
    <cellStyle name="Currency 124 3" xfId="4792"/>
    <cellStyle name="Currency 124 3 2" xfId="7893"/>
    <cellStyle name="Currency 124 3 2 2" xfId="14086"/>
    <cellStyle name="Currency 124 3 2 2 2" xfId="33764"/>
    <cellStyle name="Currency 124 3 2 3" xfId="20238"/>
    <cellStyle name="Currency 124 3 2 3 2" xfId="39916"/>
    <cellStyle name="Currency 124 3 2 4" xfId="27600"/>
    <cellStyle name="Currency 124 3 3" xfId="11020"/>
    <cellStyle name="Currency 124 3 3 2" xfId="30698"/>
    <cellStyle name="Currency 124 3 4" xfId="17172"/>
    <cellStyle name="Currency 124 3 4 2" xfId="36850"/>
    <cellStyle name="Currency 124 3 5" xfId="24534"/>
    <cellStyle name="Currency 124 4" xfId="6358"/>
    <cellStyle name="Currency 124 4 2" xfId="12552"/>
    <cellStyle name="Currency 124 4 2 2" xfId="32230"/>
    <cellStyle name="Currency 124 4 3" xfId="18704"/>
    <cellStyle name="Currency 124 4 3 2" xfId="38382"/>
    <cellStyle name="Currency 124 4 4" xfId="26066"/>
    <cellStyle name="Currency 124 5" xfId="9486"/>
    <cellStyle name="Currency 124 5 2" xfId="29164"/>
    <cellStyle name="Currency 124 6" xfId="15638"/>
    <cellStyle name="Currency 124 6 2" xfId="35316"/>
    <cellStyle name="Currency 124 7" xfId="22927"/>
    <cellStyle name="Currency 125" xfId="2145"/>
    <cellStyle name="Currency 125 2" xfId="3952"/>
    <cellStyle name="Currency 125 2 2" xfId="5577"/>
    <cellStyle name="Currency 125 2 2 2" xfId="8663"/>
    <cellStyle name="Currency 125 2 2 2 2" xfId="14856"/>
    <cellStyle name="Currency 125 2 2 2 2 2" xfId="34534"/>
    <cellStyle name="Currency 125 2 2 2 3" xfId="21008"/>
    <cellStyle name="Currency 125 2 2 2 3 2" xfId="40686"/>
    <cellStyle name="Currency 125 2 2 2 4" xfId="28370"/>
    <cellStyle name="Currency 125 2 2 3" xfId="11790"/>
    <cellStyle name="Currency 125 2 2 3 2" xfId="31468"/>
    <cellStyle name="Currency 125 2 2 4" xfId="17942"/>
    <cellStyle name="Currency 125 2 2 4 2" xfId="37620"/>
    <cellStyle name="Currency 125 2 2 5" xfId="25304"/>
    <cellStyle name="Currency 125 2 3" xfId="7128"/>
    <cellStyle name="Currency 125 2 3 2" xfId="13322"/>
    <cellStyle name="Currency 125 2 3 2 2" xfId="33000"/>
    <cellStyle name="Currency 125 2 3 3" xfId="19474"/>
    <cellStyle name="Currency 125 2 3 3 2" xfId="39152"/>
    <cellStyle name="Currency 125 2 3 4" xfId="26836"/>
    <cellStyle name="Currency 125 2 4" xfId="10256"/>
    <cellStyle name="Currency 125 2 4 2" xfId="29934"/>
    <cellStyle name="Currency 125 2 5" xfId="16408"/>
    <cellStyle name="Currency 125 2 5 2" xfId="36086"/>
    <cellStyle name="Currency 125 2 6" xfId="23770"/>
    <cellStyle name="Currency 125 3" xfId="4793"/>
    <cellStyle name="Currency 125 3 2" xfId="7894"/>
    <cellStyle name="Currency 125 3 2 2" xfId="14087"/>
    <cellStyle name="Currency 125 3 2 2 2" xfId="33765"/>
    <cellStyle name="Currency 125 3 2 3" xfId="20239"/>
    <cellStyle name="Currency 125 3 2 3 2" xfId="39917"/>
    <cellStyle name="Currency 125 3 2 4" xfId="27601"/>
    <cellStyle name="Currency 125 3 3" xfId="11021"/>
    <cellStyle name="Currency 125 3 3 2" xfId="30699"/>
    <cellStyle name="Currency 125 3 4" xfId="17173"/>
    <cellStyle name="Currency 125 3 4 2" xfId="36851"/>
    <cellStyle name="Currency 125 3 5" xfId="24535"/>
    <cellStyle name="Currency 125 4" xfId="6359"/>
    <cellStyle name="Currency 125 4 2" xfId="12553"/>
    <cellStyle name="Currency 125 4 2 2" xfId="32231"/>
    <cellStyle name="Currency 125 4 3" xfId="18705"/>
    <cellStyle name="Currency 125 4 3 2" xfId="38383"/>
    <cellStyle name="Currency 125 4 4" xfId="26067"/>
    <cellStyle name="Currency 125 5" xfId="9487"/>
    <cellStyle name="Currency 125 5 2" xfId="29165"/>
    <cellStyle name="Currency 125 6" xfId="15639"/>
    <cellStyle name="Currency 125 6 2" xfId="35317"/>
    <cellStyle name="Currency 125 7" xfId="22928"/>
    <cellStyle name="Currency 126" xfId="2146"/>
    <cellStyle name="Currency 126 2" xfId="3953"/>
    <cellStyle name="Currency 126 2 2" xfId="5578"/>
    <cellStyle name="Currency 126 2 2 2" xfId="8664"/>
    <cellStyle name="Currency 126 2 2 2 2" xfId="14857"/>
    <cellStyle name="Currency 126 2 2 2 2 2" xfId="34535"/>
    <cellStyle name="Currency 126 2 2 2 3" xfId="21009"/>
    <cellStyle name="Currency 126 2 2 2 3 2" xfId="40687"/>
    <cellStyle name="Currency 126 2 2 2 4" xfId="28371"/>
    <cellStyle name="Currency 126 2 2 3" xfId="11791"/>
    <cellStyle name="Currency 126 2 2 3 2" xfId="31469"/>
    <cellStyle name="Currency 126 2 2 4" xfId="17943"/>
    <cellStyle name="Currency 126 2 2 4 2" xfId="37621"/>
    <cellStyle name="Currency 126 2 2 5" xfId="25305"/>
    <cellStyle name="Currency 126 2 3" xfId="7129"/>
    <cellStyle name="Currency 126 2 3 2" xfId="13323"/>
    <cellStyle name="Currency 126 2 3 2 2" xfId="33001"/>
    <cellStyle name="Currency 126 2 3 3" xfId="19475"/>
    <cellStyle name="Currency 126 2 3 3 2" xfId="39153"/>
    <cellStyle name="Currency 126 2 3 4" xfId="26837"/>
    <cellStyle name="Currency 126 2 4" xfId="10257"/>
    <cellStyle name="Currency 126 2 4 2" xfId="29935"/>
    <cellStyle name="Currency 126 2 5" xfId="16409"/>
    <cellStyle name="Currency 126 2 5 2" xfId="36087"/>
    <cellStyle name="Currency 126 2 6" xfId="23771"/>
    <cellStyle name="Currency 126 3" xfId="4794"/>
    <cellStyle name="Currency 126 3 2" xfId="7895"/>
    <cellStyle name="Currency 126 3 2 2" xfId="14088"/>
    <cellStyle name="Currency 126 3 2 2 2" xfId="33766"/>
    <cellStyle name="Currency 126 3 2 3" xfId="20240"/>
    <cellStyle name="Currency 126 3 2 3 2" xfId="39918"/>
    <cellStyle name="Currency 126 3 2 4" xfId="27602"/>
    <cellStyle name="Currency 126 3 3" xfId="11022"/>
    <cellStyle name="Currency 126 3 3 2" xfId="30700"/>
    <cellStyle name="Currency 126 3 4" xfId="17174"/>
    <cellStyle name="Currency 126 3 4 2" xfId="36852"/>
    <cellStyle name="Currency 126 3 5" xfId="24536"/>
    <cellStyle name="Currency 126 4" xfId="6360"/>
    <cellStyle name="Currency 126 4 2" xfId="12554"/>
    <cellStyle name="Currency 126 4 2 2" xfId="32232"/>
    <cellStyle name="Currency 126 4 3" xfId="18706"/>
    <cellStyle name="Currency 126 4 3 2" xfId="38384"/>
    <cellStyle name="Currency 126 4 4" xfId="26068"/>
    <cellStyle name="Currency 126 5" xfId="9488"/>
    <cellStyle name="Currency 126 5 2" xfId="29166"/>
    <cellStyle name="Currency 126 6" xfId="15640"/>
    <cellStyle name="Currency 126 6 2" xfId="35318"/>
    <cellStyle name="Currency 126 7" xfId="22929"/>
    <cellStyle name="Currency 127" xfId="2147"/>
    <cellStyle name="Currency 127 2" xfId="3954"/>
    <cellStyle name="Currency 127 2 2" xfId="5579"/>
    <cellStyle name="Currency 127 2 2 2" xfId="8665"/>
    <cellStyle name="Currency 127 2 2 2 2" xfId="14858"/>
    <cellStyle name="Currency 127 2 2 2 2 2" xfId="34536"/>
    <cellStyle name="Currency 127 2 2 2 3" xfId="21010"/>
    <cellStyle name="Currency 127 2 2 2 3 2" xfId="40688"/>
    <cellStyle name="Currency 127 2 2 2 4" xfId="28372"/>
    <cellStyle name="Currency 127 2 2 3" xfId="11792"/>
    <cellStyle name="Currency 127 2 2 3 2" xfId="31470"/>
    <cellStyle name="Currency 127 2 2 4" xfId="17944"/>
    <cellStyle name="Currency 127 2 2 4 2" xfId="37622"/>
    <cellStyle name="Currency 127 2 2 5" xfId="25306"/>
    <cellStyle name="Currency 127 2 3" xfId="7130"/>
    <cellStyle name="Currency 127 2 3 2" xfId="13324"/>
    <cellStyle name="Currency 127 2 3 2 2" xfId="33002"/>
    <cellStyle name="Currency 127 2 3 3" xfId="19476"/>
    <cellStyle name="Currency 127 2 3 3 2" xfId="39154"/>
    <cellStyle name="Currency 127 2 3 4" xfId="26838"/>
    <cellStyle name="Currency 127 2 4" xfId="10258"/>
    <cellStyle name="Currency 127 2 4 2" xfId="29936"/>
    <cellStyle name="Currency 127 2 5" xfId="16410"/>
    <cellStyle name="Currency 127 2 5 2" xfId="36088"/>
    <cellStyle name="Currency 127 2 6" xfId="23772"/>
    <cellStyle name="Currency 127 3" xfId="4795"/>
    <cellStyle name="Currency 127 3 2" xfId="7896"/>
    <cellStyle name="Currency 127 3 2 2" xfId="14089"/>
    <cellStyle name="Currency 127 3 2 2 2" xfId="33767"/>
    <cellStyle name="Currency 127 3 2 3" xfId="20241"/>
    <cellStyle name="Currency 127 3 2 3 2" xfId="39919"/>
    <cellStyle name="Currency 127 3 2 4" xfId="27603"/>
    <cellStyle name="Currency 127 3 3" xfId="11023"/>
    <cellStyle name="Currency 127 3 3 2" xfId="30701"/>
    <cellStyle name="Currency 127 3 4" xfId="17175"/>
    <cellStyle name="Currency 127 3 4 2" xfId="36853"/>
    <cellStyle name="Currency 127 3 5" xfId="24537"/>
    <cellStyle name="Currency 127 4" xfId="6361"/>
    <cellStyle name="Currency 127 4 2" xfId="12555"/>
    <cellStyle name="Currency 127 4 2 2" xfId="32233"/>
    <cellStyle name="Currency 127 4 3" xfId="18707"/>
    <cellStyle name="Currency 127 4 3 2" xfId="38385"/>
    <cellStyle name="Currency 127 4 4" xfId="26069"/>
    <cellStyle name="Currency 127 5" xfId="9489"/>
    <cellStyle name="Currency 127 5 2" xfId="29167"/>
    <cellStyle name="Currency 127 6" xfId="15641"/>
    <cellStyle name="Currency 127 6 2" xfId="35319"/>
    <cellStyle name="Currency 127 7" xfId="22930"/>
    <cellStyle name="Currency 128" xfId="2148"/>
    <cellStyle name="Currency 128 2" xfId="3955"/>
    <cellStyle name="Currency 128 2 2" xfId="5580"/>
    <cellStyle name="Currency 128 2 2 2" xfId="8666"/>
    <cellStyle name="Currency 128 2 2 2 2" xfId="14859"/>
    <cellStyle name="Currency 128 2 2 2 2 2" xfId="34537"/>
    <cellStyle name="Currency 128 2 2 2 3" xfId="21011"/>
    <cellStyle name="Currency 128 2 2 2 3 2" xfId="40689"/>
    <cellStyle name="Currency 128 2 2 2 4" xfId="28373"/>
    <cellStyle name="Currency 128 2 2 3" xfId="11793"/>
    <cellStyle name="Currency 128 2 2 3 2" xfId="31471"/>
    <cellStyle name="Currency 128 2 2 4" xfId="17945"/>
    <cellStyle name="Currency 128 2 2 4 2" xfId="37623"/>
    <cellStyle name="Currency 128 2 2 5" xfId="25307"/>
    <cellStyle name="Currency 128 2 3" xfId="7131"/>
    <cellStyle name="Currency 128 2 3 2" xfId="13325"/>
    <cellStyle name="Currency 128 2 3 2 2" xfId="33003"/>
    <cellStyle name="Currency 128 2 3 3" xfId="19477"/>
    <cellStyle name="Currency 128 2 3 3 2" xfId="39155"/>
    <cellStyle name="Currency 128 2 3 4" xfId="26839"/>
    <cellStyle name="Currency 128 2 4" xfId="10259"/>
    <cellStyle name="Currency 128 2 4 2" xfId="29937"/>
    <cellStyle name="Currency 128 2 5" xfId="16411"/>
    <cellStyle name="Currency 128 2 5 2" xfId="36089"/>
    <cellStyle name="Currency 128 2 6" xfId="23773"/>
    <cellStyle name="Currency 128 3" xfId="4796"/>
    <cellStyle name="Currency 128 3 2" xfId="7897"/>
    <cellStyle name="Currency 128 3 2 2" xfId="14090"/>
    <cellStyle name="Currency 128 3 2 2 2" xfId="33768"/>
    <cellStyle name="Currency 128 3 2 3" xfId="20242"/>
    <cellStyle name="Currency 128 3 2 3 2" xfId="39920"/>
    <cellStyle name="Currency 128 3 2 4" xfId="27604"/>
    <cellStyle name="Currency 128 3 3" xfId="11024"/>
    <cellStyle name="Currency 128 3 3 2" xfId="30702"/>
    <cellStyle name="Currency 128 3 4" xfId="17176"/>
    <cellStyle name="Currency 128 3 4 2" xfId="36854"/>
    <cellStyle name="Currency 128 3 5" xfId="24538"/>
    <cellStyle name="Currency 128 4" xfId="6362"/>
    <cellStyle name="Currency 128 4 2" xfId="12556"/>
    <cellStyle name="Currency 128 4 2 2" xfId="32234"/>
    <cellStyle name="Currency 128 4 3" xfId="18708"/>
    <cellStyle name="Currency 128 4 3 2" xfId="38386"/>
    <cellStyle name="Currency 128 4 4" xfId="26070"/>
    <cellStyle name="Currency 128 5" xfId="9490"/>
    <cellStyle name="Currency 128 5 2" xfId="29168"/>
    <cellStyle name="Currency 128 6" xfId="15642"/>
    <cellStyle name="Currency 128 6 2" xfId="35320"/>
    <cellStyle name="Currency 128 7" xfId="22931"/>
    <cellStyle name="Currency 129" xfId="2149"/>
    <cellStyle name="Currency 129 2" xfId="3956"/>
    <cellStyle name="Currency 129 2 2" xfId="5581"/>
    <cellStyle name="Currency 129 2 2 2" xfId="8667"/>
    <cellStyle name="Currency 129 2 2 2 2" xfId="14860"/>
    <cellStyle name="Currency 129 2 2 2 2 2" xfId="34538"/>
    <cellStyle name="Currency 129 2 2 2 3" xfId="21012"/>
    <cellStyle name="Currency 129 2 2 2 3 2" xfId="40690"/>
    <cellStyle name="Currency 129 2 2 2 4" xfId="28374"/>
    <cellStyle name="Currency 129 2 2 3" xfId="11794"/>
    <cellStyle name="Currency 129 2 2 3 2" xfId="31472"/>
    <cellStyle name="Currency 129 2 2 4" xfId="17946"/>
    <cellStyle name="Currency 129 2 2 4 2" xfId="37624"/>
    <cellStyle name="Currency 129 2 2 5" xfId="25308"/>
    <cellStyle name="Currency 129 2 3" xfId="7132"/>
    <cellStyle name="Currency 129 2 3 2" xfId="13326"/>
    <cellStyle name="Currency 129 2 3 2 2" xfId="33004"/>
    <cellStyle name="Currency 129 2 3 3" xfId="19478"/>
    <cellStyle name="Currency 129 2 3 3 2" xfId="39156"/>
    <cellStyle name="Currency 129 2 3 4" xfId="26840"/>
    <cellStyle name="Currency 129 2 4" xfId="10260"/>
    <cellStyle name="Currency 129 2 4 2" xfId="29938"/>
    <cellStyle name="Currency 129 2 5" xfId="16412"/>
    <cellStyle name="Currency 129 2 5 2" xfId="36090"/>
    <cellStyle name="Currency 129 2 6" xfId="23774"/>
    <cellStyle name="Currency 129 3" xfId="4797"/>
    <cellStyle name="Currency 129 3 2" xfId="7898"/>
    <cellStyle name="Currency 129 3 2 2" xfId="14091"/>
    <cellStyle name="Currency 129 3 2 2 2" xfId="33769"/>
    <cellStyle name="Currency 129 3 2 3" xfId="20243"/>
    <cellStyle name="Currency 129 3 2 3 2" xfId="39921"/>
    <cellStyle name="Currency 129 3 2 4" xfId="27605"/>
    <cellStyle name="Currency 129 3 3" xfId="11025"/>
    <cellStyle name="Currency 129 3 3 2" xfId="30703"/>
    <cellStyle name="Currency 129 3 4" xfId="17177"/>
    <cellStyle name="Currency 129 3 4 2" xfId="36855"/>
    <cellStyle name="Currency 129 3 5" xfId="24539"/>
    <cellStyle name="Currency 129 4" xfId="6363"/>
    <cellStyle name="Currency 129 4 2" xfId="12557"/>
    <cellStyle name="Currency 129 4 2 2" xfId="32235"/>
    <cellStyle name="Currency 129 4 3" xfId="18709"/>
    <cellStyle name="Currency 129 4 3 2" xfId="38387"/>
    <cellStyle name="Currency 129 4 4" xfId="26071"/>
    <cellStyle name="Currency 129 5" xfId="9491"/>
    <cellStyle name="Currency 129 5 2" xfId="29169"/>
    <cellStyle name="Currency 129 6" xfId="15643"/>
    <cellStyle name="Currency 129 6 2" xfId="35321"/>
    <cellStyle name="Currency 129 7" xfId="22932"/>
    <cellStyle name="Currency 13" xfId="2150"/>
    <cellStyle name="Currency 13 2" xfId="2151"/>
    <cellStyle name="Currency 13 2 2" xfId="41900"/>
    <cellStyle name="Currency 13 3" xfId="2152"/>
    <cellStyle name="Currency 13 3 2" xfId="41901"/>
    <cellStyle name="Currency 13 4" xfId="41902"/>
    <cellStyle name="Currency 13 5" xfId="41899"/>
    <cellStyle name="Currency 130" xfId="2153"/>
    <cellStyle name="Currency 130 2" xfId="3957"/>
    <cellStyle name="Currency 130 2 2" xfId="5582"/>
    <cellStyle name="Currency 130 2 2 2" xfId="8668"/>
    <cellStyle name="Currency 130 2 2 2 2" xfId="14861"/>
    <cellStyle name="Currency 130 2 2 2 2 2" xfId="34539"/>
    <cellStyle name="Currency 130 2 2 2 3" xfId="21013"/>
    <cellStyle name="Currency 130 2 2 2 3 2" xfId="40691"/>
    <cellStyle name="Currency 130 2 2 2 4" xfId="28375"/>
    <cellStyle name="Currency 130 2 2 3" xfId="11795"/>
    <cellStyle name="Currency 130 2 2 3 2" xfId="31473"/>
    <cellStyle name="Currency 130 2 2 4" xfId="17947"/>
    <cellStyle name="Currency 130 2 2 4 2" xfId="37625"/>
    <cellStyle name="Currency 130 2 2 5" xfId="25309"/>
    <cellStyle name="Currency 130 2 3" xfId="7133"/>
    <cellStyle name="Currency 130 2 3 2" xfId="13327"/>
    <cellStyle name="Currency 130 2 3 2 2" xfId="33005"/>
    <cellStyle name="Currency 130 2 3 3" xfId="19479"/>
    <cellStyle name="Currency 130 2 3 3 2" xfId="39157"/>
    <cellStyle name="Currency 130 2 3 4" xfId="26841"/>
    <cellStyle name="Currency 130 2 4" xfId="10261"/>
    <cellStyle name="Currency 130 2 4 2" xfId="29939"/>
    <cellStyle name="Currency 130 2 5" xfId="16413"/>
    <cellStyle name="Currency 130 2 5 2" xfId="36091"/>
    <cellStyle name="Currency 130 2 6" xfId="23775"/>
    <cellStyle name="Currency 130 3" xfId="4798"/>
    <cellStyle name="Currency 130 3 2" xfId="7899"/>
    <cellStyle name="Currency 130 3 2 2" xfId="14092"/>
    <cellStyle name="Currency 130 3 2 2 2" xfId="33770"/>
    <cellStyle name="Currency 130 3 2 3" xfId="20244"/>
    <cellStyle name="Currency 130 3 2 3 2" xfId="39922"/>
    <cellStyle name="Currency 130 3 2 4" xfId="27606"/>
    <cellStyle name="Currency 130 3 3" xfId="11026"/>
    <cellStyle name="Currency 130 3 3 2" xfId="30704"/>
    <cellStyle name="Currency 130 3 4" xfId="17178"/>
    <cellStyle name="Currency 130 3 4 2" xfId="36856"/>
    <cellStyle name="Currency 130 3 5" xfId="24540"/>
    <cellStyle name="Currency 130 4" xfId="6364"/>
    <cellStyle name="Currency 130 4 2" xfId="12558"/>
    <cellStyle name="Currency 130 4 2 2" xfId="32236"/>
    <cellStyle name="Currency 130 4 3" xfId="18710"/>
    <cellStyle name="Currency 130 4 3 2" xfId="38388"/>
    <cellStyle name="Currency 130 4 4" xfId="26072"/>
    <cellStyle name="Currency 130 5" xfId="9492"/>
    <cellStyle name="Currency 130 5 2" xfId="29170"/>
    <cellStyle name="Currency 130 6" xfId="15644"/>
    <cellStyle name="Currency 130 6 2" xfId="35322"/>
    <cellStyle name="Currency 130 7" xfId="22933"/>
    <cellStyle name="Currency 131" xfId="2154"/>
    <cellStyle name="Currency 132" xfId="2155"/>
    <cellStyle name="Currency 133" xfId="2156"/>
    <cellStyle name="Currency 134" xfId="2157"/>
    <cellStyle name="Currency 135" xfId="2158"/>
    <cellStyle name="Currency 136" xfId="2159"/>
    <cellStyle name="Currency 137" xfId="2160"/>
    <cellStyle name="Currency 138" xfId="2161"/>
    <cellStyle name="Currency 139" xfId="2162"/>
    <cellStyle name="Currency 14" xfId="2163"/>
    <cellStyle name="Currency 14 2" xfId="2164"/>
    <cellStyle name="Currency 14 3" xfId="2165"/>
    <cellStyle name="Currency 14 4" xfId="41903"/>
    <cellStyle name="Currency 140" xfId="2166"/>
    <cellStyle name="Currency 141" xfId="2167"/>
    <cellStyle name="Currency 142" xfId="2168"/>
    <cellStyle name="Currency 143" xfId="2169"/>
    <cellStyle name="Currency 144" xfId="2170"/>
    <cellStyle name="Currency 145" xfId="2171"/>
    <cellStyle name="Currency 146" xfId="2172"/>
    <cellStyle name="Currency 147" xfId="2173"/>
    <cellStyle name="Currency 148" xfId="2174"/>
    <cellStyle name="Currency 149" xfId="2175"/>
    <cellStyle name="Currency 15" xfId="2176"/>
    <cellStyle name="Currency 15 2" xfId="2177"/>
    <cellStyle name="Currency 15 3" xfId="2178"/>
    <cellStyle name="Currency 15 4" xfId="41904"/>
    <cellStyle name="Currency 150" xfId="2179"/>
    <cellStyle name="Currency 151" xfId="2180"/>
    <cellStyle name="Currency 152" xfId="2181"/>
    <cellStyle name="Currency 153" xfId="2182"/>
    <cellStyle name="Currency 154" xfId="2183"/>
    <cellStyle name="Currency 155" xfId="2184"/>
    <cellStyle name="Currency 156" xfId="2185"/>
    <cellStyle name="Currency 157" xfId="2186"/>
    <cellStyle name="Currency 158" xfId="2187"/>
    <cellStyle name="Currency 159" xfId="2188"/>
    <cellStyle name="Currency 159 2" xfId="3958"/>
    <cellStyle name="Currency 159 2 2" xfId="5583"/>
    <cellStyle name="Currency 159 2 2 2" xfId="8669"/>
    <cellStyle name="Currency 159 2 2 2 2" xfId="14862"/>
    <cellStyle name="Currency 159 2 2 2 2 2" xfId="34540"/>
    <cellStyle name="Currency 159 2 2 2 3" xfId="21014"/>
    <cellStyle name="Currency 159 2 2 2 3 2" xfId="40692"/>
    <cellStyle name="Currency 159 2 2 2 4" xfId="28376"/>
    <cellStyle name="Currency 159 2 2 3" xfId="11796"/>
    <cellStyle name="Currency 159 2 2 3 2" xfId="31474"/>
    <cellStyle name="Currency 159 2 2 4" xfId="17948"/>
    <cellStyle name="Currency 159 2 2 4 2" xfId="37626"/>
    <cellStyle name="Currency 159 2 2 5" xfId="25310"/>
    <cellStyle name="Currency 159 2 3" xfId="7134"/>
    <cellStyle name="Currency 159 2 3 2" xfId="13328"/>
    <cellStyle name="Currency 159 2 3 2 2" xfId="33006"/>
    <cellStyle name="Currency 159 2 3 3" xfId="19480"/>
    <cellStyle name="Currency 159 2 3 3 2" xfId="39158"/>
    <cellStyle name="Currency 159 2 3 4" xfId="26842"/>
    <cellStyle name="Currency 159 2 4" xfId="10262"/>
    <cellStyle name="Currency 159 2 4 2" xfId="29940"/>
    <cellStyle name="Currency 159 2 5" xfId="16414"/>
    <cellStyle name="Currency 159 2 5 2" xfId="36092"/>
    <cellStyle name="Currency 159 2 6" xfId="23776"/>
    <cellStyle name="Currency 159 3" xfId="4799"/>
    <cellStyle name="Currency 159 3 2" xfId="7900"/>
    <cellStyle name="Currency 159 3 2 2" xfId="14093"/>
    <cellStyle name="Currency 159 3 2 2 2" xfId="33771"/>
    <cellStyle name="Currency 159 3 2 3" xfId="20245"/>
    <cellStyle name="Currency 159 3 2 3 2" xfId="39923"/>
    <cellStyle name="Currency 159 3 2 4" xfId="27607"/>
    <cellStyle name="Currency 159 3 3" xfId="11027"/>
    <cellStyle name="Currency 159 3 3 2" xfId="30705"/>
    <cellStyle name="Currency 159 3 4" xfId="17179"/>
    <cellStyle name="Currency 159 3 4 2" xfId="36857"/>
    <cellStyle name="Currency 159 3 5" xfId="24541"/>
    <cellStyle name="Currency 159 4" xfId="6365"/>
    <cellStyle name="Currency 159 4 2" xfId="12559"/>
    <cellStyle name="Currency 159 4 2 2" xfId="32237"/>
    <cellStyle name="Currency 159 4 3" xfId="18711"/>
    <cellStyle name="Currency 159 4 3 2" xfId="38389"/>
    <cellStyle name="Currency 159 4 4" xfId="26073"/>
    <cellStyle name="Currency 159 5" xfId="9493"/>
    <cellStyle name="Currency 159 5 2" xfId="29171"/>
    <cellStyle name="Currency 159 6" xfId="15645"/>
    <cellStyle name="Currency 159 6 2" xfId="35323"/>
    <cellStyle name="Currency 159 7" xfId="22934"/>
    <cellStyle name="Currency 16" xfId="2189"/>
    <cellStyle name="Currency 16 2" xfId="2190"/>
    <cellStyle name="Currency 16 3" xfId="2191"/>
    <cellStyle name="Currency 16 4" xfId="41905"/>
    <cellStyle name="Currency 160" xfId="380"/>
    <cellStyle name="Currency 161" xfId="3687"/>
    <cellStyle name="Currency 162" xfId="3794"/>
    <cellStyle name="Currency 162 2" xfId="3799"/>
    <cellStyle name="Currency 162 3" xfId="5426"/>
    <cellStyle name="Currency 162 3 2" xfId="8512"/>
    <cellStyle name="Currency 162 3 2 2" xfId="14705"/>
    <cellStyle name="Currency 162 3 2 2 2" xfId="34383"/>
    <cellStyle name="Currency 162 3 2 3" xfId="20857"/>
    <cellStyle name="Currency 162 3 2 3 2" xfId="40535"/>
    <cellStyle name="Currency 162 3 2 4" xfId="28219"/>
    <cellStyle name="Currency 162 3 3" xfId="11639"/>
    <cellStyle name="Currency 162 3 3 2" xfId="31317"/>
    <cellStyle name="Currency 162 3 4" xfId="17791"/>
    <cellStyle name="Currency 162 3 4 2" xfId="37469"/>
    <cellStyle name="Currency 162 3 5" xfId="25153"/>
    <cellStyle name="Currency 162 4" xfId="6977"/>
    <cellStyle name="Currency 162 4 2" xfId="13171"/>
    <cellStyle name="Currency 162 4 2 2" xfId="32849"/>
    <cellStyle name="Currency 162 4 3" xfId="19323"/>
    <cellStyle name="Currency 162 4 3 2" xfId="39001"/>
    <cellStyle name="Currency 162 4 4" xfId="26685"/>
    <cellStyle name="Currency 162 5" xfId="10105"/>
    <cellStyle name="Currency 162 5 2" xfId="29783"/>
    <cellStyle name="Currency 162 6" xfId="16257"/>
    <cellStyle name="Currency 162 6 2" xfId="35935"/>
    <cellStyle name="Currency 162 7" xfId="23619"/>
    <cellStyle name="Currency 163" xfId="4568"/>
    <cellStyle name="Currency 164" xfId="4636"/>
    <cellStyle name="Currency 165" xfId="4576"/>
    <cellStyle name="Currency 166" xfId="4627"/>
    <cellStyle name="Currency 167" xfId="4587"/>
    <cellStyle name="Currency 168" xfId="4573"/>
    <cellStyle name="Currency 169" xfId="4629"/>
    <cellStyle name="Currency 17" xfId="2192"/>
    <cellStyle name="Currency 17 2" xfId="2193"/>
    <cellStyle name="Currency 17 3" xfId="2194"/>
    <cellStyle name="Currency 170" xfId="4585"/>
    <cellStyle name="Currency 171" xfId="4625"/>
    <cellStyle name="Currency 172" xfId="4616"/>
    <cellStyle name="Currency 173" xfId="4590"/>
    <cellStyle name="Currency 174" xfId="4612"/>
    <cellStyle name="Currency 175" xfId="4597"/>
    <cellStyle name="Currency 176" xfId="4593"/>
    <cellStyle name="Currency 177" xfId="4609"/>
    <cellStyle name="Currency 178" xfId="4596"/>
    <cellStyle name="Currency 179" xfId="3803"/>
    <cellStyle name="Currency 179 2" xfId="5428"/>
    <cellStyle name="Currency 179 2 2" xfId="8514"/>
    <cellStyle name="Currency 179 2 2 2" xfId="14707"/>
    <cellStyle name="Currency 179 2 2 2 2" xfId="34385"/>
    <cellStyle name="Currency 179 2 2 3" xfId="20859"/>
    <cellStyle name="Currency 179 2 2 3 2" xfId="40537"/>
    <cellStyle name="Currency 179 2 2 4" xfId="28221"/>
    <cellStyle name="Currency 179 2 3" xfId="11641"/>
    <cellStyle name="Currency 179 2 3 2" xfId="31319"/>
    <cellStyle name="Currency 179 2 4" xfId="17793"/>
    <cellStyle name="Currency 179 2 4 2" xfId="37471"/>
    <cellStyle name="Currency 179 2 5" xfId="25155"/>
    <cellStyle name="Currency 179 3" xfId="6979"/>
    <cellStyle name="Currency 179 3 2" xfId="13173"/>
    <cellStyle name="Currency 179 3 2 2" xfId="32851"/>
    <cellStyle name="Currency 179 3 3" xfId="19325"/>
    <cellStyle name="Currency 179 3 3 2" xfId="39003"/>
    <cellStyle name="Currency 179 3 4" xfId="26687"/>
    <cellStyle name="Currency 179 4" xfId="10107"/>
    <cellStyle name="Currency 179 4 2" xfId="29785"/>
    <cellStyle name="Currency 179 5" xfId="16259"/>
    <cellStyle name="Currency 179 5 2" xfId="35937"/>
    <cellStyle name="Currency 179 6" xfId="23621"/>
    <cellStyle name="Currency 18" xfId="2195"/>
    <cellStyle name="Currency 18 2" xfId="2196"/>
    <cellStyle name="Currency 18 3" xfId="2197"/>
    <cellStyle name="Currency 180" xfId="6208"/>
    <cellStyle name="Currency 181" xfId="9279"/>
    <cellStyle name="Currency 182" xfId="9283"/>
    <cellStyle name="Currency 183" xfId="9336"/>
    <cellStyle name="Currency 184" xfId="221"/>
    <cellStyle name="Currency 185" xfId="282"/>
    <cellStyle name="Currency 186" xfId="41327"/>
    <cellStyle name="Currency 187" xfId="41322"/>
    <cellStyle name="Currency 188" xfId="41330"/>
    <cellStyle name="Currency 189" xfId="21766"/>
    <cellStyle name="Currency 19" xfId="2198"/>
    <cellStyle name="Currency 19 2" xfId="2199"/>
    <cellStyle name="Currency 19 3" xfId="2200"/>
    <cellStyle name="Currency 190" xfId="41862"/>
    <cellStyle name="Currency 191" xfId="41864"/>
    <cellStyle name="Currency 192" xfId="41865"/>
    <cellStyle name="Currency 193" xfId="41866"/>
    <cellStyle name="Currency 194" xfId="41863"/>
    <cellStyle name="Currency 195" xfId="41860"/>
    <cellStyle name="Currency 196" xfId="41861"/>
    <cellStyle name="Currency 197" xfId="41867"/>
    <cellStyle name="Currency 198" xfId="41868"/>
    <cellStyle name="Currency 199" xfId="41869"/>
    <cellStyle name="Currency 2" xfId="8"/>
    <cellStyle name="Currency 2 10" xfId="257"/>
    <cellStyle name="Currency 2 10 2" xfId="3709"/>
    <cellStyle name="Currency 2 10 3" xfId="2202"/>
    <cellStyle name="Currency 2 11" xfId="258"/>
    <cellStyle name="Currency 2 11 2" xfId="3710"/>
    <cellStyle name="Currency 2 11 3" xfId="2203"/>
    <cellStyle name="Currency 2 12" xfId="259"/>
    <cellStyle name="Currency 2 12 2" xfId="3711"/>
    <cellStyle name="Currency 2 12 3" xfId="2204"/>
    <cellStyle name="Currency 2 13" xfId="260"/>
    <cellStyle name="Currency 2 13 2" xfId="3712"/>
    <cellStyle name="Currency 2 13 3" xfId="2205"/>
    <cellStyle name="Currency 2 14" xfId="261"/>
    <cellStyle name="Currency 2 14 2" xfId="3713"/>
    <cellStyle name="Currency 2 14 3" xfId="2206"/>
    <cellStyle name="Currency 2 15" xfId="262"/>
    <cellStyle name="Currency 2 15 2" xfId="3714"/>
    <cellStyle name="Currency 2 15 3" xfId="2207"/>
    <cellStyle name="Currency 2 16" xfId="263"/>
    <cellStyle name="Currency 2 16 2" xfId="3715"/>
    <cellStyle name="Currency 2 16 3" xfId="2208"/>
    <cellStyle name="Currency 2 17" xfId="264"/>
    <cellStyle name="Currency 2 17 2" xfId="3716"/>
    <cellStyle name="Currency 2 17 3" xfId="2209"/>
    <cellStyle name="Currency 2 18" xfId="265"/>
    <cellStyle name="Currency 2 18 2" xfId="3717"/>
    <cellStyle name="Currency 2 18 3" xfId="2210"/>
    <cellStyle name="Currency 2 19" xfId="266"/>
    <cellStyle name="Currency 2 19 2" xfId="3718"/>
    <cellStyle name="Currency 2 19 3" xfId="2211"/>
    <cellStyle name="Currency 2 2" xfId="29"/>
    <cellStyle name="Currency 2 2 10" xfId="2213"/>
    <cellStyle name="Currency 2 2 10 2" xfId="3961"/>
    <cellStyle name="Currency 2 2 10 2 2" xfId="5586"/>
    <cellStyle name="Currency 2 2 10 2 2 2" xfId="8672"/>
    <cellStyle name="Currency 2 2 10 2 2 2 2" xfId="14865"/>
    <cellStyle name="Currency 2 2 10 2 2 2 2 2" xfId="34543"/>
    <cellStyle name="Currency 2 2 10 2 2 2 3" xfId="21017"/>
    <cellStyle name="Currency 2 2 10 2 2 2 3 2" xfId="40695"/>
    <cellStyle name="Currency 2 2 10 2 2 2 4" xfId="28379"/>
    <cellStyle name="Currency 2 2 10 2 2 3" xfId="11799"/>
    <cellStyle name="Currency 2 2 10 2 2 3 2" xfId="31477"/>
    <cellStyle name="Currency 2 2 10 2 2 4" xfId="17951"/>
    <cellStyle name="Currency 2 2 10 2 2 4 2" xfId="37629"/>
    <cellStyle name="Currency 2 2 10 2 2 5" xfId="25313"/>
    <cellStyle name="Currency 2 2 10 2 3" xfId="7137"/>
    <cellStyle name="Currency 2 2 10 2 3 2" xfId="13331"/>
    <cellStyle name="Currency 2 2 10 2 3 2 2" xfId="33009"/>
    <cellStyle name="Currency 2 2 10 2 3 3" xfId="19483"/>
    <cellStyle name="Currency 2 2 10 2 3 3 2" xfId="39161"/>
    <cellStyle name="Currency 2 2 10 2 3 4" xfId="26845"/>
    <cellStyle name="Currency 2 2 10 2 4" xfId="10265"/>
    <cellStyle name="Currency 2 2 10 2 4 2" xfId="29943"/>
    <cellStyle name="Currency 2 2 10 2 5" xfId="16417"/>
    <cellStyle name="Currency 2 2 10 2 5 2" xfId="36095"/>
    <cellStyle name="Currency 2 2 10 2 6" xfId="23779"/>
    <cellStyle name="Currency 2 2 10 3" xfId="4802"/>
    <cellStyle name="Currency 2 2 10 3 2" xfId="7903"/>
    <cellStyle name="Currency 2 2 10 3 2 2" xfId="14096"/>
    <cellStyle name="Currency 2 2 10 3 2 2 2" xfId="33774"/>
    <cellStyle name="Currency 2 2 10 3 2 3" xfId="20248"/>
    <cellStyle name="Currency 2 2 10 3 2 3 2" xfId="39926"/>
    <cellStyle name="Currency 2 2 10 3 2 4" xfId="27610"/>
    <cellStyle name="Currency 2 2 10 3 3" xfId="11030"/>
    <cellStyle name="Currency 2 2 10 3 3 2" xfId="30708"/>
    <cellStyle name="Currency 2 2 10 3 4" xfId="17182"/>
    <cellStyle name="Currency 2 2 10 3 4 2" xfId="36860"/>
    <cellStyle name="Currency 2 2 10 3 5" xfId="24544"/>
    <cellStyle name="Currency 2 2 10 4" xfId="6368"/>
    <cellStyle name="Currency 2 2 10 4 2" xfId="12562"/>
    <cellStyle name="Currency 2 2 10 4 2 2" xfId="32240"/>
    <cellStyle name="Currency 2 2 10 4 3" xfId="18714"/>
    <cellStyle name="Currency 2 2 10 4 3 2" xfId="38392"/>
    <cellStyle name="Currency 2 2 10 4 4" xfId="26076"/>
    <cellStyle name="Currency 2 2 10 5" xfId="9496"/>
    <cellStyle name="Currency 2 2 10 5 2" xfId="29174"/>
    <cellStyle name="Currency 2 2 10 6" xfId="15648"/>
    <cellStyle name="Currency 2 2 10 6 2" xfId="35326"/>
    <cellStyle name="Currency 2 2 10 7" xfId="22937"/>
    <cellStyle name="Currency 2 2 11" xfId="2214"/>
    <cellStyle name="Currency 2 2 11 2" xfId="3962"/>
    <cellStyle name="Currency 2 2 11 2 2" xfId="5587"/>
    <cellStyle name="Currency 2 2 11 2 2 2" xfId="8673"/>
    <cellStyle name="Currency 2 2 11 2 2 2 2" xfId="14866"/>
    <cellStyle name="Currency 2 2 11 2 2 2 2 2" xfId="34544"/>
    <cellStyle name="Currency 2 2 11 2 2 2 3" xfId="21018"/>
    <cellStyle name="Currency 2 2 11 2 2 2 3 2" xfId="40696"/>
    <cellStyle name="Currency 2 2 11 2 2 2 4" xfId="28380"/>
    <cellStyle name="Currency 2 2 11 2 2 3" xfId="11800"/>
    <cellStyle name="Currency 2 2 11 2 2 3 2" xfId="31478"/>
    <cellStyle name="Currency 2 2 11 2 2 4" xfId="17952"/>
    <cellStyle name="Currency 2 2 11 2 2 4 2" xfId="37630"/>
    <cellStyle name="Currency 2 2 11 2 2 5" xfId="25314"/>
    <cellStyle name="Currency 2 2 11 2 3" xfId="7138"/>
    <cellStyle name="Currency 2 2 11 2 3 2" xfId="13332"/>
    <cellStyle name="Currency 2 2 11 2 3 2 2" xfId="33010"/>
    <cellStyle name="Currency 2 2 11 2 3 3" xfId="19484"/>
    <cellStyle name="Currency 2 2 11 2 3 3 2" xfId="39162"/>
    <cellStyle name="Currency 2 2 11 2 3 4" xfId="26846"/>
    <cellStyle name="Currency 2 2 11 2 4" xfId="10266"/>
    <cellStyle name="Currency 2 2 11 2 4 2" xfId="29944"/>
    <cellStyle name="Currency 2 2 11 2 5" xfId="16418"/>
    <cellStyle name="Currency 2 2 11 2 5 2" xfId="36096"/>
    <cellStyle name="Currency 2 2 11 2 6" xfId="23780"/>
    <cellStyle name="Currency 2 2 11 3" xfId="4803"/>
    <cellStyle name="Currency 2 2 11 3 2" xfId="7904"/>
    <cellStyle name="Currency 2 2 11 3 2 2" xfId="14097"/>
    <cellStyle name="Currency 2 2 11 3 2 2 2" xfId="33775"/>
    <cellStyle name="Currency 2 2 11 3 2 3" xfId="20249"/>
    <cellStyle name="Currency 2 2 11 3 2 3 2" xfId="39927"/>
    <cellStyle name="Currency 2 2 11 3 2 4" xfId="27611"/>
    <cellStyle name="Currency 2 2 11 3 3" xfId="11031"/>
    <cellStyle name="Currency 2 2 11 3 3 2" xfId="30709"/>
    <cellStyle name="Currency 2 2 11 3 4" xfId="17183"/>
    <cellStyle name="Currency 2 2 11 3 4 2" xfId="36861"/>
    <cellStyle name="Currency 2 2 11 3 5" xfId="24545"/>
    <cellStyle name="Currency 2 2 11 4" xfId="6369"/>
    <cellStyle name="Currency 2 2 11 4 2" xfId="12563"/>
    <cellStyle name="Currency 2 2 11 4 2 2" xfId="32241"/>
    <cellStyle name="Currency 2 2 11 4 3" xfId="18715"/>
    <cellStyle name="Currency 2 2 11 4 3 2" xfId="38393"/>
    <cellStyle name="Currency 2 2 11 4 4" xfId="26077"/>
    <cellStyle name="Currency 2 2 11 5" xfId="9497"/>
    <cellStyle name="Currency 2 2 11 5 2" xfId="29175"/>
    <cellStyle name="Currency 2 2 11 6" xfId="15649"/>
    <cellStyle name="Currency 2 2 11 6 2" xfId="35327"/>
    <cellStyle name="Currency 2 2 11 7" xfId="22938"/>
    <cellStyle name="Currency 2 2 12" xfId="2215"/>
    <cellStyle name="Currency 2 2 12 2" xfId="3963"/>
    <cellStyle name="Currency 2 2 12 2 2" xfId="5588"/>
    <cellStyle name="Currency 2 2 12 2 2 2" xfId="8674"/>
    <cellStyle name="Currency 2 2 12 2 2 2 2" xfId="14867"/>
    <cellStyle name="Currency 2 2 12 2 2 2 2 2" xfId="34545"/>
    <cellStyle name="Currency 2 2 12 2 2 2 3" xfId="21019"/>
    <cellStyle name="Currency 2 2 12 2 2 2 3 2" xfId="40697"/>
    <cellStyle name="Currency 2 2 12 2 2 2 4" xfId="28381"/>
    <cellStyle name="Currency 2 2 12 2 2 3" xfId="11801"/>
    <cellStyle name="Currency 2 2 12 2 2 3 2" xfId="31479"/>
    <cellStyle name="Currency 2 2 12 2 2 4" xfId="17953"/>
    <cellStyle name="Currency 2 2 12 2 2 4 2" xfId="37631"/>
    <cellStyle name="Currency 2 2 12 2 2 5" xfId="25315"/>
    <cellStyle name="Currency 2 2 12 2 3" xfId="7139"/>
    <cellStyle name="Currency 2 2 12 2 3 2" xfId="13333"/>
    <cellStyle name="Currency 2 2 12 2 3 2 2" xfId="33011"/>
    <cellStyle name="Currency 2 2 12 2 3 3" xfId="19485"/>
    <cellStyle name="Currency 2 2 12 2 3 3 2" xfId="39163"/>
    <cellStyle name="Currency 2 2 12 2 3 4" xfId="26847"/>
    <cellStyle name="Currency 2 2 12 2 4" xfId="10267"/>
    <cellStyle name="Currency 2 2 12 2 4 2" xfId="29945"/>
    <cellStyle name="Currency 2 2 12 2 5" xfId="16419"/>
    <cellStyle name="Currency 2 2 12 2 5 2" xfId="36097"/>
    <cellStyle name="Currency 2 2 12 2 6" xfId="23781"/>
    <cellStyle name="Currency 2 2 12 3" xfId="4804"/>
    <cellStyle name="Currency 2 2 12 3 2" xfId="7905"/>
    <cellStyle name="Currency 2 2 12 3 2 2" xfId="14098"/>
    <cellStyle name="Currency 2 2 12 3 2 2 2" xfId="33776"/>
    <cellStyle name="Currency 2 2 12 3 2 3" xfId="20250"/>
    <cellStyle name="Currency 2 2 12 3 2 3 2" xfId="39928"/>
    <cellStyle name="Currency 2 2 12 3 2 4" xfId="27612"/>
    <cellStyle name="Currency 2 2 12 3 3" xfId="11032"/>
    <cellStyle name="Currency 2 2 12 3 3 2" xfId="30710"/>
    <cellStyle name="Currency 2 2 12 3 4" xfId="17184"/>
    <cellStyle name="Currency 2 2 12 3 4 2" xfId="36862"/>
    <cellStyle name="Currency 2 2 12 3 5" xfId="24546"/>
    <cellStyle name="Currency 2 2 12 4" xfId="6370"/>
    <cellStyle name="Currency 2 2 12 4 2" xfId="12564"/>
    <cellStyle name="Currency 2 2 12 4 2 2" xfId="32242"/>
    <cellStyle name="Currency 2 2 12 4 3" xfId="18716"/>
    <cellStyle name="Currency 2 2 12 4 3 2" xfId="38394"/>
    <cellStyle name="Currency 2 2 12 4 4" xfId="26078"/>
    <cellStyle name="Currency 2 2 12 5" xfId="9498"/>
    <cellStyle name="Currency 2 2 12 5 2" xfId="29176"/>
    <cellStyle name="Currency 2 2 12 6" xfId="15650"/>
    <cellStyle name="Currency 2 2 12 6 2" xfId="35328"/>
    <cellStyle name="Currency 2 2 12 7" xfId="22939"/>
    <cellStyle name="Currency 2 2 13" xfId="2216"/>
    <cellStyle name="Currency 2 2 13 2" xfId="3964"/>
    <cellStyle name="Currency 2 2 13 2 2" xfId="5589"/>
    <cellStyle name="Currency 2 2 13 2 2 2" xfId="8675"/>
    <cellStyle name="Currency 2 2 13 2 2 2 2" xfId="14868"/>
    <cellStyle name="Currency 2 2 13 2 2 2 2 2" xfId="34546"/>
    <cellStyle name="Currency 2 2 13 2 2 2 3" xfId="21020"/>
    <cellStyle name="Currency 2 2 13 2 2 2 3 2" xfId="40698"/>
    <cellStyle name="Currency 2 2 13 2 2 2 4" xfId="28382"/>
    <cellStyle name="Currency 2 2 13 2 2 3" xfId="11802"/>
    <cellStyle name="Currency 2 2 13 2 2 3 2" xfId="31480"/>
    <cellStyle name="Currency 2 2 13 2 2 4" xfId="17954"/>
    <cellStyle name="Currency 2 2 13 2 2 4 2" xfId="37632"/>
    <cellStyle name="Currency 2 2 13 2 2 5" xfId="25316"/>
    <cellStyle name="Currency 2 2 13 2 3" xfId="7140"/>
    <cellStyle name="Currency 2 2 13 2 3 2" xfId="13334"/>
    <cellStyle name="Currency 2 2 13 2 3 2 2" xfId="33012"/>
    <cellStyle name="Currency 2 2 13 2 3 3" xfId="19486"/>
    <cellStyle name="Currency 2 2 13 2 3 3 2" xfId="39164"/>
    <cellStyle name="Currency 2 2 13 2 3 4" xfId="26848"/>
    <cellStyle name="Currency 2 2 13 2 4" xfId="10268"/>
    <cellStyle name="Currency 2 2 13 2 4 2" xfId="29946"/>
    <cellStyle name="Currency 2 2 13 2 5" xfId="16420"/>
    <cellStyle name="Currency 2 2 13 2 5 2" xfId="36098"/>
    <cellStyle name="Currency 2 2 13 2 6" xfId="23782"/>
    <cellStyle name="Currency 2 2 13 3" xfId="4805"/>
    <cellStyle name="Currency 2 2 13 3 2" xfId="7906"/>
    <cellStyle name="Currency 2 2 13 3 2 2" xfId="14099"/>
    <cellStyle name="Currency 2 2 13 3 2 2 2" xfId="33777"/>
    <cellStyle name="Currency 2 2 13 3 2 3" xfId="20251"/>
    <cellStyle name="Currency 2 2 13 3 2 3 2" xfId="39929"/>
    <cellStyle name="Currency 2 2 13 3 2 4" xfId="27613"/>
    <cellStyle name="Currency 2 2 13 3 3" xfId="11033"/>
    <cellStyle name="Currency 2 2 13 3 3 2" xfId="30711"/>
    <cellStyle name="Currency 2 2 13 3 4" xfId="17185"/>
    <cellStyle name="Currency 2 2 13 3 4 2" xfId="36863"/>
    <cellStyle name="Currency 2 2 13 3 5" xfId="24547"/>
    <cellStyle name="Currency 2 2 13 4" xfId="6371"/>
    <cellStyle name="Currency 2 2 13 4 2" xfId="12565"/>
    <cellStyle name="Currency 2 2 13 4 2 2" xfId="32243"/>
    <cellStyle name="Currency 2 2 13 4 3" xfId="18717"/>
    <cellStyle name="Currency 2 2 13 4 3 2" xfId="38395"/>
    <cellStyle name="Currency 2 2 13 4 4" xfId="26079"/>
    <cellStyle name="Currency 2 2 13 5" xfId="9499"/>
    <cellStyle name="Currency 2 2 13 5 2" xfId="29177"/>
    <cellStyle name="Currency 2 2 13 6" xfId="15651"/>
    <cellStyle name="Currency 2 2 13 6 2" xfId="35329"/>
    <cellStyle name="Currency 2 2 13 7" xfId="22940"/>
    <cellStyle name="Currency 2 2 14" xfId="2217"/>
    <cellStyle name="Currency 2 2 14 2" xfId="3965"/>
    <cellStyle name="Currency 2 2 14 2 2" xfId="5590"/>
    <cellStyle name="Currency 2 2 14 2 2 2" xfId="8676"/>
    <cellStyle name="Currency 2 2 14 2 2 2 2" xfId="14869"/>
    <cellStyle name="Currency 2 2 14 2 2 2 2 2" xfId="34547"/>
    <cellStyle name="Currency 2 2 14 2 2 2 3" xfId="21021"/>
    <cellStyle name="Currency 2 2 14 2 2 2 3 2" xfId="40699"/>
    <cellStyle name="Currency 2 2 14 2 2 2 4" xfId="28383"/>
    <cellStyle name="Currency 2 2 14 2 2 3" xfId="11803"/>
    <cellStyle name="Currency 2 2 14 2 2 3 2" xfId="31481"/>
    <cellStyle name="Currency 2 2 14 2 2 4" xfId="17955"/>
    <cellStyle name="Currency 2 2 14 2 2 4 2" xfId="37633"/>
    <cellStyle name="Currency 2 2 14 2 2 5" xfId="25317"/>
    <cellStyle name="Currency 2 2 14 2 3" xfId="7141"/>
    <cellStyle name="Currency 2 2 14 2 3 2" xfId="13335"/>
    <cellStyle name="Currency 2 2 14 2 3 2 2" xfId="33013"/>
    <cellStyle name="Currency 2 2 14 2 3 3" xfId="19487"/>
    <cellStyle name="Currency 2 2 14 2 3 3 2" xfId="39165"/>
    <cellStyle name="Currency 2 2 14 2 3 4" xfId="26849"/>
    <cellStyle name="Currency 2 2 14 2 4" xfId="10269"/>
    <cellStyle name="Currency 2 2 14 2 4 2" xfId="29947"/>
    <cellStyle name="Currency 2 2 14 2 5" xfId="16421"/>
    <cellStyle name="Currency 2 2 14 2 5 2" xfId="36099"/>
    <cellStyle name="Currency 2 2 14 2 6" xfId="23783"/>
    <cellStyle name="Currency 2 2 14 3" xfId="4806"/>
    <cellStyle name="Currency 2 2 14 3 2" xfId="7907"/>
    <cellStyle name="Currency 2 2 14 3 2 2" xfId="14100"/>
    <cellStyle name="Currency 2 2 14 3 2 2 2" xfId="33778"/>
    <cellStyle name="Currency 2 2 14 3 2 3" xfId="20252"/>
    <cellStyle name="Currency 2 2 14 3 2 3 2" xfId="39930"/>
    <cellStyle name="Currency 2 2 14 3 2 4" xfId="27614"/>
    <cellStyle name="Currency 2 2 14 3 3" xfId="11034"/>
    <cellStyle name="Currency 2 2 14 3 3 2" xfId="30712"/>
    <cellStyle name="Currency 2 2 14 3 4" xfId="17186"/>
    <cellStyle name="Currency 2 2 14 3 4 2" xfId="36864"/>
    <cellStyle name="Currency 2 2 14 3 5" xfId="24548"/>
    <cellStyle name="Currency 2 2 14 4" xfId="6372"/>
    <cellStyle name="Currency 2 2 14 4 2" xfId="12566"/>
    <cellStyle name="Currency 2 2 14 4 2 2" xfId="32244"/>
    <cellStyle name="Currency 2 2 14 4 3" xfId="18718"/>
    <cellStyle name="Currency 2 2 14 4 3 2" xfId="38396"/>
    <cellStyle name="Currency 2 2 14 4 4" xfId="26080"/>
    <cellStyle name="Currency 2 2 14 5" xfId="9500"/>
    <cellStyle name="Currency 2 2 14 5 2" xfId="29178"/>
    <cellStyle name="Currency 2 2 14 6" xfId="15652"/>
    <cellStyle name="Currency 2 2 14 6 2" xfId="35330"/>
    <cellStyle name="Currency 2 2 14 7" xfId="22941"/>
    <cellStyle name="Currency 2 2 15" xfId="2218"/>
    <cellStyle name="Currency 2 2 15 2" xfId="3966"/>
    <cellStyle name="Currency 2 2 15 2 2" xfId="5591"/>
    <cellStyle name="Currency 2 2 15 2 2 2" xfId="8677"/>
    <cellStyle name="Currency 2 2 15 2 2 2 2" xfId="14870"/>
    <cellStyle name="Currency 2 2 15 2 2 2 2 2" xfId="34548"/>
    <cellStyle name="Currency 2 2 15 2 2 2 3" xfId="21022"/>
    <cellStyle name="Currency 2 2 15 2 2 2 3 2" xfId="40700"/>
    <cellStyle name="Currency 2 2 15 2 2 2 4" xfId="28384"/>
    <cellStyle name="Currency 2 2 15 2 2 3" xfId="11804"/>
    <cellStyle name="Currency 2 2 15 2 2 3 2" xfId="31482"/>
    <cellStyle name="Currency 2 2 15 2 2 4" xfId="17956"/>
    <cellStyle name="Currency 2 2 15 2 2 4 2" xfId="37634"/>
    <cellStyle name="Currency 2 2 15 2 2 5" xfId="25318"/>
    <cellStyle name="Currency 2 2 15 2 3" xfId="7142"/>
    <cellStyle name="Currency 2 2 15 2 3 2" xfId="13336"/>
    <cellStyle name="Currency 2 2 15 2 3 2 2" xfId="33014"/>
    <cellStyle name="Currency 2 2 15 2 3 3" xfId="19488"/>
    <cellStyle name="Currency 2 2 15 2 3 3 2" xfId="39166"/>
    <cellStyle name="Currency 2 2 15 2 3 4" xfId="26850"/>
    <cellStyle name="Currency 2 2 15 2 4" xfId="10270"/>
    <cellStyle name="Currency 2 2 15 2 4 2" xfId="29948"/>
    <cellStyle name="Currency 2 2 15 2 5" xfId="16422"/>
    <cellStyle name="Currency 2 2 15 2 5 2" xfId="36100"/>
    <cellStyle name="Currency 2 2 15 2 6" xfId="23784"/>
    <cellStyle name="Currency 2 2 15 3" xfId="4807"/>
    <cellStyle name="Currency 2 2 15 3 2" xfId="7908"/>
    <cellStyle name="Currency 2 2 15 3 2 2" xfId="14101"/>
    <cellStyle name="Currency 2 2 15 3 2 2 2" xfId="33779"/>
    <cellStyle name="Currency 2 2 15 3 2 3" xfId="20253"/>
    <cellStyle name="Currency 2 2 15 3 2 3 2" xfId="39931"/>
    <cellStyle name="Currency 2 2 15 3 2 4" xfId="27615"/>
    <cellStyle name="Currency 2 2 15 3 3" xfId="11035"/>
    <cellStyle name="Currency 2 2 15 3 3 2" xfId="30713"/>
    <cellStyle name="Currency 2 2 15 3 4" xfId="17187"/>
    <cellStyle name="Currency 2 2 15 3 4 2" xfId="36865"/>
    <cellStyle name="Currency 2 2 15 3 5" xfId="24549"/>
    <cellStyle name="Currency 2 2 15 4" xfId="6373"/>
    <cellStyle name="Currency 2 2 15 4 2" xfId="12567"/>
    <cellStyle name="Currency 2 2 15 4 2 2" xfId="32245"/>
    <cellStyle name="Currency 2 2 15 4 3" xfId="18719"/>
    <cellStyle name="Currency 2 2 15 4 3 2" xfId="38397"/>
    <cellStyle name="Currency 2 2 15 4 4" xfId="26081"/>
    <cellStyle name="Currency 2 2 15 5" xfId="9501"/>
    <cellStyle name="Currency 2 2 15 5 2" xfId="29179"/>
    <cellStyle name="Currency 2 2 15 6" xfId="15653"/>
    <cellStyle name="Currency 2 2 15 6 2" xfId="35331"/>
    <cellStyle name="Currency 2 2 15 7" xfId="22942"/>
    <cellStyle name="Currency 2 2 16" xfId="2219"/>
    <cellStyle name="Currency 2 2 16 2" xfId="3967"/>
    <cellStyle name="Currency 2 2 16 2 2" xfId="5592"/>
    <cellStyle name="Currency 2 2 16 2 2 2" xfId="8678"/>
    <cellStyle name="Currency 2 2 16 2 2 2 2" xfId="14871"/>
    <cellStyle name="Currency 2 2 16 2 2 2 2 2" xfId="34549"/>
    <cellStyle name="Currency 2 2 16 2 2 2 3" xfId="21023"/>
    <cellStyle name="Currency 2 2 16 2 2 2 3 2" xfId="40701"/>
    <cellStyle name="Currency 2 2 16 2 2 2 4" xfId="28385"/>
    <cellStyle name="Currency 2 2 16 2 2 3" xfId="11805"/>
    <cellStyle name="Currency 2 2 16 2 2 3 2" xfId="31483"/>
    <cellStyle name="Currency 2 2 16 2 2 4" xfId="17957"/>
    <cellStyle name="Currency 2 2 16 2 2 4 2" xfId="37635"/>
    <cellStyle name="Currency 2 2 16 2 2 5" xfId="25319"/>
    <cellStyle name="Currency 2 2 16 2 3" xfId="7143"/>
    <cellStyle name="Currency 2 2 16 2 3 2" xfId="13337"/>
    <cellStyle name="Currency 2 2 16 2 3 2 2" xfId="33015"/>
    <cellStyle name="Currency 2 2 16 2 3 3" xfId="19489"/>
    <cellStyle name="Currency 2 2 16 2 3 3 2" xfId="39167"/>
    <cellStyle name="Currency 2 2 16 2 3 4" xfId="26851"/>
    <cellStyle name="Currency 2 2 16 2 4" xfId="10271"/>
    <cellStyle name="Currency 2 2 16 2 4 2" xfId="29949"/>
    <cellStyle name="Currency 2 2 16 2 5" xfId="16423"/>
    <cellStyle name="Currency 2 2 16 2 5 2" xfId="36101"/>
    <cellStyle name="Currency 2 2 16 2 6" xfId="23785"/>
    <cellStyle name="Currency 2 2 16 3" xfId="4808"/>
    <cellStyle name="Currency 2 2 16 3 2" xfId="7909"/>
    <cellStyle name="Currency 2 2 16 3 2 2" xfId="14102"/>
    <cellStyle name="Currency 2 2 16 3 2 2 2" xfId="33780"/>
    <cellStyle name="Currency 2 2 16 3 2 3" xfId="20254"/>
    <cellStyle name="Currency 2 2 16 3 2 3 2" xfId="39932"/>
    <cellStyle name="Currency 2 2 16 3 2 4" xfId="27616"/>
    <cellStyle name="Currency 2 2 16 3 3" xfId="11036"/>
    <cellStyle name="Currency 2 2 16 3 3 2" xfId="30714"/>
    <cellStyle name="Currency 2 2 16 3 4" xfId="17188"/>
    <cellStyle name="Currency 2 2 16 3 4 2" xfId="36866"/>
    <cellStyle name="Currency 2 2 16 3 5" xfId="24550"/>
    <cellStyle name="Currency 2 2 16 4" xfId="6374"/>
    <cellStyle name="Currency 2 2 16 4 2" xfId="12568"/>
    <cellStyle name="Currency 2 2 16 4 2 2" xfId="32246"/>
    <cellStyle name="Currency 2 2 16 4 3" xfId="18720"/>
    <cellStyle name="Currency 2 2 16 4 3 2" xfId="38398"/>
    <cellStyle name="Currency 2 2 16 4 4" xfId="26082"/>
    <cellStyle name="Currency 2 2 16 5" xfId="9502"/>
    <cellStyle name="Currency 2 2 16 5 2" xfId="29180"/>
    <cellStyle name="Currency 2 2 16 6" xfId="15654"/>
    <cellStyle name="Currency 2 2 16 6 2" xfId="35332"/>
    <cellStyle name="Currency 2 2 16 7" xfId="22943"/>
    <cellStyle name="Currency 2 2 17" xfId="2220"/>
    <cellStyle name="Currency 2 2 17 2" xfId="3968"/>
    <cellStyle name="Currency 2 2 17 2 2" xfId="5593"/>
    <cellStyle name="Currency 2 2 17 2 2 2" xfId="8679"/>
    <cellStyle name="Currency 2 2 17 2 2 2 2" xfId="14872"/>
    <cellStyle name="Currency 2 2 17 2 2 2 2 2" xfId="34550"/>
    <cellStyle name="Currency 2 2 17 2 2 2 3" xfId="21024"/>
    <cellStyle name="Currency 2 2 17 2 2 2 3 2" xfId="40702"/>
    <cellStyle name="Currency 2 2 17 2 2 2 4" xfId="28386"/>
    <cellStyle name="Currency 2 2 17 2 2 3" xfId="11806"/>
    <cellStyle name="Currency 2 2 17 2 2 3 2" xfId="31484"/>
    <cellStyle name="Currency 2 2 17 2 2 4" xfId="17958"/>
    <cellStyle name="Currency 2 2 17 2 2 4 2" xfId="37636"/>
    <cellStyle name="Currency 2 2 17 2 2 5" xfId="25320"/>
    <cellStyle name="Currency 2 2 17 2 3" xfId="7144"/>
    <cellStyle name="Currency 2 2 17 2 3 2" xfId="13338"/>
    <cellStyle name="Currency 2 2 17 2 3 2 2" xfId="33016"/>
    <cellStyle name="Currency 2 2 17 2 3 3" xfId="19490"/>
    <cellStyle name="Currency 2 2 17 2 3 3 2" xfId="39168"/>
    <cellStyle name="Currency 2 2 17 2 3 4" xfId="26852"/>
    <cellStyle name="Currency 2 2 17 2 4" xfId="10272"/>
    <cellStyle name="Currency 2 2 17 2 4 2" xfId="29950"/>
    <cellStyle name="Currency 2 2 17 2 5" xfId="16424"/>
    <cellStyle name="Currency 2 2 17 2 5 2" xfId="36102"/>
    <cellStyle name="Currency 2 2 17 2 6" xfId="23786"/>
    <cellStyle name="Currency 2 2 17 3" xfId="4809"/>
    <cellStyle name="Currency 2 2 17 3 2" xfId="7910"/>
    <cellStyle name="Currency 2 2 17 3 2 2" xfId="14103"/>
    <cellStyle name="Currency 2 2 17 3 2 2 2" xfId="33781"/>
    <cellStyle name="Currency 2 2 17 3 2 3" xfId="20255"/>
    <cellStyle name="Currency 2 2 17 3 2 3 2" xfId="39933"/>
    <cellStyle name="Currency 2 2 17 3 2 4" xfId="27617"/>
    <cellStyle name="Currency 2 2 17 3 3" xfId="11037"/>
    <cellStyle name="Currency 2 2 17 3 3 2" xfId="30715"/>
    <cellStyle name="Currency 2 2 17 3 4" xfId="17189"/>
    <cellStyle name="Currency 2 2 17 3 4 2" xfId="36867"/>
    <cellStyle name="Currency 2 2 17 3 5" xfId="24551"/>
    <cellStyle name="Currency 2 2 17 4" xfId="6375"/>
    <cellStyle name="Currency 2 2 17 4 2" xfId="12569"/>
    <cellStyle name="Currency 2 2 17 4 2 2" xfId="32247"/>
    <cellStyle name="Currency 2 2 17 4 3" xfId="18721"/>
    <cellStyle name="Currency 2 2 17 4 3 2" xfId="38399"/>
    <cellStyle name="Currency 2 2 17 4 4" xfId="26083"/>
    <cellStyle name="Currency 2 2 17 5" xfId="9503"/>
    <cellStyle name="Currency 2 2 17 5 2" xfId="29181"/>
    <cellStyle name="Currency 2 2 17 6" xfId="15655"/>
    <cellStyle name="Currency 2 2 17 6 2" xfId="35333"/>
    <cellStyle name="Currency 2 2 17 7" xfId="22944"/>
    <cellStyle name="Currency 2 2 18" xfId="2221"/>
    <cellStyle name="Currency 2 2 18 2" xfId="3969"/>
    <cellStyle name="Currency 2 2 18 2 2" xfId="5594"/>
    <cellStyle name="Currency 2 2 18 2 2 2" xfId="8680"/>
    <cellStyle name="Currency 2 2 18 2 2 2 2" xfId="14873"/>
    <cellStyle name="Currency 2 2 18 2 2 2 2 2" xfId="34551"/>
    <cellStyle name="Currency 2 2 18 2 2 2 3" xfId="21025"/>
    <cellStyle name="Currency 2 2 18 2 2 2 3 2" xfId="40703"/>
    <cellStyle name="Currency 2 2 18 2 2 2 4" xfId="28387"/>
    <cellStyle name="Currency 2 2 18 2 2 3" xfId="11807"/>
    <cellStyle name="Currency 2 2 18 2 2 3 2" xfId="31485"/>
    <cellStyle name="Currency 2 2 18 2 2 4" xfId="17959"/>
    <cellStyle name="Currency 2 2 18 2 2 4 2" xfId="37637"/>
    <cellStyle name="Currency 2 2 18 2 2 5" xfId="25321"/>
    <cellStyle name="Currency 2 2 18 2 3" xfId="7145"/>
    <cellStyle name="Currency 2 2 18 2 3 2" xfId="13339"/>
    <cellStyle name="Currency 2 2 18 2 3 2 2" xfId="33017"/>
    <cellStyle name="Currency 2 2 18 2 3 3" xfId="19491"/>
    <cellStyle name="Currency 2 2 18 2 3 3 2" xfId="39169"/>
    <cellStyle name="Currency 2 2 18 2 3 4" xfId="26853"/>
    <cellStyle name="Currency 2 2 18 2 4" xfId="10273"/>
    <cellStyle name="Currency 2 2 18 2 4 2" xfId="29951"/>
    <cellStyle name="Currency 2 2 18 2 5" xfId="16425"/>
    <cellStyle name="Currency 2 2 18 2 5 2" xfId="36103"/>
    <cellStyle name="Currency 2 2 18 2 6" xfId="23787"/>
    <cellStyle name="Currency 2 2 18 3" xfId="4810"/>
    <cellStyle name="Currency 2 2 18 3 2" xfId="7911"/>
    <cellStyle name="Currency 2 2 18 3 2 2" xfId="14104"/>
    <cellStyle name="Currency 2 2 18 3 2 2 2" xfId="33782"/>
    <cellStyle name="Currency 2 2 18 3 2 3" xfId="20256"/>
    <cellStyle name="Currency 2 2 18 3 2 3 2" xfId="39934"/>
    <cellStyle name="Currency 2 2 18 3 2 4" xfId="27618"/>
    <cellStyle name="Currency 2 2 18 3 3" xfId="11038"/>
    <cellStyle name="Currency 2 2 18 3 3 2" xfId="30716"/>
    <cellStyle name="Currency 2 2 18 3 4" xfId="17190"/>
    <cellStyle name="Currency 2 2 18 3 4 2" xfId="36868"/>
    <cellStyle name="Currency 2 2 18 3 5" xfId="24552"/>
    <cellStyle name="Currency 2 2 18 4" xfId="6376"/>
    <cellStyle name="Currency 2 2 18 4 2" xfId="12570"/>
    <cellStyle name="Currency 2 2 18 4 2 2" xfId="32248"/>
    <cellStyle name="Currency 2 2 18 4 3" xfId="18722"/>
    <cellStyle name="Currency 2 2 18 4 3 2" xfId="38400"/>
    <cellStyle name="Currency 2 2 18 4 4" xfId="26084"/>
    <cellStyle name="Currency 2 2 18 5" xfId="9504"/>
    <cellStyle name="Currency 2 2 18 5 2" xfId="29182"/>
    <cellStyle name="Currency 2 2 18 6" xfId="15656"/>
    <cellStyle name="Currency 2 2 18 6 2" xfId="35334"/>
    <cellStyle name="Currency 2 2 18 7" xfId="22945"/>
    <cellStyle name="Currency 2 2 19" xfId="2222"/>
    <cellStyle name="Currency 2 2 2" xfId="2223"/>
    <cellStyle name="Currency 2 2 2 2" xfId="2224"/>
    <cellStyle name="Currency 2 2 2 2 2" xfId="3970"/>
    <cellStyle name="Currency 2 2 2 2 2 2" xfId="5595"/>
    <cellStyle name="Currency 2 2 2 2 2 2 2" xfId="8681"/>
    <cellStyle name="Currency 2 2 2 2 2 2 2 2" xfId="14874"/>
    <cellStyle name="Currency 2 2 2 2 2 2 2 2 2" xfId="34552"/>
    <cellStyle name="Currency 2 2 2 2 2 2 2 3" xfId="21026"/>
    <cellStyle name="Currency 2 2 2 2 2 2 2 3 2" xfId="40704"/>
    <cellStyle name="Currency 2 2 2 2 2 2 2 4" xfId="28388"/>
    <cellStyle name="Currency 2 2 2 2 2 2 3" xfId="11808"/>
    <cellStyle name="Currency 2 2 2 2 2 2 3 2" xfId="31486"/>
    <cellStyle name="Currency 2 2 2 2 2 2 4" xfId="17960"/>
    <cellStyle name="Currency 2 2 2 2 2 2 4 2" xfId="37638"/>
    <cellStyle name="Currency 2 2 2 2 2 2 5" xfId="25322"/>
    <cellStyle name="Currency 2 2 2 2 2 3" xfId="7146"/>
    <cellStyle name="Currency 2 2 2 2 2 3 2" xfId="13340"/>
    <cellStyle name="Currency 2 2 2 2 2 3 2 2" xfId="33018"/>
    <cellStyle name="Currency 2 2 2 2 2 3 3" xfId="19492"/>
    <cellStyle name="Currency 2 2 2 2 2 3 3 2" xfId="39170"/>
    <cellStyle name="Currency 2 2 2 2 2 3 4" xfId="26854"/>
    <cellStyle name="Currency 2 2 2 2 2 4" xfId="10274"/>
    <cellStyle name="Currency 2 2 2 2 2 4 2" xfId="29952"/>
    <cellStyle name="Currency 2 2 2 2 2 5" xfId="16426"/>
    <cellStyle name="Currency 2 2 2 2 2 5 2" xfId="36104"/>
    <cellStyle name="Currency 2 2 2 2 2 6" xfId="23788"/>
    <cellStyle name="Currency 2 2 2 2 3" xfId="4811"/>
    <cellStyle name="Currency 2 2 2 2 3 2" xfId="7912"/>
    <cellStyle name="Currency 2 2 2 2 3 2 2" xfId="14105"/>
    <cellStyle name="Currency 2 2 2 2 3 2 2 2" xfId="33783"/>
    <cellStyle name="Currency 2 2 2 2 3 2 3" xfId="20257"/>
    <cellStyle name="Currency 2 2 2 2 3 2 3 2" xfId="39935"/>
    <cellStyle name="Currency 2 2 2 2 3 2 4" xfId="27619"/>
    <cellStyle name="Currency 2 2 2 2 3 3" xfId="11039"/>
    <cellStyle name="Currency 2 2 2 2 3 3 2" xfId="30717"/>
    <cellStyle name="Currency 2 2 2 2 3 4" xfId="17191"/>
    <cellStyle name="Currency 2 2 2 2 3 4 2" xfId="36869"/>
    <cellStyle name="Currency 2 2 2 2 3 5" xfId="24553"/>
    <cellStyle name="Currency 2 2 2 2 4" xfId="6377"/>
    <cellStyle name="Currency 2 2 2 2 4 2" xfId="12571"/>
    <cellStyle name="Currency 2 2 2 2 4 2 2" xfId="32249"/>
    <cellStyle name="Currency 2 2 2 2 4 3" xfId="18723"/>
    <cellStyle name="Currency 2 2 2 2 4 3 2" xfId="38401"/>
    <cellStyle name="Currency 2 2 2 2 4 4" xfId="26085"/>
    <cellStyle name="Currency 2 2 2 2 5" xfId="9505"/>
    <cellStyle name="Currency 2 2 2 2 5 2" xfId="29183"/>
    <cellStyle name="Currency 2 2 2 2 6" xfId="15657"/>
    <cellStyle name="Currency 2 2 2 2 6 2" xfId="35335"/>
    <cellStyle name="Currency 2 2 2 2 7" xfId="22946"/>
    <cellStyle name="Currency 2 2 2 3" xfId="2225"/>
    <cellStyle name="Currency 2 2 2 3 2" xfId="3971"/>
    <cellStyle name="Currency 2 2 2 3 2 2" xfId="5596"/>
    <cellStyle name="Currency 2 2 2 3 2 2 2" xfId="8682"/>
    <cellStyle name="Currency 2 2 2 3 2 2 2 2" xfId="14875"/>
    <cellStyle name="Currency 2 2 2 3 2 2 2 2 2" xfId="34553"/>
    <cellStyle name="Currency 2 2 2 3 2 2 2 3" xfId="21027"/>
    <cellStyle name="Currency 2 2 2 3 2 2 2 3 2" xfId="40705"/>
    <cellStyle name="Currency 2 2 2 3 2 2 2 4" xfId="28389"/>
    <cellStyle name="Currency 2 2 2 3 2 2 3" xfId="11809"/>
    <cellStyle name="Currency 2 2 2 3 2 2 3 2" xfId="31487"/>
    <cellStyle name="Currency 2 2 2 3 2 2 4" xfId="17961"/>
    <cellStyle name="Currency 2 2 2 3 2 2 4 2" xfId="37639"/>
    <cellStyle name="Currency 2 2 2 3 2 2 5" xfId="25323"/>
    <cellStyle name="Currency 2 2 2 3 2 3" xfId="7147"/>
    <cellStyle name="Currency 2 2 2 3 2 3 2" xfId="13341"/>
    <cellStyle name="Currency 2 2 2 3 2 3 2 2" xfId="33019"/>
    <cellStyle name="Currency 2 2 2 3 2 3 3" xfId="19493"/>
    <cellStyle name="Currency 2 2 2 3 2 3 3 2" xfId="39171"/>
    <cellStyle name="Currency 2 2 2 3 2 3 4" xfId="26855"/>
    <cellStyle name="Currency 2 2 2 3 2 4" xfId="10275"/>
    <cellStyle name="Currency 2 2 2 3 2 4 2" xfId="29953"/>
    <cellStyle name="Currency 2 2 2 3 2 5" xfId="16427"/>
    <cellStyle name="Currency 2 2 2 3 2 5 2" xfId="36105"/>
    <cellStyle name="Currency 2 2 2 3 2 6" xfId="23789"/>
    <cellStyle name="Currency 2 2 2 3 3" xfId="4812"/>
    <cellStyle name="Currency 2 2 2 3 3 2" xfId="7913"/>
    <cellStyle name="Currency 2 2 2 3 3 2 2" xfId="14106"/>
    <cellStyle name="Currency 2 2 2 3 3 2 2 2" xfId="33784"/>
    <cellStyle name="Currency 2 2 2 3 3 2 3" xfId="20258"/>
    <cellStyle name="Currency 2 2 2 3 3 2 3 2" xfId="39936"/>
    <cellStyle name="Currency 2 2 2 3 3 2 4" xfId="27620"/>
    <cellStyle name="Currency 2 2 2 3 3 3" xfId="11040"/>
    <cellStyle name="Currency 2 2 2 3 3 3 2" xfId="30718"/>
    <cellStyle name="Currency 2 2 2 3 3 4" xfId="17192"/>
    <cellStyle name="Currency 2 2 2 3 3 4 2" xfId="36870"/>
    <cellStyle name="Currency 2 2 2 3 3 5" xfId="24554"/>
    <cellStyle name="Currency 2 2 2 3 4" xfId="6378"/>
    <cellStyle name="Currency 2 2 2 3 4 2" xfId="12572"/>
    <cellStyle name="Currency 2 2 2 3 4 2 2" xfId="32250"/>
    <cellStyle name="Currency 2 2 2 3 4 3" xfId="18724"/>
    <cellStyle name="Currency 2 2 2 3 4 3 2" xfId="38402"/>
    <cellStyle name="Currency 2 2 2 3 4 4" xfId="26086"/>
    <cellStyle name="Currency 2 2 2 3 5" xfId="9506"/>
    <cellStyle name="Currency 2 2 2 3 5 2" xfId="29184"/>
    <cellStyle name="Currency 2 2 2 3 6" xfId="15658"/>
    <cellStyle name="Currency 2 2 2 3 6 2" xfId="35336"/>
    <cellStyle name="Currency 2 2 2 3 7" xfId="22947"/>
    <cellStyle name="Currency 2 2 2 4" xfId="2226"/>
    <cellStyle name="Currency 2 2 2 4 2" xfId="3972"/>
    <cellStyle name="Currency 2 2 2 4 2 2" xfId="5597"/>
    <cellStyle name="Currency 2 2 2 4 2 2 2" xfId="8683"/>
    <cellStyle name="Currency 2 2 2 4 2 2 2 2" xfId="14876"/>
    <cellStyle name="Currency 2 2 2 4 2 2 2 2 2" xfId="34554"/>
    <cellStyle name="Currency 2 2 2 4 2 2 2 3" xfId="21028"/>
    <cellStyle name="Currency 2 2 2 4 2 2 2 3 2" xfId="40706"/>
    <cellStyle name="Currency 2 2 2 4 2 2 2 4" xfId="28390"/>
    <cellStyle name="Currency 2 2 2 4 2 2 3" xfId="11810"/>
    <cellStyle name="Currency 2 2 2 4 2 2 3 2" xfId="31488"/>
    <cellStyle name="Currency 2 2 2 4 2 2 4" xfId="17962"/>
    <cellStyle name="Currency 2 2 2 4 2 2 4 2" xfId="37640"/>
    <cellStyle name="Currency 2 2 2 4 2 2 5" xfId="25324"/>
    <cellStyle name="Currency 2 2 2 4 2 3" xfId="7148"/>
    <cellStyle name="Currency 2 2 2 4 2 3 2" xfId="13342"/>
    <cellStyle name="Currency 2 2 2 4 2 3 2 2" xfId="33020"/>
    <cellStyle name="Currency 2 2 2 4 2 3 3" xfId="19494"/>
    <cellStyle name="Currency 2 2 2 4 2 3 3 2" xfId="39172"/>
    <cellStyle name="Currency 2 2 2 4 2 3 4" xfId="26856"/>
    <cellStyle name="Currency 2 2 2 4 2 4" xfId="10276"/>
    <cellStyle name="Currency 2 2 2 4 2 4 2" xfId="29954"/>
    <cellStyle name="Currency 2 2 2 4 2 5" xfId="16428"/>
    <cellStyle name="Currency 2 2 2 4 2 5 2" xfId="36106"/>
    <cellStyle name="Currency 2 2 2 4 2 6" xfId="23790"/>
    <cellStyle name="Currency 2 2 2 4 3" xfId="4813"/>
    <cellStyle name="Currency 2 2 2 4 3 2" xfId="7914"/>
    <cellStyle name="Currency 2 2 2 4 3 2 2" xfId="14107"/>
    <cellStyle name="Currency 2 2 2 4 3 2 2 2" xfId="33785"/>
    <cellStyle name="Currency 2 2 2 4 3 2 3" xfId="20259"/>
    <cellStyle name="Currency 2 2 2 4 3 2 3 2" xfId="39937"/>
    <cellStyle name="Currency 2 2 2 4 3 2 4" xfId="27621"/>
    <cellStyle name="Currency 2 2 2 4 3 3" xfId="11041"/>
    <cellStyle name="Currency 2 2 2 4 3 3 2" xfId="30719"/>
    <cellStyle name="Currency 2 2 2 4 3 4" xfId="17193"/>
    <cellStyle name="Currency 2 2 2 4 3 4 2" xfId="36871"/>
    <cellStyle name="Currency 2 2 2 4 3 5" xfId="24555"/>
    <cellStyle name="Currency 2 2 2 4 4" xfId="6379"/>
    <cellStyle name="Currency 2 2 2 4 4 2" xfId="12573"/>
    <cellStyle name="Currency 2 2 2 4 4 2 2" xfId="32251"/>
    <cellStyle name="Currency 2 2 2 4 4 3" xfId="18725"/>
    <cellStyle name="Currency 2 2 2 4 4 3 2" xfId="38403"/>
    <cellStyle name="Currency 2 2 2 4 4 4" xfId="26087"/>
    <cellStyle name="Currency 2 2 2 4 5" xfId="9507"/>
    <cellStyle name="Currency 2 2 2 4 5 2" xfId="29185"/>
    <cellStyle name="Currency 2 2 2 4 6" xfId="15659"/>
    <cellStyle name="Currency 2 2 2 4 6 2" xfId="35337"/>
    <cellStyle name="Currency 2 2 2 4 7" xfId="22948"/>
    <cellStyle name="Currency 2 2 2 5" xfId="2227"/>
    <cellStyle name="Currency 2 2 2 5 2" xfId="3973"/>
    <cellStyle name="Currency 2 2 2 5 2 2" xfId="5598"/>
    <cellStyle name="Currency 2 2 2 5 2 2 2" xfId="8684"/>
    <cellStyle name="Currency 2 2 2 5 2 2 2 2" xfId="14877"/>
    <cellStyle name="Currency 2 2 2 5 2 2 2 2 2" xfId="34555"/>
    <cellStyle name="Currency 2 2 2 5 2 2 2 3" xfId="21029"/>
    <cellStyle name="Currency 2 2 2 5 2 2 2 3 2" xfId="40707"/>
    <cellStyle name="Currency 2 2 2 5 2 2 2 4" xfId="28391"/>
    <cellStyle name="Currency 2 2 2 5 2 2 3" xfId="11811"/>
    <cellStyle name="Currency 2 2 2 5 2 2 3 2" xfId="31489"/>
    <cellStyle name="Currency 2 2 2 5 2 2 4" xfId="17963"/>
    <cellStyle name="Currency 2 2 2 5 2 2 4 2" xfId="37641"/>
    <cellStyle name="Currency 2 2 2 5 2 2 5" xfId="25325"/>
    <cellStyle name="Currency 2 2 2 5 2 3" xfId="7149"/>
    <cellStyle name="Currency 2 2 2 5 2 3 2" xfId="13343"/>
    <cellStyle name="Currency 2 2 2 5 2 3 2 2" xfId="33021"/>
    <cellStyle name="Currency 2 2 2 5 2 3 3" xfId="19495"/>
    <cellStyle name="Currency 2 2 2 5 2 3 3 2" xfId="39173"/>
    <cellStyle name="Currency 2 2 2 5 2 3 4" xfId="26857"/>
    <cellStyle name="Currency 2 2 2 5 2 4" xfId="10277"/>
    <cellStyle name="Currency 2 2 2 5 2 4 2" xfId="29955"/>
    <cellStyle name="Currency 2 2 2 5 2 5" xfId="16429"/>
    <cellStyle name="Currency 2 2 2 5 2 5 2" xfId="36107"/>
    <cellStyle name="Currency 2 2 2 5 2 6" xfId="23791"/>
    <cellStyle name="Currency 2 2 2 5 3" xfId="4814"/>
    <cellStyle name="Currency 2 2 2 5 3 2" xfId="7915"/>
    <cellStyle name="Currency 2 2 2 5 3 2 2" xfId="14108"/>
    <cellStyle name="Currency 2 2 2 5 3 2 2 2" xfId="33786"/>
    <cellStyle name="Currency 2 2 2 5 3 2 3" xfId="20260"/>
    <cellStyle name="Currency 2 2 2 5 3 2 3 2" xfId="39938"/>
    <cellStyle name="Currency 2 2 2 5 3 2 4" xfId="27622"/>
    <cellStyle name="Currency 2 2 2 5 3 3" xfId="11042"/>
    <cellStyle name="Currency 2 2 2 5 3 3 2" xfId="30720"/>
    <cellStyle name="Currency 2 2 2 5 3 4" xfId="17194"/>
    <cellStyle name="Currency 2 2 2 5 3 4 2" xfId="36872"/>
    <cellStyle name="Currency 2 2 2 5 3 5" xfId="24556"/>
    <cellStyle name="Currency 2 2 2 5 4" xfId="6380"/>
    <cellStyle name="Currency 2 2 2 5 4 2" xfId="12574"/>
    <cellStyle name="Currency 2 2 2 5 4 2 2" xfId="32252"/>
    <cellStyle name="Currency 2 2 2 5 4 3" xfId="18726"/>
    <cellStyle name="Currency 2 2 2 5 4 3 2" xfId="38404"/>
    <cellStyle name="Currency 2 2 2 5 4 4" xfId="26088"/>
    <cellStyle name="Currency 2 2 2 5 5" xfId="9508"/>
    <cellStyle name="Currency 2 2 2 5 5 2" xfId="29186"/>
    <cellStyle name="Currency 2 2 2 5 6" xfId="15660"/>
    <cellStyle name="Currency 2 2 2 5 6 2" xfId="35338"/>
    <cellStyle name="Currency 2 2 2 5 7" xfId="22949"/>
    <cellStyle name="Currency 2 2 20" xfId="2212"/>
    <cellStyle name="Currency 2 2 20 2" xfId="3960"/>
    <cellStyle name="Currency 2 2 20 2 2" xfId="5585"/>
    <cellStyle name="Currency 2 2 20 2 2 2" xfId="8671"/>
    <cellStyle name="Currency 2 2 20 2 2 2 2" xfId="14864"/>
    <cellStyle name="Currency 2 2 20 2 2 2 2 2" xfId="34542"/>
    <cellStyle name="Currency 2 2 20 2 2 2 3" xfId="21016"/>
    <cellStyle name="Currency 2 2 20 2 2 2 3 2" xfId="40694"/>
    <cellStyle name="Currency 2 2 20 2 2 2 4" xfId="28378"/>
    <cellStyle name="Currency 2 2 20 2 2 3" xfId="11798"/>
    <cellStyle name="Currency 2 2 20 2 2 3 2" xfId="31476"/>
    <cellStyle name="Currency 2 2 20 2 2 4" xfId="17950"/>
    <cellStyle name="Currency 2 2 20 2 2 4 2" xfId="37628"/>
    <cellStyle name="Currency 2 2 20 2 2 5" xfId="25312"/>
    <cellStyle name="Currency 2 2 20 2 3" xfId="7136"/>
    <cellStyle name="Currency 2 2 20 2 3 2" xfId="13330"/>
    <cellStyle name="Currency 2 2 20 2 3 2 2" xfId="33008"/>
    <cellStyle name="Currency 2 2 20 2 3 3" xfId="19482"/>
    <cellStyle name="Currency 2 2 20 2 3 3 2" xfId="39160"/>
    <cellStyle name="Currency 2 2 20 2 3 4" xfId="26844"/>
    <cellStyle name="Currency 2 2 20 2 4" xfId="10264"/>
    <cellStyle name="Currency 2 2 20 2 4 2" xfId="29942"/>
    <cellStyle name="Currency 2 2 20 2 5" xfId="16416"/>
    <cellStyle name="Currency 2 2 20 2 5 2" xfId="36094"/>
    <cellStyle name="Currency 2 2 20 2 6" xfId="23778"/>
    <cellStyle name="Currency 2 2 20 3" xfId="4801"/>
    <cellStyle name="Currency 2 2 20 3 2" xfId="7902"/>
    <cellStyle name="Currency 2 2 20 3 2 2" xfId="14095"/>
    <cellStyle name="Currency 2 2 20 3 2 2 2" xfId="33773"/>
    <cellStyle name="Currency 2 2 20 3 2 3" xfId="20247"/>
    <cellStyle name="Currency 2 2 20 3 2 3 2" xfId="39925"/>
    <cellStyle name="Currency 2 2 20 3 2 4" xfId="27609"/>
    <cellStyle name="Currency 2 2 20 3 3" xfId="11029"/>
    <cellStyle name="Currency 2 2 20 3 3 2" xfId="30707"/>
    <cellStyle name="Currency 2 2 20 3 4" xfId="17181"/>
    <cellStyle name="Currency 2 2 20 3 4 2" xfId="36859"/>
    <cellStyle name="Currency 2 2 20 3 5" xfId="24543"/>
    <cellStyle name="Currency 2 2 20 4" xfId="6367"/>
    <cellStyle name="Currency 2 2 20 4 2" xfId="12561"/>
    <cellStyle name="Currency 2 2 20 4 2 2" xfId="32239"/>
    <cellStyle name="Currency 2 2 20 4 3" xfId="18713"/>
    <cellStyle name="Currency 2 2 20 4 3 2" xfId="38391"/>
    <cellStyle name="Currency 2 2 20 4 4" xfId="26075"/>
    <cellStyle name="Currency 2 2 20 5" xfId="9495"/>
    <cellStyle name="Currency 2 2 20 5 2" xfId="29173"/>
    <cellStyle name="Currency 2 2 20 6" xfId="15647"/>
    <cellStyle name="Currency 2 2 20 6 2" xfId="35325"/>
    <cellStyle name="Currency 2 2 20 7" xfId="22936"/>
    <cellStyle name="Currency 2 2 21" xfId="41907"/>
    <cellStyle name="Currency 2 2 3" xfId="2228"/>
    <cellStyle name="Currency 2 2 3 10" xfId="15661"/>
    <cellStyle name="Currency 2 2 3 10 2" xfId="35339"/>
    <cellStyle name="Currency 2 2 3 11" xfId="22950"/>
    <cellStyle name="Currency 2 2 3 2" xfId="2229"/>
    <cellStyle name="Currency 2 2 3 2 2" xfId="3975"/>
    <cellStyle name="Currency 2 2 3 2 2 2" xfId="5600"/>
    <cellStyle name="Currency 2 2 3 2 2 2 2" xfId="8686"/>
    <cellStyle name="Currency 2 2 3 2 2 2 2 2" xfId="14879"/>
    <cellStyle name="Currency 2 2 3 2 2 2 2 2 2" xfId="34557"/>
    <cellStyle name="Currency 2 2 3 2 2 2 2 3" xfId="21031"/>
    <cellStyle name="Currency 2 2 3 2 2 2 2 3 2" xfId="40709"/>
    <cellStyle name="Currency 2 2 3 2 2 2 2 4" xfId="28393"/>
    <cellStyle name="Currency 2 2 3 2 2 2 3" xfId="11813"/>
    <cellStyle name="Currency 2 2 3 2 2 2 3 2" xfId="31491"/>
    <cellStyle name="Currency 2 2 3 2 2 2 4" xfId="17965"/>
    <cellStyle name="Currency 2 2 3 2 2 2 4 2" xfId="37643"/>
    <cellStyle name="Currency 2 2 3 2 2 2 5" xfId="25327"/>
    <cellStyle name="Currency 2 2 3 2 2 3" xfId="7151"/>
    <cellStyle name="Currency 2 2 3 2 2 3 2" xfId="13345"/>
    <cellStyle name="Currency 2 2 3 2 2 3 2 2" xfId="33023"/>
    <cellStyle name="Currency 2 2 3 2 2 3 3" xfId="19497"/>
    <cellStyle name="Currency 2 2 3 2 2 3 3 2" xfId="39175"/>
    <cellStyle name="Currency 2 2 3 2 2 3 4" xfId="26859"/>
    <cellStyle name="Currency 2 2 3 2 2 4" xfId="10279"/>
    <cellStyle name="Currency 2 2 3 2 2 4 2" xfId="29957"/>
    <cellStyle name="Currency 2 2 3 2 2 5" xfId="16431"/>
    <cellStyle name="Currency 2 2 3 2 2 5 2" xfId="36109"/>
    <cellStyle name="Currency 2 2 3 2 2 6" xfId="23793"/>
    <cellStyle name="Currency 2 2 3 2 3" xfId="4816"/>
    <cellStyle name="Currency 2 2 3 2 3 2" xfId="7917"/>
    <cellStyle name="Currency 2 2 3 2 3 2 2" xfId="14110"/>
    <cellStyle name="Currency 2 2 3 2 3 2 2 2" xfId="33788"/>
    <cellStyle name="Currency 2 2 3 2 3 2 3" xfId="20262"/>
    <cellStyle name="Currency 2 2 3 2 3 2 3 2" xfId="39940"/>
    <cellStyle name="Currency 2 2 3 2 3 2 4" xfId="27624"/>
    <cellStyle name="Currency 2 2 3 2 3 3" xfId="11044"/>
    <cellStyle name="Currency 2 2 3 2 3 3 2" xfId="30722"/>
    <cellStyle name="Currency 2 2 3 2 3 4" xfId="17196"/>
    <cellStyle name="Currency 2 2 3 2 3 4 2" xfId="36874"/>
    <cellStyle name="Currency 2 2 3 2 3 5" xfId="24558"/>
    <cellStyle name="Currency 2 2 3 2 4" xfId="6382"/>
    <cellStyle name="Currency 2 2 3 2 4 2" xfId="12576"/>
    <cellStyle name="Currency 2 2 3 2 4 2 2" xfId="32254"/>
    <cellStyle name="Currency 2 2 3 2 4 3" xfId="18728"/>
    <cellStyle name="Currency 2 2 3 2 4 3 2" xfId="38406"/>
    <cellStyle name="Currency 2 2 3 2 4 4" xfId="26090"/>
    <cellStyle name="Currency 2 2 3 2 5" xfId="9510"/>
    <cellStyle name="Currency 2 2 3 2 5 2" xfId="29188"/>
    <cellStyle name="Currency 2 2 3 2 6" xfId="15662"/>
    <cellStyle name="Currency 2 2 3 2 6 2" xfId="35340"/>
    <cellStyle name="Currency 2 2 3 2 7" xfId="22951"/>
    <cellStyle name="Currency 2 2 3 3" xfId="2230"/>
    <cellStyle name="Currency 2 2 3 3 2" xfId="3976"/>
    <cellStyle name="Currency 2 2 3 3 2 2" xfId="5601"/>
    <cellStyle name="Currency 2 2 3 3 2 2 2" xfId="8687"/>
    <cellStyle name="Currency 2 2 3 3 2 2 2 2" xfId="14880"/>
    <cellStyle name="Currency 2 2 3 3 2 2 2 2 2" xfId="34558"/>
    <cellStyle name="Currency 2 2 3 3 2 2 2 3" xfId="21032"/>
    <cellStyle name="Currency 2 2 3 3 2 2 2 3 2" xfId="40710"/>
    <cellStyle name="Currency 2 2 3 3 2 2 2 4" xfId="28394"/>
    <cellStyle name="Currency 2 2 3 3 2 2 3" xfId="11814"/>
    <cellStyle name="Currency 2 2 3 3 2 2 3 2" xfId="31492"/>
    <cellStyle name="Currency 2 2 3 3 2 2 4" xfId="17966"/>
    <cellStyle name="Currency 2 2 3 3 2 2 4 2" xfId="37644"/>
    <cellStyle name="Currency 2 2 3 3 2 2 5" xfId="25328"/>
    <cellStyle name="Currency 2 2 3 3 2 3" xfId="7152"/>
    <cellStyle name="Currency 2 2 3 3 2 3 2" xfId="13346"/>
    <cellStyle name="Currency 2 2 3 3 2 3 2 2" xfId="33024"/>
    <cellStyle name="Currency 2 2 3 3 2 3 3" xfId="19498"/>
    <cellStyle name="Currency 2 2 3 3 2 3 3 2" xfId="39176"/>
    <cellStyle name="Currency 2 2 3 3 2 3 4" xfId="26860"/>
    <cellStyle name="Currency 2 2 3 3 2 4" xfId="10280"/>
    <cellStyle name="Currency 2 2 3 3 2 4 2" xfId="29958"/>
    <cellStyle name="Currency 2 2 3 3 2 5" xfId="16432"/>
    <cellStyle name="Currency 2 2 3 3 2 5 2" xfId="36110"/>
    <cellStyle name="Currency 2 2 3 3 2 6" xfId="23794"/>
    <cellStyle name="Currency 2 2 3 3 3" xfId="4817"/>
    <cellStyle name="Currency 2 2 3 3 3 2" xfId="7918"/>
    <cellStyle name="Currency 2 2 3 3 3 2 2" xfId="14111"/>
    <cellStyle name="Currency 2 2 3 3 3 2 2 2" xfId="33789"/>
    <cellStyle name="Currency 2 2 3 3 3 2 3" xfId="20263"/>
    <cellStyle name="Currency 2 2 3 3 3 2 3 2" xfId="39941"/>
    <cellStyle name="Currency 2 2 3 3 3 2 4" xfId="27625"/>
    <cellStyle name="Currency 2 2 3 3 3 3" xfId="11045"/>
    <cellStyle name="Currency 2 2 3 3 3 3 2" xfId="30723"/>
    <cellStyle name="Currency 2 2 3 3 3 4" xfId="17197"/>
    <cellStyle name="Currency 2 2 3 3 3 4 2" xfId="36875"/>
    <cellStyle name="Currency 2 2 3 3 3 5" xfId="24559"/>
    <cellStyle name="Currency 2 2 3 3 4" xfId="6383"/>
    <cellStyle name="Currency 2 2 3 3 4 2" xfId="12577"/>
    <cellStyle name="Currency 2 2 3 3 4 2 2" xfId="32255"/>
    <cellStyle name="Currency 2 2 3 3 4 3" xfId="18729"/>
    <cellStyle name="Currency 2 2 3 3 4 3 2" xfId="38407"/>
    <cellStyle name="Currency 2 2 3 3 4 4" xfId="26091"/>
    <cellStyle name="Currency 2 2 3 3 5" xfId="9511"/>
    <cellStyle name="Currency 2 2 3 3 5 2" xfId="29189"/>
    <cellStyle name="Currency 2 2 3 3 6" xfId="15663"/>
    <cellStyle name="Currency 2 2 3 3 6 2" xfId="35341"/>
    <cellStyle name="Currency 2 2 3 3 7" xfId="22952"/>
    <cellStyle name="Currency 2 2 3 4" xfId="2231"/>
    <cellStyle name="Currency 2 2 3 4 2" xfId="3977"/>
    <cellStyle name="Currency 2 2 3 4 2 2" xfId="5602"/>
    <cellStyle name="Currency 2 2 3 4 2 2 2" xfId="8688"/>
    <cellStyle name="Currency 2 2 3 4 2 2 2 2" xfId="14881"/>
    <cellStyle name="Currency 2 2 3 4 2 2 2 2 2" xfId="34559"/>
    <cellStyle name="Currency 2 2 3 4 2 2 2 3" xfId="21033"/>
    <cellStyle name="Currency 2 2 3 4 2 2 2 3 2" xfId="40711"/>
    <cellStyle name="Currency 2 2 3 4 2 2 2 4" xfId="28395"/>
    <cellStyle name="Currency 2 2 3 4 2 2 3" xfId="11815"/>
    <cellStyle name="Currency 2 2 3 4 2 2 3 2" xfId="31493"/>
    <cellStyle name="Currency 2 2 3 4 2 2 4" xfId="17967"/>
    <cellStyle name="Currency 2 2 3 4 2 2 4 2" xfId="37645"/>
    <cellStyle name="Currency 2 2 3 4 2 2 5" xfId="25329"/>
    <cellStyle name="Currency 2 2 3 4 2 3" xfId="7153"/>
    <cellStyle name="Currency 2 2 3 4 2 3 2" xfId="13347"/>
    <cellStyle name="Currency 2 2 3 4 2 3 2 2" xfId="33025"/>
    <cellStyle name="Currency 2 2 3 4 2 3 3" xfId="19499"/>
    <cellStyle name="Currency 2 2 3 4 2 3 3 2" xfId="39177"/>
    <cellStyle name="Currency 2 2 3 4 2 3 4" xfId="26861"/>
    <cellStyle name="Currency 2 2 3 4 2 4" xfId="10281"/>
    <cellStyle name="Currency 2 2 3 4 2 4 2" xfId="29959"/>
    <cellStyle name="Currency 2 2 3 4 2 5" xfId="16433"/>
    <cellStyle name="Currency 2 2 3 4 2 5 2" xfId="36111"/>
    <cellStyle name="Currency 2 2 3 4 2 6" xfId="23795"/>
    <cellStyle name="Currency 2 2 3 4 3" xfId="4818"/>
    <cellStyle name="Currency 2 2 3 4 3 2" xfId="7919"/>
    <cellStyle name="Currency 2 2 3 4 3 2 2" xfId="14112"/>
    <cellStyle name="Currency 2 2 3 4 3 2 2 2" xfId="33790"/>
    <cellStyle name="Currency 2 2 3 4 3 2 3" xfId="20264"/>
    <cellStyle name="Currency 2 2 3 4 3 2 3 2" xfId="39942"/>
    <cellStyle name="Currency 2 2 3 4 3 2 4" xfId="27626"/>
    <cellStyle name="Currency 2 2 3 4 3 3" xfId="11046"/>
    <cellStyle name="Currency 2 2 3 4 3 3 2" xfId="30724"/>
    <cellStyle name="Currency 2 2 3 4 3 4" xfId="17198"/>
    <cellStyle name="Currency 2 2 3 4 3 4 2" xfId="36876"/>
    <cellStyle name="Currency 2 2 3 4 3 5" xfId="24560"/>
    <cellStyle name="Currency 2 2 3 4 4" xfId="6384"/>
    <cellStyle name="Currency 2 2 3 4 4 2" xfId="12578"/>
    <cellStyle name="Currency 2 2 3 4 4 2 2" xfId="32256"/>
    <cellStyle name="Currency 2 2 3 4 4 3" xfId="18730"/>
    <cellStyle name="Currency 2 2 3 4 4 3 2" xfId="38408"/>
    <cellStyle name="Currency 2 2 3 4 4 4" xfId="26092"/>
    <cellStyle name="Currency 2 2 3 4 5" xfId="9512"/>
    <cellStyle name="Currency 2 2 3 4 5 2" xfId="29190"/>
    <cellStyle name="Currency 2 2 3 4 6" xfId="15664"/>
    <cellStyle name="Currency 2 2 3 4 6 2" xfId="35342"/>
    <cellStyle name="Currency 2 2 3 4 7" xfId="22953"/>
    <cellStyle name="Currency 2 2 3 5" xfId="2232"/>
    <cellStyle name="Currency 2 2 3 5 2" xfId="3978"/>
    <cellStyle name="Currency 2 2 3 5 2 2" xfId="5603"/>
    <cellStyle name="Currency 2 2 3 5 2 2 2" xfId="8689"/>
    <cellStyle name="Currency 2 2 3 5 2 2 2 2" xfId="14882"/>
    <cellStyle name="Currency 2 2 3 5 2 2 2 2 2" xfId="34560"/>
    <cellStyle name="Currency 2 2 3 5 2 2 2 3" xfId="21034"/>
    <cellStyle name="Currency 2 2 3 5 2 2 2 3 2" xfId="40712"/>
    <cellStyle name="Currency 2 2 3 5 2 2 2 4" xfId="28396"/>
    <cellStyle name="Currency 2 2 3 5 2 2 3" xfId="11816"/>
    <cellStyle name="Currency 2 2 3 5 2 2 3 2" xfId="31494"/>
    <cellStyle name="Currency 2 2 3 5 2 2 4" xfId="17968"/>
    <cellStyle name="Currency 2 2 3 5 2 2 4 2" xfId="37646"/>
    <cellStyle name="Currency 2 2 3 5 2 2 5" xfId="25330"/>
    <cellStyle name="Currency 2 2 3 5 2 3" xfId="7154"/>
    <cellStyle name="Currency 2 2 3 5 2 3 2" xfId="13348"/>
    <cellStyle name="Currency 2 2 3 5 2 3 2 2" xfId="33026"/>
    <cellStyle name="Currency 2 2 3 5 2 3 3" xfId="19500"/>
    <cellStyle name="Currency 2 2 3 5 2 3 3 2" xfId="39178"/>
    <cellStyle name="Currency 2 2 3 5 2 3 4" xfId="26862"/>
    <cellStyle name="Currency 2 2 3 5 2 4" xfId="10282"/>
    <cellStyle name="Currency 2 2 3 5 2 4 2" xfId="29960"/>
    <cellStyle name="Currency 2 2 3 5 2 5" xfId="16434"/>
    <cellStyle name="Currency 2 2 3 5 2 5 2" xfId="36112"/>
    <cellStyle name="Currency 2 2 3 5 2 6" xfId="23796"/>
    <cellStyle name="Currency 2 2 3 5 3" xfId="4819"/>
    <cellStyle name="Currency 2 2 3 5 3 2" xfId="7920"/>
    <cellStyle name="Currency 2 2 3 5 3 2 2" xfId="14113"/>
    <cellStyle name="Currency 2 2 3 5 3 2 2 2" xfId="33791"/>
    <cellStyle name="Currency 2 2 3 5 3 2 3" xfId="20265"/>
    <cellStyle name="Currency 2 2 3 5 3 2 3 2" xfId="39943"/>
    <cellStyle name="Currency 2 2 3 5 3 2 4" xfId="27627"/>
    <cellStyle name="Currency 2 2 3 5 3 3" xfId="11047"/>
    <cellStyle name="Currency 2 2 3 5 3 3 2" xfId="30725"/>
    <cellStyle name="Currency 2 2 3 5 3 4" xfId="17199"/>
    <cellStyle name="Currency 2 2 3 5 3 4 2" xfId="36877"/>
    <cellStyle name="Currency 2 2 3 5 3 5" xfId="24561"/>
    <cellStyle name="Currency 2 2 3 5 4" xfId="6385"/>
    <cellStyle name="Currency 2 2 3 5 4 2" xfId="12579"/>
    <cellStyle name="Currency 2 2 3 5 4 2 2" xfId="32257"/>
    <cellStyle name="Currency 2 2 3 5 4 3" xfId="18731"/>
    <cellStyle name="Currency 2 2 3 5 4 3 2" xfId="38409"/>
    <cellStyle name="Currency 2 2 3 5 4 4" xfId="26093"/>
    <cellStyle name="Currency 2 2 3 5 5" xfId="9513"/>
    <cellStyle name="Currency 2 2 3 5 5 2" xfId="29191"/>
    <cellStyle name="Currency 2 2 3 5 6" xfId="15665"/>
    <cellStyle name="Currency 2 2 3 5 6 2" xfId="35343"/>
    <cellStyle name="Currency 2 2 3 5 7" xfId="22954"/>
    <cellStyle name="Currency 2 2 3 6" xfId="3974"/>
    <cellStyle name="Currency 2 2 3 6 2" xfId="5599"/>
    <cellStyle name="Currency 2 2 3 6 2 2" xfId="8685"/>
    <cellStyle name="Currency 2 2 3 6 2 2 2" xfId="14878"/>
    <cellStyle name="Currency 2 2 3 6 2 2 2 2" xfId="34556"/>
    <cellStyle name="Currency 2 2 3 6 2 2 3" xfId="21030"/>
    <cellStyle name="Currency 2 2 3 6 2 2 3 2" xfId="40708"/>
    <cellStyle name="Currency 2 2 3 6 2 2 4" xfId="28392"/>
    <cellStyle name="Currency 2 2 3 6 2 3" xfId="11812"/>
    <cellStyle name="Currency 2 2 3 6 2 3 2" xfId="31490"/>
    <cellStyle name="Currency 2 2 3 6 2 4" xfId="17964"/>
    <cellStyle name="Currency 2 2 3 6 2 4 2" xfId="37642"/>
    <cellStyle name="Currency 2 2 3 6 2 5" xfId="25326"/>
    <cellStyle name="Currency 2 2 3 6 3" xfId="7150"/>
    <cellStyle name="Currency 2 2 3 6 3 2" xfId="13344"/>
    <cellStyle name="Currency 2 2 3 6 3 2 2" xfId="33022"/>
    <cellStyle name="Currency 2 2 3 6 3 3" xfId="19496"/>
    <cellStyle name="Currency 2 2 3 6 3 3 2" xfId="39174"/>
    <cellStyle name="Currency 2 2 3 6 3 4" xfId="26858"/>
    <cellStyle name="Currency 2 2 3 6 4" xfId="10278"/>
    <cellStyle name="Currency 2 2 3 6 4 2" xfId="29956"/>
    <cellStyle name="Currency 2 2 3 6 5" xfId="16430"/>
    <cellStyle name="Currency 2 2 3 6 5 2" xfId="36108"/>
    <cellStyle name="Currency 2 2 3 6 6" xfId="23792"/>
    <cellStyle name="Currency 2 2 3 7" xfId="4815"/>
    <cellStyle name="Currency 2 2 3 7 2" xfId="7916"/>
    <cellStyle name="Currency 2 2 3 7 2 2" xfId="14109"/>
    <cellStyle name="Currency 2 2 3 7 2 2 2" xfId="33787"/>
    <cellStyle name="Currency 2 2 3 7 2 3" xfId="20261"/>
    <cellStyle name="Currency 2 2 3 7 2 3 2" xfId="39939"/>
    <cellStyle name="Currency 2 2 3 7 2 4" xfId="27623"/>
    <cellStyle name="Currency 2 2 3 7 3" xfId="11043"/>
    <cellStyle name="Currency 2 2 3 7 3 2" xfId="30721"/>
    <cellStyle name="Currency 2 2 3 7 4" xfId="17195"/>
    <cellStyle name="Currency 2 2 3 7 4 2" xfId="36873"/>
    <cellStyle name="Currency 2 2 3 7 5" xfId="24557"/>
    <cellStyle name="Currency 2 2 3 8" xfId="6381"/>
    <cellStyle name="Currency 2 2 3 8 2" xfId="12575"/>
    <cellStyle name="Currency 2 2 3 8 2 2" xfId="32253"/>
    <cellStyle name="Currency 2 2 3 8 3" xfId="18727"/>
    <cellStyle name="Currency 2 2 3 8 3 2" xfId="38405"/>
    <cellStyle name="Currency 2 2 3 8 4" xfId="26089"/>
    <cellStyle name="Currency 2 2 3 9" xfId="9509"/>
    <cellStyle name="Currency 2 2 3 9 2" xfId="29187"/>
    <cellStyle name="Currency 2 2 4" xfId="2233"/>
    <cellStyle name="Currency 2 2 4 2" xfId="3979"/>
    <cellStyle name="Currency 2 2 4 2 2" xfId="5604"/>
    <cellStyle name="Currency 2 2 4 2 2 2" xfId="8690"/>
    <cellStyle name="Currency 2 2 4 2 2 2 2" xfId="14883"/>
    <cellStyle name="Currency 2 2 4 2 2 2 2 2" xfId="34561"/>
    <cellStyle name="Currency 2 2 4 2 2 2 3" xfId="21035"/>
    <cellStyle name="Currency 2 2 4 2 2 2 3 2" xfId="40713"/>
    <cellStyle name="Currency 2 2 4 2 2 2 4" xfId="28397"/>
    <cellStyle name="Currency 2 2 4 2 2 3" xfId="11817"/>
    <cellStyle name="Currency 2 2 4 2 2 3 2" xfId="31495"/>
    <cellStyle name="Currency 2 2 4 2 2 4" xfId="17969"/>
    <cellStyle name="Currency 2 2 4 2 2 4 2" xfId="37647"/>
    <cellStyle name="Currency 2 2 4 2 2 5" xfId="25331"/>
    <cellStyle name="Currency 2 2 4 2 3" xfId="7155"/>
    <cellStyle name="Currency 2 2 4 2 3 2" xfId="13349"/>
    <cellStyle name="Currency 2 2 4 2 3 2 2" xfId="33027"/>
    <cellStyle name="Currency 2 2 4 2 3 3" xfId="19501"/>
    <cellStyle name="Currency 2 2 4 2 3 3 2" xfId="39179"/>
    <cellStyle name="Currency 2 2 4 2 3 4" xfId="26863"/>
    <cellStyle name="Currency 2 2 4 2 4" xfId="10283"/>
    <cellStyle name="Currency 2 2 4 2 4 2" xfId="29961"/>
    <cellStyle name="Currency 2 2 4 2 5" xfId="16435"/>
    <cellStyle name="Currency 2 2 4 2 5 2" xfId="36113"/>
    <cellStyle name="Currency 2 2 4 2 6" xfId="23797"/>
    <cellStyle name="Currency 2 2 4 3" xfId="4820"/>
    <cellStyle name="Currency 2 2 4 3 2" xfId="7921"/>
    <cellStyle name="Currency 2 2 4 3 2 2" xfId="14114"/>
    <cellStyle name="Currency 2 2 4 3 2 2 2" xfId="33792"/>
    <cellStyle name="Currency 2 2 4 3 2 3" xfId="20266"/>
    <cellStyle name="Currency 2 2 4 3 2 3 2" xfId="39944"/>
    <cellStyle name="Currency 2 2 4 3 2 4" xfId="27628"/>
    <cellStyle name="Currency 2 2 4 3 3" xfId="11048"/>
    <cellStyle name="Currency 2 2 4 3 3 2" xfId="30726"/>
    <cellStyle name="Currency 2 2 4 3 4" xfId="17200"/>
    <cellStyle name="Currency 2 2 4 3 4 2" xfId="36878"/>
    <cellStyle name="Currency 2 2 4 3 5" xfId="24562"/>
    <cellStyle name="Currency 2 2 4 4" xfId="6386"/>
    <cellStyle name="Currency 2 2 4 4 2" xfId="12580"/>
    <cellStyle name="Currency 2 2 4 4 2 2" xfId="32258"/>
    <cellStyle name="Currency 2 2 4 4 3" xfId="18732"/>
    <cellStyle name="Currency 2 2 4 4 3 2" xfId="38410"/>
    <cellStyle name="Currency 2 2 4 4 4" xfId="26094"/>
    <cellStyle name="Currency 2 2 4 5" xfId="9514"/>
    <cellStyle name="Currency 2 2 4 5 2" xfId="29192"/>
    <cellStyle name="Currency 2 2 4 6" xfId="15666"/>
    <cellStyle name="Currency 2 2 4 6 2" xfId="35344"/>
    <cellStyle name="Currency 2 2 4 7" xfId="22955"/>
    <cellStyle name="Currency 2 2 5" xfId="2234"/>
    <cellStyle name="Currency 2 2 5 2" xfId="3980"/>
    <cellStyle name="Currency 2 2 5 2 2" xfId="5605"/>
    <cellStyle name="Currency 2 2 5 2 2 2" xfId="8691"/>
    <cellStyle name="Currency 2 2 5 2 2 2 2" xfId="14884"/>
    <cellStyle name="Currency 2 2 5 2 2 2 2 2" xfId="34562"/>
    <cellStyle name="Currency 2 2 5 2 2 2 3" xfId="21036"/>
    <cellStyle name="Currency 2 2 5 2 2 2 3 2" xfId="40714"/>
    <cellStyle name="Currency 2 2 5 2 2 2 4" xfId="28398"/>
    <cellStyle name="Currency 2 2 5 2 2 3" xfId="11818"/>
    <cellStyle name="Currency 2 2 5 2 2 3 2" xfId="31496"/>
    <cellStyle name="Currency 2 2 5 2 2 4" xfId="17970"/>
    <cellStyle name="Currency 2 2 5 2 2 4 2" xfId="37648"/>
    <cellStyle name="Currency 2 2 5 2 2 5" xfId="25332"/>
    <cellStyle name="Currency 2 2 5 2 3" xfId="7156"/>
    <cellStyle name="Currency 2 2 5 2 3 2" xfId="13350"/>
    <cellStyle name="Currency 2 2 5 2 3 2 2" xfId="33028"/>
    <cellStyle name="Currency 2 2 5 2 3 3" xfId="19502"/>
    <cellStyle name="Currency 2 2 5 2 3 3 2" xfId="39180"/>
    <cellStyle name="Currency 2 2 5 2 3 4" xfId="26864"/>
    <cellStyle name="Currency 2 2 5 2 4" xfId="10284"/>
    <cellStyle name="Currency 2 2 5 2 4 2" xfId="29962"/>
    <cellStyle name="Currency 2 2 5 2 5" xfId="16436"/>
    <cellStyle name="Currency 2 2 5 2 5 2" xfId="36114"/>
    <cellStyle name="Currency 2 2 5 2 6" xfId="23798"/>
    <cellStyle name="Currency 2 2 5 3" xfId="4821"/>
    <cellStyle name="Currency 2 2 5 3 2" xfId="7922"/>
    <cellStyle name="Currency 2 2 5 3 2 2" xfId="14115"/>
    <cellStyle name="Currency 2 2 5 3 2 2 2" xfId="33793"/>
    <cellStyle name="Currency 2 2 5 3 2 3" xfId="20267"/>
    <cellStyle name="Currency 2 2 5 3 2 3 2" xfId="39945"/>
    <cellStyle name="Currency 2 2 5 3 2 4" xfId="27629"/>
    <cellStyle name="Currency 2 2 5 3 3" xfId="11049"/>
    <cellStyle name="Currency 2 2 5 3 3 2" xfId="30727"/>
    <cellStyle name="Currency 2 2 5 3 4" xfId="17201"/>
    <cellStyle name="Currency 2 2 5 3 4 2" xfId="36879"/>
    <cellStyle name="Currency 2 2 5 3 5" xfId="24563"/>
    <cellStyle name="Currency 2 2 5 4" xfId="6387"/>
    <cellStyle name="Currency 2 2 5 4 2" xfId="12581"/>
    <cellStyle name="Currency 2 2 5 4 2 2" xfId="32259"/>
    <cellStyle name="Currency 2 2 5 4 3" xfId="18733"/>
    <cellStyle name="Currency 2 2 5 4 3 2" xfId="38411"/>
    <cellStyle name="Currency 2 2 5 4 4" xfId="26095"/>
    <cellStyle name="Currency 2 2 5 5" xfId="9515"/>
    <cellStyle name="Currency 2 2 5 5 2" xfId="29193"/>
    <cellStyle name="Currency 2 2 5 6" xfId="15667"/>
    <cellStyle name="Currency 2 2 5 6 2" xfId="35345"/>
    <cellStyle name="Currency 2 2 5 7" xfId="22956"/>
    <cellStyle name="Currency 2 2 6" xfId="2235"/>
    <cellStyle name="Currency 2 2 6 2" xfId="3981"/>
    <cellStyle name="Currency 2 2 6 2 2" xfId="5606"/>
    <cellStyle name="Currency 2 2 6 2 2 2" xfId="8692"/>
    <cellStyle name="Currency 2 2 6 2 2 2 2" xfId="14885"/>
    <cellStyle name="Currency 2 2 6 2 2 2 2 2" xfId="34563"/>
    <cellStyle name="Currency 2 2 6 2 2 2 3" xfId="21037"/>
    <cellStyle name="Currency 2 2 6 2 2 2 3 2" xfId="40715"/>
    <cellStyle name="Currency 2 2 6 2 2 2 4" xfId="28399"/>
    <cellStyle name="Currency 2 2 6 2 2 3" xfId="11819"/>
    <cellStyle name="Currency 2 2 6 2 2 3 2" xfId="31497"/>
    <cellStyle name="Currency 2 2 6 2 2 4" xfId="17971"/>
    <cellStyle name="Currency 2 2 6 2 2 4 2" xfId="37649"/>
    <cellStyle name="Currency 2 2 6 2 2 5" xfId="25333"/>
    <cellStyle name="Currency 2 2 6 2 3" xfId="7157"/>
    <cellStyle name="Currency 2 2 6 2 3 2" xfId="13351"/>
    <cellStyle name="Currency 2 2 6 2 3 2 2" xfId="33029"/>
    <cellStyle name="Currency 2 2 6 2 3 3" xfId="19503"/>
    <cellStyle name="Currency 2 2 6 2 3 3 2" xfId="39181"/>
    <cellStyle name="Currency 2 2 6 2 3 4" xfId="26865"/>
    <cellStyle name="Currency 2 2 6 2 4" xfId="10285"/>
    <cellStyle name="Currency 2 2 6 2 4 2" xfId="29963"/>
    <cellStyle name="Currency 2 2 6 2 5" xfId="16437"/>
    <cellStyle name="Currency 2 2 6 2 5 2" xfId="36115"/>
    <cellStyle name="Currency 2 2 6 2 6" xfId="23799"/>
    <cellStyle name="Currency 2 2 6 3" xfId="4822"/>
    <cellStyle name="Currency 2 2 6 3 2" xfId="7923"/>
    <cellStyle name="Currency 2 2 6 3 2 2" xfId="14116"/>
    <cellStyle name="Currency 2 2 6 3 2 2 2" xfId="33794"/>
    <cellStyle name="Currency 2 2 6 3 2 3" xfId="20268"/>
    <cellStyle name="Currency 2 2 6 3 2 3 2" xfId="39946"/>
    <cellStyle name="Currency 2 2 6 3 2 4" xfId="27630"/>
    <cellStyle name="Currency 2 2 6 3 3" xfId="11050"/>
    <cellStyle name="Currency 2 2 6 3 3 2" xfId="30728"/>
    <cellStyle name="Currency 2 2 6 3 4" xfId="17202"/>
    <cellStyle name="Currency 2 2 6 3 4 2" xfId="36880"/>
    <cellStyle name="Currency 2 2 6 3 5" xfId="24564"/>
    <cellStyle name="Currency 2 2 6 4" xfId="6388"/>
    <cellStyle name="Currency 2 2 6 4 2" xfId="12582"/>
    <cellStyle name="Currency 2 2 6 4 2 2" xfId="32260"/>
    <cellStyle name="Currency 2 2 6 4 3" xfId="18734"/>
    <cellStyle name="Currency 2 2 6 4 3 2" xfId="38412"/>
    <cellStyle name="Currency 2 2 6 4 4" xfId="26096"/>
    <cellStyle name="Currency 2 2 6 5" xfId="9516"/>
    <cellStyle name="Currency 2 2 6 5 2" xfId="29194"/>
    <cellStyle name="Currency 2 2 6 6" xfId="15668"/>
    <cellStyle name="Currency 2 2 6 6 2" xfId="35346"/>
    <cellStyle name="Currency 2 2 6 7" xfId="22957"/>
    <cellStyle name="Currency 2 2 7" xfId="2236"/>
    <cellStyle name="Currency 2 2 7 2" xfId="3982"/>
    <cellStyle name="Currency 2 2 7 2 2" xfId="5607"/>
    <cellStyle name="Currency 2 2 7 2 2 2" xfId="8693"/>
    <cellStyle name="Currency 2 2 7 2 2 2 2" xfId="14886"/>
    <cellStyle name="Currency 2 2 7 2 2 2 2 2" xfId="34564"/>
    <cellStyle name="Currency 2 2 7 2 2 2 3" xfId="21038"/>
    <cellStyle name="Currency 2 2 7 2 2 2 3 2" xfId="40716"/>
    <cellStyle name="Currency 2 2 7 2 2 2 4" xfId="28400"/>
    <cellStyle name="Currency 2 2 7 2 2 3" xfId="11820"/>
    <cellStyle name="Currency 2 2 7 2 2 3 2" xfId="31498"/>
    <cellStyle name="Currency 2 2 7 2 2 4" xfId="17972"/>
    <cellStyle name="Currency 2 2 7 2 2 4 2" xfId="37650"/>
    <cellStyle name="Currency 2 2 7 2 2 5" xfId="25334"/>
    <cellStyle name="Currency 2 2 7 2 3" xfId="7158"/>
    <cellStyle name="Currency 2 2 7 2 3 2" xfId="13352"/>
    <cellStyle name="Currency 2 2 7 2 3 2 2" xfId="33030"/>
    <cellStyle name="Currency 2 2 7 2 3 3" xfId="19504"/>
    <cellStyle name="Currency 2 2 7 2 3 3 2" xfId="39182"/>
    <cellStyle name="Currency 2 2 7 2 3 4" xfId="26866"/>
    <cellStyle name="Currency 2 2 7 2 4" xfId="10286"/>
    <cellStyle name="Currency 2 2 7 2 4 2" xfId="29964"/>
    <cellStyle name="Currency 2 2 7 2 5" xfId="16438"/>
    <cellStyle name="Currency 2 2 7 2 5 2" xfId="36116"/>
    <cellStyle name="Currency 2 2 7 2 6" xfId="23800"/>
    <cellStyle name="Currency 2 2 7 3" xfId="4823"/>
    <cellStyle name="Currency 2 2 7 3 2" xfId="7924"/>
    <cellStyle name="Currency 2 2 7 3 2 2" xfId="14117"/>
    <cellStyle name="Currency 2 2 7 3 2 2 2" xfId="33795"/>
    <cellStyle name="Currency 2 2 7 3 2 3" xfId="20269"/>
    <cellStyle name="Currency 2 2 7 3 2 3 2" xfId="39947"/>
    <cellStyle name="Currency 2 2 7 3 2 4" xfId="27631"/>
    <cellStyle name="Currency 2 2 7 3 3" xfId="11051"/>
    <cellStyle name="Currency 2 2 7 3 3 2" xfId="30729"/>
    <cellStyle name="Currency 2 2 7 3 4" xfId="17203"/>
    <cellStyle name="Currency 2 2 7 3 4 2" xfId="36881"/>
    <cellStyle name="Currency 2 2 7 3 5" xfId="24565"/>
    <cellStyle name="Currency 2 2 7 4" xfId="6389"/>
    <cellStyle name="Currency 2 2 7 4 2" xfId="12583"/>
    <cellStyle name="Currency 2 2 7 4 2 2" xfId="32261"/>
    <cellStyle name="Currency 2 2 7 4 3" xfId="18735"/>
    <cellStyle name="Currency 2 2 7 4 3 2" xfId="38413"/>
    <cellStyle name="Currency 2 2 7 4 4" xfId="26097"/>
    <cellStyle name="Currency 2 2 7 5" xfId="9517"/>
    <cellStyle name="Currency 2 2 7 5 2" xfId="29195"/>
    <cellStyle name="Currency 2 2 7 6" xfId="15669"/>
    <cellStyle name="Currency 2 2 7 6 2" xfId="35347"/>
    <cellStyle name="Currency 2 2 7 7" xfId="22958"/>
    <cellStyle name="Currency 2 2 8" xfId="2237"/>
    <cellStyle name="Currency 2 2 8 2" xfId="3983"/>
    <cellStyle name="Currency 2 2 8 2 2" xfId="5608"/>
    <cellStyle name="Currency 2 2 8 2 2 2" xfId="8694"/>
    <cellStyle name="Currency 2 2 8 2 2 2 2" xfId="14887"/>
    <cellStyle name="Currency 2 2 8 2 2 2 2 2" xfId="34565"/>
    <cellStyle name="Currency 2 2 8 2 2 2 3" xfId="21039"/>
    <cellStyle name="Currency 2 2 8 2 2 2 3 2" xfId="40717"/>
    <cellStyle name="Currency 2 2 8 2 2 2 4" xfId="28401"/>
    <cellStyle name="Currency 2 2 8 2 2 3" xfId="11821"/>
    <cellStyle name="Currency 2 2 8 2 2 3 2" xfId="31499"/>
    <cellStyle name="Currency 2 2 8 2 2 4" xfId="17973"/>
    <cellStyle name="Currency 2 2 8 2 2 4 2" xfId="37651"/>
    <cellStyle name="Currency 2 2 8 2 2 5" xfId="25335"/>
    <cellStyle name="Currency 2 2 8 2 3" xfId="7159"/>
    <cellStyle name="Currency 2 2 8 2 3 2" xfId="13353"/>
    <cellStyle name="Currency 2 2 8 2 3 2 2" xfId="33031"/>
    <cellStyle name="Currency 2 2 8 2 3 3" xfId="19505"/>
    <cellStyle name="Currency 2 2 8 2 3 3 2" xfId="39183"/>
    <cellStyle name="Currency 2 2 8 2 3 4" xfId="26867"/>
    <cellStyle name="Currency 2 2 8 2 4" xfId="10287"/>
    <cellStyle name="Currency 2 2 8 2 4 2" xfId="29965"/>
    <cellStyle name="Currency 2 2 8 2 5" xfId="16439"/>
    <cellStyle name="Currency 2 2 8 2 5 2" xfId="36117"/>
    <cellStyle name="Currency 2 2 8 2 6" xfId="23801"/>
    <cellStyle name="Currency 2 2 8 3" xfId="4824"/>
    <cellStyle name="Currency 2 2 8 3 2" xfId="7925"/>
    <cellStyle name="Currency 2 2 8 3 2 2" xfId="14118"/>
    <cellStyle name="Currency 2 2 8 3 2 2 2" xfId="33796"/>
    <cellStyle name="Currency 2 2 8 3 2 3" xfId="20270"/>
    <cellStyle name="Currency 2 2 8 3 2 3 2" xfId="39948"/>
    <cellStyle name="Currency 2 2 8 3 2 4" xfId="27632"/>
    <cellStyle name="Currency 2 2 8 3 3" xfId="11052"/>
    <cellStyle name="Currency 2 2 8 3 3 2" xfId="30730"/>
    <cellStyle name="Currency 2 2 8 3 4" xfId="17204"/>
    <cellStyle name="Currency 2 2 8 3 4 2" xfId="36882"/>
    <cellStyle name="Currency 2 2 8 3 5" xfId="24566"/>
    <cellStyle name="Currency 2 2 8 4" xfId="6390"/>
    <cellStyle name="Currency 2 2 8 4 2" xfId="12584"/>
    <cellStyle name="Currency 2 2 8 4 2 2" xfId="32262"/>
    <cellStyle name="Currency 2 2 8 4 3" xfId="18736"/>
    <cellStyle name="Currency 2 2 8 4 3 2" xfId="38414"/>
    <cellStyle name="Currency 2 2 8 4 4" xfId="26098"/>
    <cellStyle name="Currency 2 2 8 5" xfId="9518"/>
    <cellStyle name="Currency 2 2 8 5 2" xfId="29196"/>
    <cellStyle name="Currency 2 2 8 6" xfId="15670"/>
    <cellStyle name="Currency 2 2 8 6 2" xfId="35348"/>
    <cellStyle name="Currency 2 2 8 7" xfId="22959"/>
    <cellStyle name="Currency 2 2 9" xfId="2238"/>
    <cellStyle name="Currency 2 2 9 2" xfId="3984"/>
    <cellStyle name="Currency 2 2 9 2 2" xfId="5609"/>
    <cellStyle name="Currency 2 2 9 2 2 2" xfId="8695"/>
    <cellStyle name="Currency 2 2 9 2 2 2 2" xfId="14888"/>
    <cellStyle name="Currency 2 2 9 2 2 2 2 2" xfId="34566"/>
    <cellStyle name="Currency 2 2 9 2 2 2 3" xfId="21040"/>
    <cellStyle name="Currency 2 2 9 2 2 2 3 2" xfId="40718"/>
    <cellStyle name="Currency 2 2 9 2 2 2 4" xfId="28402"/>
    <cellStyle name="Currency 2 2 9 2 2 3" xfId="11822"/>
    <cellStyle name="Currency 2 2 9 2 2 3 2" xfId="31500"/>
    <cellStyle name="Currency 2 2 9 2 2 4" xfId="17974"/>
    <cellStyle name="Currency 2 2 9 2 2 4 2" xfId="37652"/>
    <cellStyle name="Currency 2 2 9 2 2 5" xfId="25336"/>
    <cellStyle name="Currency 2 2 9 2 3" xfId="7160"/>
    <cellStyle name="Currency 2 2 9 2 3 2" xfId="13354"/>
    <cellStyle name="Currency 2 2 9 2 3 2 2" xfId="33032"/>
    <cellStyle name="Currency 2 2 9 2 3 3" xfId="19506"/>
    <cellStyle name="Currency 2 2 9 2 3 3 2" xfId="39184"/>
    <cellStyle name="Currency 2 2 9 2 3 4" xfId="26868"/>
    <cellStyle name="Currency 2 2 9 2 4" xfId="10288"/>
    <cellStyle name="Currency 2 2 9 2 4 2" xfId="29966"/>
    <cellStyle name="Currency 2 2 9 2 5" xfId="16440"/>
    <cellStyle name="Currency 2 2 9 2 5 2" xfId="36118"/>
    <cellStyle name="Currency 2 2 9 2 6" xfId="23802"/>
    <cellStyle name="Currency 2 2 9 3" xfId="4825"/>
    <cellStyle name="Currency 2 2 9 3 2" xfId="7926"/>
    <cellStyle name="Currency 2 2 9 3 2 2" xfId="14119"/>
    <cellStyle name="Currency 2 2 9 3 2 2 2" xfId="33797"/>
    <cellStyle name="Currency 2 2 9 3 2 3" xfId="20271"/>
    <cellStyle name="Currency 2 2 9 3 2 3 2" xfId="39949"/>
    <cellStyle name="Currency 2 2 9 3 2 4" xfId="27633"/>
    <cellStyle name="Currency 2 2 9 3 3" xfId="11053"/>
    <cellStyle name="Currency 2 2 9 3 3 2" xfId="30731"/>
    <cellStyle name="Currency 2 2 9 3 4" xfId="17205"/>
    <cellStyle name="Currency 2 2 9 3 4 2" xfId="36883"/>
    <cellStyle name="Currency 2 2 9 3 5" xfId="24567"/>
    <cellStyle name="Currency 2 2 9 4" xfId="6391"/>
    <cellStyle name="Currency 2 2 9 4 2" xfId="12585"/>
    <cellStyle name="Currency 2 2 9 4 2 2" xfId="32263"/>
    <cellStyle name="Currency 2 2 9 4 3" xfId="18737"/>
    <cellStyle name="Currency 2 2 9 4 3 2" xfId="38415"/>
    <cellStyle name="Currency 2 2 9 4 4" xfId="26099"/>
    <cellStyle name="Currency 2 2 9 5" xfId="9519"/>
    <cellStyle name="Currency 2 2 9 5 2" xfId="29197"/>
    <cellStyle name="Currency 2 2 9 6" xfId="15671"/>
    <cellStyle name="Currency 2 2 9 6 2" xfId="35349"/>
    <cellStyle name="Currency 2 2 9 7" xfId="22960"/>
    <cellStyle name="Currency 2 20" xfId="2239"/>
    <cellStyle name="Currency 2 20 2" xfId="22961"/>
    <cellStyle name="Currency 2 20 3" xfId="22056"/>
    <cellStyle name="Currency 2 21" xfId="2240"/>
    <cellStyle name="Currency 2 21 2" xfId="22962"/>
    <cellStyle name="Currency 2 21 3" xfId="22083"/>
    <cellStyle name="Currency 2 22" xfId="2241"/>
    <cellStyle name="Currency 2 22 2" xfId="22963"/>
    <cellStyle name="Currency 2 22 3" xfId="22111"/>
    <cellStyle name="Currency 2 23" xfId="2242"/>
    <cellStyle name="Currency 2 23 2" xfId="22964"/>
    <cellStyle name="Currency 2 23 3" xfId="22086"/>
    <cellStyle name="Currency 2 24" xfId="2243"/>
    <cellStyle name="Currency 2 24 2" xfId="2244"/>
    <cellStyle name="Currency 2 24 3" xfId="2245"/>
    <cellStyle name="Currency 2 25" xfId="2246"/>
    <cellStyle name="Currency 2 25 2" xfId="2247"/>
    <cellStyle name="Currency 2 25 3" xfId="22965"/>
    <cellStyle name="Currency 2 25 4" xfId="22198"/>
    <cellStyle name="Currency 2 26" xfId="2248"/>
    <cellStyle name="Currency 2 26 2" xfId="2249"/>
    <cellStyle name="Currency 2 26 3" xfId="22966"/>
    <cellStyle name="Currency 2 26 4" xfId="22217"/>
    <cellStyle name="Currency 2 27" xfId="2201"/>
    <cellStyle name="Currency 2 27 2" xfId="3959"/>
    <cellStyle name="Currency 2 27 2 2" xfId="5584"/>
    <cellStyle name="Currency 2 27 2 2 2" xfId="8670"/>
    <cellStyle name="Currency 2 27 2 2 2 2" xfId="14863"/>
    <cellStyle name="Currency 2 27 2 2 2 2 2" xfId="34541"/>
    <cellStyle name="Currency 2 27 2 2 2 3" xfId="21015"/>
    <cellStyle name="Currency 2 27 2 2 2 3 2" xfId="40693"/>
    <cellStyle name="Currency 2 27 2 2 2 4" xfId="28377"/>
    <cellStyle name="Currency 2 27 2 2 3" xfId="11797"/>
    <cellStyle name="Currency 2 27 2 2 3 2" xfId="31475"/>
    <cellStyle name="Currency 2 27 2 2 4" xfId="17949"/>
    <cellStyle name="Currency 2 27 2 2 4 2" xfId="37627"/>
    <cellStyle name="Currency 2 27 2 2 5" xfId="25311"/>
    <cellStyle name="Currency 2 27 2 3" xfId="7135"/>
    <cellStyle name="Currency 2 27 2 3 2" xfId="13329"/>
    <cellStyle name="Currency 2 27 2 3 2 2" xfId="33007"/>
    <cellStyle name="Currency 2 27 2 3 3" xfId="19481"/>
    <cellStyle name="Currency 2 27 2 3 3 2" xfId="39159"/>
    <cellStyle name="Currency 2 27 2 3 4" xfId="26843"/>
    <cellStyle name="Currency 2 27 2 4" xfId="10263"/>
    <cellStyle name="Currency 2 27 2 4 2" xfId="29941"/>
    <cellStyle name="Currency 2 27 2 5" xfId="16415"/>
    <cellStyle name="Currency 2 27 2 5 2" xfId="36093"/>
    <cellStyle name="Currency 2 27 2 6" xfId="23777"/>
    <cellStyle name="Currency 2 27 3" xfId="4800"/>
    <cellStyle name="Currency 2 27 3 2" xfId="7901"/>
    <cellStyle name="Currency 2 27 3 2 2" xfId="14094"/>
    <cellStyle name="Currency 2 27 3 2 2 2" xfId="33772"/>
    <cellStyle name="Currency 2 27 3 2 3" xfId="20246"/>
    <cellStyle name="Currency 2 27 3 2 3 2" xfId="39924"/>
    <cellStyle name="Currency 2 27 3 2 4" xfId="27608"/>
    <cellStyle name="Currency 2 27 3 3" xfId="11028"/>
    <cellStyle name="Currency 2 27 3 3 2" xfId="30706"/>
    <cellStyle name="Currency 2 27 3 4" xfId="17180"/>
    <cellStyle name="Currency 2 27 3 4 2" xfId="36858"/>
    <cellStyle name="Currency 2 27 3 5" xfId="24542"/>
    <cellStyle name="Currency 2 27 4" xfId="6366"/>
    <cellStyle name="Currency 2 27 4 2" xfId="12560"/>
    <cellStyle name="Currency 2 27 4 2 2" xfId="32238"/>
    <cellStyle name="Currency 2 27 4 3" xfId="18712"/>
    <cellStyle name="Currency 2 27 4 3 2" xfId="38390"/>
    <cellStyle name="Currency 2 27 4 4" xfId="26074"/>
    <cellStyle name="Currency 2 27 5" xfId="9494"/>
    <cellStyle name="Currency 2 27 5 2" xfId="29172"/>
    <cellStyle name="Currency 2 27 6" xfId="15646"/>
    <cellStyle name="Currency 2 27 6 2" xfId="35324"/>
    <cellStyle name="Currency 2 27 7" xfId="22935"/>
    <cellStyle name="Currency 2 27 8" xfId="22249"/>
    <cellStyle name="Currency 2 28" xfId="9286"/>
    <cellStyle name="Currency 2 28 2" xfId="28985"/>
    <cellStyle name="Currency 2 28 3" xfId="22276"/>
    <cellStyle name="Currency 2 29" xfId="22301"/>
    <cellStyle name="Currency 2 3" xfId="61"/>
    <cellStyle name="Currency 2 3 2" xfId="2251"/>
    <cellStyle name="Currency 2 3 3" xfId="3719"/>
    <cellStyle name="Currency 2 3 4" xfId="2250"/>
    <cellStyle name="Currency 2 3 5" xfId="9319"/>
    <cellStyle name="Currency 2 3 6" xfId="41908"/>
    <cellStyle name="Currency 2 30" xfId="22324"/>
    <cellStyle name="Currency 2 31" xfId="21752"/>
    <cellStyle name="Currency 2 32" xfId="41906"/>
    <cellStyle name="Currency 2 33" xfId="42072"/>
    <cellStyle name="Currency 2 4" xfId="268"/>
    <cellStyle name="Currency 2 4 2" xfId="3720"/>
    <cellStyle name="Currency 2 4 3" xfId="2252"/>
    <cellStyle name="Currency 2 5" xfId="269"/>
    <cellStyle name="Currency 2 6" xfId="270"/>
    <cellStyle name="Currency 2 6 2" xfId="3721"/>
    <cellStyle name="Currency 2 6 3" xfId="2253"/>
    <cellStyle name="Currency 2 7" xfId="271"/>
    <cellStyle name="Currency 2 7 2" xfId="3722"/>
    <cellStyle name="Currency 2 7 3" xfId="2254"/>
    <cellStyle name="Currency 2 8" xfId="272"/>
    <cellStyle name="Currency 2 8 2" xfId="3723"/>
    <cellStyle name="Currency 2 8 3" xfId="2255"/>
    <cellStyle name="Currency 2 9" xfId="273"/>
    <cellStyle name="Currency 2 9 2" xfId="3724"/>
    <cellStyle name="Currency 2 9 3" xfId="2256"/>
    <cellStyle name="Currency 20" xfId="2257"/>
    <cellStyle name="Currency 20 2" xfId="2258"/>
    <cellStyle name="Currency 20 3" xfId="2259"/>
    <cellStyle name="Currency 200" xfId="21685"/>
    <cellStyle name="Currency 21" xfId="2260"/>
    <cellStyle name="Currency 22" xfId="2261"/>
    <cellStyle name="Currency 23" xfId="2262"/>
    <cellStyle name="Currency 24" xfId="2263"/>
    <cellStyle name="Currency 25" xfId="2264"/>
    <cellStyle name="Currency 26" xfId="2265"/>
    <cellStyle name="Currency 27" xfId="2266"/>
    <cellStyle name="Currency 28" xfId="2267"/>
    <cellStyle name="Currency 29" xfId="2268"/>
    <cellStyle name="Currency 3" xfId="30"/>
    <cellStyle name="Currency 3 10" xfId="2269"/>
    <cellStyle name="Currency 3 10 2" xfId="3985"/>
    <cellStyle name="Currency 3 10 2 2" xfId="5610"/>
    <cellStyle name="Currency 3 10 2 2 2" xfId="8696"/>
    <cellStyle name="Currency 3 10 2 2 2 2" xfId="14889"/>
    <cellStyle name="Currency 3 10 2 2 2 2 2" xfId="34567"/>
    <cellStyle name="Currency 3 10 2 2 2 3" xfId="21041"/>
    <cellStyle name="Currency 3 10 2 2 2 3 2" xfId="40719"/>
    <cellStyle name="Currency 3 10 2 2 2 4" xfId="28403"/>
    <cellStyle name="Currency 3 10 2 2 3" xfId="11823"/>
    <cellStyle name="Currency 3 10 2 2 3 2" xfId="31501"/>
    <cellStyle name="Currency 3 10 2 2 4" xfId="17975"/>
    <cellStyle name="Currency 3 10 2 2 4 2" xfId="37653"/>
    <cellStyle name="Currency 3 10 2 2 5" xfId="25337"/>
    <cellStyle name="Currency 3 10 2 3" xfId="7161"/>
    <cellStyle name="Currency 3 10 2 3 2" xfId="13355"/>
    <cellStyle name="Currency 3 10 2 3 2 2" xfId="33033"/>
    <cellStyle name="Currency 3 10 2 3 3" xfId="19507"/>
    <cellStyle name="Currency 3 10 2 3 3 2" xfId="39185"/>
    <cellStyle name="Currency 3 10 2 3 4" xfId="26869"/>
    <cellStyle name="Currency 3 10 2 4" xfId="10289"/>
    <cellStyle name="Currency 3 10 2 4 2" xfId="29967"/>
    <cellStyle name="Currency 3 10 2 5" xfId="16441"/>
    <cellStyle name="Currency 3 10 2 5 2" xfId="36119"/>
    <cellStyle name="Currency 3 10 2 6" xfId="23803"/>
    <cellStyle name="Currency 3 10 3" xfId="4826"/>
    <cellStyle name="Currency 3 10 3 2" xfId="7927"/>
    <cellStyle name="Currency 3 10 3 2 2" xfId="14120"/>
    <cellStyle name="Currency 3 10 3 2 2 2" xfId="33798"/>
    <cellStyle name="Currency 3 10 3 2 3" xfId="20272"/>
    <cellStyle name="Currency 3 10 3 2 3 2" xfId="39950"/>
    <cellStyle name="Currency 3 10 3 2 4" xfId="27634"/>
    <cellStyle name="Currency 3 10 3 3" xfId="11054"/>
    <cellStyle name="Currency 3 10 3 3 2" xfId="30732"/>
    <cellStyle name="Currency 3 10 3 4" xfId="17206"/>
    <cellStyle name="Currency 3 10 3 4 2" xfId="36884"/>
    <cellStyle name="Currency 3 10 3 5" xfId="24568"/>
    <cellStyle name="Currency 3 10 4" xfId="6392"/>
    <cellStyle name="Currency 3 10 4 2" xfId="12586"/>
    <cellStyle name="Currency 3 10 4 2 2" xfId="32264"/>
    <cellStyle name="Currency 3 10 4 3" xfId="18738"/>
    <cellStyle name="Currency 3 10 4 3 2" xfId="38416"/>
    <cellStyle name="Currency 3 10 4 4" xfId="26100"/>
    <cellStyle name="Currency 3 10 5" xfId="9520"/>
    <cellStyle name="Currency 3 10 5 2" xfId="29198"/>
    <cellStyle name="Currency 3 10 6" xfId="15672"/>
    <cellStyle name="Currency 3 10 6 2" xfId="35350"/>
    <cellStyle name="Currency 3 10 7" xfId="22967"/>
    <cellStyle name="Currency 3 10 8" xfId="21876"/>
    <cellStyle name="Currency 3 11" xfId="2270"/>
    <cellStyle name="Currency 3 11 2" xfId="3986"/>
    <cellStyle name="Currency 3 11 2 2" xfId="5611"/>
    <cellStyle name="Currency 3 11 2 2 2" xfId="8697"/>
    <cellStyle name="Currency 3 11 2 2 2 2" xfId="14890"/>
    <cellStyle name="Currency 3 11 2 2 2 2 2" xfId="34568"/>
    <cellStyle name="Currency 3 11 2 2 2 3" xfId="21042"/>
    <cellStyle name="Currency 3 11 2 2 2 3 2" xfId="40720"/>
    <cellStyle name="Currency 3 11 2 2 2 4" xfId="28404"/>
    <cellStyle name="Currency 3 11 2 2 3" xfId="11824"/>
    <cellStyle name="Currency 3 11 2 2 3 2" xfId="31502"/>
    <cellStyle name="Currency 3 11 2 2 4" xfId="17976"/>
    <cellStyle name="Currency 3 11 2 2 4 2" xfId="37654"/>
    <cellStyle name="Currency 3 11 2 2 5" xfId="25338"/>
    <cellStyle name="Currency 3 11 2 3" xfId="7162"/>
    <cellStyle name="Currency 3 11 2 3 2" xfId="13356"/>
    <cellStyle name="Currency 3 11 2 3 2 2" xfId="33034"/>
    <cellStyle name="Currency 3 11 2 3 3" xfId="19508"/>
    <cellStyle name="Currency 3 11 2 3 3 2" xfId="39186"/>
    <cellStyle name="Currency 3 11 2 3 4" xfId="26870"/>
    <cellStyle name="Currency 3 11 2 4" xfId="10290"/>
    <cellStyle name="Currency 3 11 2 4 2" xfId="29968"/>
    <cellStyle name="Currency 3 11 2 5" xfId="16442"/>
    <cellStyle name="Currency 3 11 2 5 2" xfId="36120"/>
    <cellStyle name="Currency 3 11 2 6" xfId="23804"/>
    <cellStyle name="Currency 3 11 3" xfId="4827"/>
    <cellStyle name="Currency 3 11 3 2" xfId="7928"/>
    <cellStyle name="Currency 3 11 3 2 2" xfId="14121"/>
    <cellStyle name="Currency 3 11 3 2 2 2" xfId="33799"/>
    <cellStyle name="Currency 3 11 3 2 3" xfId="20273"/>
    <cellStyle name="Currency 3 11 3 2 3 2" xfId="39951"/>
    <cellStyle name="Currency 3 11 3 2 4" xfId="27635"/>
    <cellStyle name="Currency 3 11 3 3" xfId="11055"/>
    <cellStyle name="Currency 3 11 3 3 2" xfId="30733"/>
    <cellStyle name="Currency 3 11 3 4" xfId="17207"/>
    <cellStyle name="Currency 3 11 3 4 2" xfId="36885"/>
    <cellStyle name="Currency 3 11 3 5" xfId="24569"/>
    <cellStyle name="Currency 3 11 4" xfId="6393"/>
    <cellStyle name="Currency 3 11 4 2" xfId="12587"/>
    <cellStyle name="Currency 3 11 4 2 2" xfId="32265"/>
    <cellStyle name="Currency 3 11 4 3" xfId="18739"/>
    <cellStyle name="Currency 3 11 4 3 2" xfId="38417"/>
    <cellStyle name="Currency 3 11 4 4" xfId="26101"/>
    <cellStyle name="Currency 3 11 5" xfId="9521"/>
    <cellStyle name="Currency 3 11 5 2" xfId="29199"/>
    <cellStyle name="Currency 3 11 6" xfId="15673"/>
    <cellStyle name="Currency 3 11 6 2" xfId="35351"/>
    <cellStyle name="Currency 3 11 7" xfId="22968"/>
    <cellStyle name="Currency 3 11 8" xfId="21888"/>
    <cellStyle name="Currency 3 12" xfId="2271"/>
    <cellStyle name="Currency 3 12 2" xfId="3987"/>
    <cellStyle name="Currency 3 12 2 2" xfId="5612"/>
    <cellStyle name="Currency 3 12 2 2 2" xfId="8698"/>
    <cellStyle name="Currency 3 12 2 2 2 2" xfId="14891"/>
    <cellStyle name="Currency 3 12 2 2 2 2 2" xfId="34569"/>
    <cellStyle name="Currency 3 12 2 2 2 3" xfId="21043"/>
    <cellStyle name="Currency 3 12 2 2 2 3 2" xfId="40721"/>
    <cellStyle name="Currency 3 12 2 2 2 4" xfId="28405"/>
    <cellStyle name="Currency 3 12 2 2 3" xfId="11825"/>
    <cellStyle name="Currency 3 12 2 2 3 2" xfId="31503"/>
    <cellStyle name="Currency 3 12 2 2 4" xfId="17977"/>
    <cellStyle name="Currency 3 12 2 2 4 2" xfId="37655"/>
    <cellStyle name="Currency 3 12 2 2 5" xfId="25339"/>
    <cellStyle name="Currency 3 12 2 3" xfId="7163"/>
    <cellStyle name="Currency 3 12 2 3 2" xfId="13357"/>
    <cellStyle name="Currency 3 12 2 3 2 2" xfId="33035"/>
    <cellStyle name="Currency 3 12 2 3 3" xfId="19509"/>
    <cellStyle name="Currency 3 12 2 3 3 2" xfId="39187"/>
    <cellStyle name="Currency 3 12 2 3 4" xfId="26871"/>
    <cellStyle name="Currency 3 12 2 4" xfId="10291"/>
    <cellStyle name="Currency 3 12 2 4 2" xfId="29969"/>
    <cellStyle name="Currency 3 12 2 5" xfId="16443"/>
    <cellStyle name="Currency 3 12 2 5 2" xfId="36121"/>
    <cellStyle name="Currency 3 12 2 6" xfId="23805"/>
    <cellStyle name="Currency 3 12 3" xfId="4828"/>
    <cellStyle name="Currency 3 12 3 2" xfId="7929"/>
    <cellStyle name="Currency 3 12 3 2 2" xfId="14122"/>
    <cellStyle name="Currency 3 12 3 2 2 2" xfId="33800"/>
    <cellStyle name="Currency 3 12 3 2 3" xfId="20274"/>
    <cellStyle name="Currency 3 12 3 2 3 2" xfId="39952"/>
    <cellStyle name="Currency 3 12 3 2 4" xfId="27636"/>
    <cellStyle name="Currency 3 12 3 3" xfId="11056"/>
    <cellStyle name="Currency 3 12 3 3 2" xfId="30734"/>
    <cellStyle name="Currency 3 12 3 4" xfId="17208"/>
    <cellStyle name="Currency 3 12 3 4 2" xfId="36886"/>
    <cellStyle name="Currency 3 12 3 5" xfId="24570"/>
    <cellStyle name="Currency 3 12 4" xfId="6394"/>
    <cellStyle name="Currency 3 12 4 2" xfId="12588"/>
    <cellStyle name="Currency 3 12 4 2 2" xfId="32266"/>
    <cellStyle name="Currency 3 12 4 3" xfId="18740"/>
    <cellStyle name="Currency 3 12 4 3 2" xfId="38418"/>
    <cellStyle name="Currency 3 12 4 4" xfId="26102"/>
    <cellStyle name="Currency 3 12 5" xfId="9522"/>
    <cellStyle name="Currency 3 12 5 2" xfId="29200"/>
    <cellStyle name="Currency 3 12 6" xfId="15674"/>
    <cellStyle name="Currency 3 12 6 2" xfId="35352"/>
    <cellStyle name="Currency 3 12 7" xfId="22969"/>
    <cellStyle name="Currency 3 12 8" xfId="21906"/>
    <cellStyle name="Currency 3 13" xfId="2272"/>
    <cellStyle name="Currency 3 13 2" xfId="3988"/>
    <cellStyle name="Currency 3 13 2 2" xfId="5613"/>
    <cellStyle name="Currency 3 13 2 2 2" xfId="8699"/>
    <cellStyle name="Currency 3 13 2 2 2 2" xfId="14892"/>
    <cellStyle name="Currency 3 13 2 2 2 2 2" xfId="34570"/>
    <cellStyle name="Currency 3 13 2 2 2 3" xfId="21044"/>
    <cellStyle name="Currency 3 13 2 2 2 3 2" xfId="40722"/>
    <cellStyle name="Currency 3 13 2 2 2 4" xfId="28406"/>
    <cellStyle name="Currency 3 13 2 2 3" xfId="11826"/>
    <cellStyle name="Currency 3 13 2 2 3 2" xfId="31504"/>
    <cellStyle name="Currency 3 13 2 2 4" xfId="17978"/>
    <cellStyle name="Currency 3 13 2 2 4 2" xfId="37656"/>
    <cellStyle name="Currency 3 13 2 2 5" xfId="25340"/>
    <cellStyle name="Currency 3 13 2 3" xfId="7164"/>
    <cellStyle name="Currency 3 13 2 3 2" xfId="13358"/>
    <cellStyle name="Currency 3 13 2 3 2 2" xfId="33036"/>
    <cellStyle name="Currency 3 13 2 3 3" xfId="19510"/>
    <cellStyle name="Currency 3 13 2 3 3 2" xfId="39188"/>
    <cellStyle name="Currency 3 13 2 3 4" xfId="26872"/>
    <cellStyle name="Currency 3 13 2 4" xfId="10292"/>
    <cellStyle name="Currency 3 13 2 4 2" xfId="29970"/>
    <cellStyle name="Currency 3 13 2 5" xfId="16444"/>
    <cellStyle name="Currency 3 13 2 5 2" xfId="36122"/>
    <cellStyle name="Currency 3 13 2 6" xfId="23806"/>
    <cellStyle name="Currency 3 13 3" xfId="4829"/>
    <cellStyle name="Currency 3 13 3 2" xfId="7930"/>
    <cellStyle name="Currency 3 13 3 2 2" xfId="14123"/>
    <cellStyle name="Currency 3 13 3 2 2 2" xfId="33801"/>
    <cellStyle name="Currency 3 13 3 2 3" xfId="20275"/>
    <cellStyle name="Currency 3 13 3 2 3 2" xfId="39953"/>
    <cellStyle name="Currency 3 13 3 2 4" xfId="27637"/>
    <cellStyle name="Currency 3 13 3 3" xfId="11057"/>
    <cellStyle name="Currency 3 13 3 3 2" xfId="30735"/>
    <cellStyle name="Currency 3 13 3 4" xfId="17209"/>
    <cellStyle name="Currency 3 13 3 4 2" xfId="36887"/>
    <cellStyle name="Currency 3 13 3 5" xfId="24571"/>
    <cellStyle name="Currency 3 13 4" xfId="6395"/>
    <cellStyle name="Currency 3 13 4 2" xfId="12589"/>
    <cellStyle name="Currency 3 13 4 2 2" xfId="32267"/>
    <cellStyle name="Currency 3 13 4 3" xfId="18741"/>
    <cellStyle name="Currency 3 13 4 3 2" xfId="38419"/>
    <cellStyle name="Currency 3 13 4 4" xfId="26103"/>
    <cellStyle name="Currency 3 13 5" xfId="9523"/>
    <cellStyle name="Currency 3 13 5 2" xfId="29201"/>
    <cellStyle name="Currency 3 13 6" xfId="15675"/>
    <cellStyle name="Currency 3 13 6 2" xfId="35353"/>
    <cellStyle name="Currency 3 13 7" xfId="22970"/>
    <cellStyle name="Currency 3 13 8" xfId="21919"/>
    <cellStyle name="Currency 3 14" xfId="2273"/>
    <cellStyle name="Currency 3 14 2" xfId="3989"/>
    <cellStyle name="Currency 3 14 2 2" xfId="5614"/>
    <cellStyle name="Currency 3 14 2 2 2" xfId="8700"/>
    <cellStyle name="Currency 3 14 2 2 2 2" xfId="14893"/>
    <cellStyle name="Currency 3 14 2 2 2 2 2" xfId="34571"/>
    <cellStyle name="Currency 3 14 2 2 2 3" xfId="21045"/>
    <cellStyle name="Currency 3 14 2 2 2 3 2" xfId="40723"/>
    <cellStyle name="Currency 3 14 2 2 2 4" xfId="28407"/>
    <cellStyle name="Currency 3 14 2 2 3" xfId="11827"/>
    <cellStyle name="Currency 3 14 2 2 3 2" xfId="31505"/>
    <cellStyle name="Currency 3 14 2 2 4" xfId="17979"/>
    <cellStyle name="Currency 3 14 2 2 4 2" xfId="37657"/>
    <cellStyle name="Currency 3 14 2 2 5" xfId="25341"/>
    <cellStyle name="Currency 3 14 2 3" xfId="7165"/>
    <cellStyle name="Currency 3 14 2 3 2" xfId="13359"/>
    <cellStyle name="Currency 3 14 2 3 2 2" xfId="33037"/>
    <cellStyle name="Currency 3 14 2 3 3" xfId="19511"/>
    <cellStyle name="Currency 3 14 2 3 3 2" xfId="39189"/>
    <cellStyle name="Currency 3 14 2 3 4" xfId="26873"/>
    <cellStyle name="Currency 3 14 2 4" xfId="10293"/>
    <cellStyle name="Currency 3 14 2 4 2" xfId="29971"/>
    <cellStyle name="Currency 3 14 2 5" xfId="16445"/>
    <cellStyle name="Currency 3 14 2 5 2" xfId="36123"/>
    <cellStyle name="Currency 3 14 2 6" xfId="23807"/>
    <cellStyle name="Currency 3 14 3" xfId="4830"/>
    <cellStyle name="Currency 3 14 3 2" xfId="7931"/>
    <cellStyle name="Currency 3 14 3 2 2" xfId="14124"/>
    <cellStyle name="Currency 3 14 3 2 2 2" xfId="33802"/>
    <cellStyle name="Currency 3 14 3 2 3" xfId="20276"/>
    <cellStyle name="Currency 3 14 3 2 3 2" xfId="39954"/>
    <cellStyle name="Currency 3 14 3 2 4" xfId="27638"/>
    <cellStyle name="Currency 3 14 3 3" xfId="11058"/>
    <cellStyle name="Currency 3 14 3 3 2" xfId="30736"/>
    <cellStyle name="Currency 3 14 3 4" xfId="17210"/>
    <cellStyle name="Currency 3 14 3 4 2" xfId="36888"/>
    <cellStyle name="Currency 3 14 3 5" xfId="24572"/>
    <cellStyle name="Currency 3 14 4" xfId="6396"/>
    <cellStyle name="Currency 3 14 4 2" xfId="12590"/>
    <cellStyle name="Currency 3 14 4 2 2" xfId="32268"/>
    <cellStyle name="Currency 3 14 4 3" xfId="18742"/>
    <cellStyle name="Currency 3 14 4 3 2" xfId="38420"/>
    <cellStyle name="Currency 3 14 4 4" xfId="26104"/>
    <cellStyle name="Currency 3 14 5" xfId="9524"/>
    <cellStyle name="Currency 3 14 5 2" xfId="29202"/>
    <cellStyle name="Currency 3 14 6" xfId="15676"/>
    <cellStyle name="Currency 3 14 6 2" xfId="35354"/>
    <cellStyle name="Currency 3 14 7" xfId="22971"/>
    <cellStyle name="Currency 3 14 8" xfId="21963"/>
    <cellStyle name="Currency 3 15" xfId="2274"/>
    <cellStyle name="Currency 3 15 2" xfId="3990"/>
    <cellStyle name="Currency 3 15 2 2" xfId="5615"/>
    <cellStyle name="Currency 3 15 2 2 2" xfId="8701"/>
    <cellStyle name="Currency 3 15 2 2 2 2" xfId="14894"/>
    <cellStyle name="Currency 3 15 2 2 2 2 2" xfId="34572"/>
    <cellStyle name="Currency 3 15 2 2 2 3" xfId="21046"/>
    <cellStyle name="Currency 3 15 2 2 2 3 2" xfId="40724"/>
    <cellStyle name="Currency 3 15 2 2 2 4" xfId="28408"/>
    <cellStyle name="Currency 3 15 2 2 3" xfId="11828"/>
    <cellStyle name="Currency 3 15 2 2 3 2" xfId="31506"/>
    <cellStyle name="Currency 3 15 2 2 4" xfId="17980"/>
    <cellStyle name="Currency 3 15 2 2 4 2" xfId="37658"/>
    <cellStyle name="Currency 3 15 2 2 5" xfId="25342"/>
    <cellStyle name="Currency 3 15 2 3" xfId="7166"/>
    <cellStyle name="Currency 3 15 2 3 2" xfId="13360"/>
    <cellStyle name="Currency 3 15 2 3 2 2" xfId="33038"/>
    <cellStyle name="Currency 3 15 2 3 3" xfId="19512"/>
    <cellStyle name="Currency 3 15 2 3 3 2" xfId="39190"/>
    <cellStyle name="Currency 3 15 2 3 4" xfId="26874"/>
    <cellStyle name="Currency 3 15 2 4" xfId="10294"/>
    <cellStyle name="Currency 3 15 2 4 2" xfId="29972"/>
    <cellStyle name="Currency 3 15 2 5" xfId="16446"/>
    <cellStyle name="Currency 3 15 2 5 2" xfId="36124"/>
    <cellStyle name="Currency 3 15 2 6" xfId="23808"/>
    <cellStyle name="Currency 3 15 3" xfId="4831"/>
    <cellStyle name="Currency 3 15 3 2" xfId="7932"/>
    <cellStyle name="Currency 3 15 3 2 2" xfId="14125"/>
    <cellStyle name="Currency 3 15 3 2 2 2" xfId="33803"/>
    <cellStyle name="Currency 3 15 3 2 3" xfId="20277"/>
    <cellStyle name="Currency 3 15 3 2 3 2" xfId="39955"/>
    <cellStyle name="Currency 3 15 3 2 4" xfId="27639"/>
    <cellStyle name="Currency 3 15 3 3" xfId="11059"/>
    <cellStyle name="Currency 3 15 3 3 2" xfId="30737"/>
    <cellStyle name="Currency 3 15 3 4" xfId="17211"/>
    <cellStyle name="Currency 3 15 3 4 2" xfId="36889"/>
    <cellStyle name="Currency 3 15 3 5" xfId="24573"/>
    <cellStyle name="Currency 3 15 4" xfId="6397"/>
    <cellStyle name="Currency 3 15 4 2" xfId="12591"/>
    <cellStyle name="Currency 3 15 4 2 2" xfId="32269"/>
    <cellStyle name="Currency 3 15 4 3" xfId="18743"/>
    <cellStyle name="Currency 3 15 4 3 2" xfId="38421"/>
    <cellStyle name="Currency 3 15 4 4" xfId="26105"/>
    <cellStyle name="Currency 3 15 5" xfId="9525"/>
    <cellStyle name="Currency 3 15 5 2" xfId="29203"/>
    <cellStyle name="Currency 3 15 6" xfId="15677"/>
    <cellStyle name="Currency 3 15 6 2" xfId="35355"/>
    <cellStyle name="Currency 3 15 7" xfId="22972"/>
    <cellStyle name="Currency 3 15 8" xfId="21993"/>
    <cellStyle name="Currency 3 16" xfId="2275"/>
    <cellStyle name="Currency 3 16 2" xfId="3991"/>
    <cellStyle name="Currency 3 16 2 2" xfId="5616"/>
    <cellStyle name="Currency 3 16 2 2 2" xfId="8702"/>
    <cellStyle name="Currency 3 16 2 2 2 2" xfId="14895"/>
    <cellStyle name="Currency 3 16 2 2 2 2 2" xfId="34573"/>
    <cellStyle name="Currency 3 16 2 2 2 3" xfId="21047"/>
    <cellStyle name="Currency 3 16 2 2 2 3 2" xfId="40725"/>
    <cellStyle name="Currency 3 16 2 2 2 4" xfId="28409"/>
    <cellStyle name="Currency 3 16 2 2 3" xfId="11829"/>
    <cellStyle name="Currency 3 16 2 2 3 2" xfId="31507"/>
    <cellStyle name="Currency 3 16 2 2 4" xfId="17981"/>
    <cellStyle name="Currency 3 16 2 2 4 2" xfId="37659"/>
    <cellStyle name="Currency 3 16 2 2 5" xfId="25343"/>
    <cellStyle name="Currency 3 16 2 3" xfId="7167"/>
    <cellStyle name="Currency 3 16 2 3 2" xfId="13361"/>
    <cellStyle name="Currency 3 16 2 3 2 2" xfId="33039"/>
    <cellStyle name="Currency 3 16 2 3 3" xfId="19513"/>
    <cellStyle name="Currency 3 16 2 3 3 2" xfId="39191"/>
    <cellStyle name="Currency 3 16 2 3 4" xfId="26875"/>
    <cellStyle name="Currency 3 16 2 4" xfId="10295"/>
    <cellStyle name="Currency 3 16 2 4 2" xfId="29973"/>
    <cellStyle name="Currency 3 16 2 5" xfId="16447"/>
    <cellStyle name="Currency 3 16 2 5 2" xfId="36125"/>
    <cellStyle name="Currency 3 16 2 6" xfId="23809"/>
    <cellStyle name="Currency 3 16 3" xfId="4832"/>
    <cellStyle name="Currency 3 16 3 2" xfId="7933"/>
    <cellStyle name="Currency 3 16 3 2 2" xfId="14126"/>
    <cellStyle name="Currency 3 16 3 2 2 2" xfId="33804"/>
    <cellStyle name="Currency 3 16 3 2 3" xfId="20278"/>
    <cellStyle name="Currency 3 16 3 2 3 2" xfId="39956"/>
    <cellStyle name="Currency 3 16 3 2 4" xfId="27640"/>
    <cellStyle name="Currency 3 16 3 3" xfId="11060"/>
    <cellStyle name="Currency 3 16 3 3 2" xfId="30738"/>
    <cellStyle name="Currency 3 16 3 4" xfId="17212"/>
    <cellStyle name="Currency 3 16 3 4 2" xfId="36890"/>
    <cellStyle name="Currency 3 16 3 5" xfId="24574"/>
    <cellStyle name="Currency 3 16 4" xfId="6398"/>
    <cellStyle name="Currency 3 16 4 2" xfId="12592"/>
    <cellStyle name="Currency 3 16 4 2 2" xfId="32270"/>
    <cellStyle name="Currency 3 16 4 3" xfId="18744"/>
    <cellStyle name="Currency 3 16 4 3 2" xfId="38422"/>
    <cellStyle name="Currency 3 16 4 4" xfId="26106"/>
    <cellStyle name="Currency 3 16 5" xfId="9526"/>
    <cellStyle name="Currency 3 16 5 2" xfId="29204"/>
    <cellStyle name="Currency 3 16 6" xfId="15678"/>
    <cellStyle name="Currency 3 16 6 2" xfId="35356"/>
    <cellStyle name="Currency 3 16 7" xfId="22973"/>
    <cellStyle name="Currency 3 16 8" xfId="22014"/>
    <cellStyle name="Currency 3 17" xfId="2276"/>
    <cellStyle name="Currency 3 17 2" xfId="3992"/>
    <cellStyle name="Currency 3 17 2 2" xfId="5617"/>
    <cellStyle name="Currency 3 17 2 2 2" xfId="8703"/>
    <cellStyle name="Currency 3 17 2 2 2 2" xfId="14896"/>
    <cellStyle name="Currency 3 17 2 2 2 2 2" xfId="34574"/>
    <cellStyle name="Currency 3 17 2 2 2 3" xfId="21048"/>
    <cellStyle name="Currency 3 17 2 2 2 3 2" xfId="40726"/>
    <cellStyle name="Currency 3 17 2 2 2 4" xfId="28410"/>
    <cellStyle name="Currency 3 17 2 2 3" xfId="11830"/>
    <cellStyle name="Currency 3 17 2 2 3 2" xfId="31508"/>
    <cellStyle name="Currency 3 17 2 2 4" xfId="17982"/>
    <cellStyle name="Currency 3 17 2 2 4 2" xfId="37660"/>
    <cellStyle name="Currency 3 17 2 2 5" xfId="25344"/>
    <cellStyle name="Currency 3 17 2 3" xfId="7168"/>
    <cellStyle name="Currency 3 17 2 3 2" xfId="13362"/>
    <cellStyle name="Currency 3 17 2 3 2 2" xfId="33040"/>
    <cellStyle name="Currency 3 17 2 3 3" xfId="19514"/>
    <cellStyle name="Currency 3 17 2 3 3 2" xfId="39192"/>
    <cellStyle name="Currency 3 17 2 3 4" xfId="26876"/>
    <cellStyle name="Currency 3 17 2 4" xfId="10296"/>
    <cellStyle name="Currency 3 17 2 4 2" xfId="29974"/>
    <cellStyle name="Currency 3 17 2 5" xfId="16448"/>
    <cellStyle name="Currency 3 17 2 5 2" xfId="36126"/>
    <cellStyle name="Currency 3 17 2 6" xfId="23810"/>
    <cellStyle name="Currency 3 17 3" xfId="4833"/>
    <cellStyle name="Currency 3 17 3 2" xfId="7934"/>
    <cellStyle name="Currency 3 17 3 2 2" xfId="14127"/>
    <cellStyle name="Currency 3 17 3 2 2 2" xfId="33805"/>
    <cellStyle name="Currency 3 17 3 2 3" xfId="20279"/>
    <cellStyle name="Currency 3 17 3 2 3 2" xfId="39957"/>
    <cellStyle name="Currency 3 17 3 2 4" xfId="27641"/>
    <cellStyle name="Currency 3 17 3 3" xfId="11061"/>
    <cellStyle name="Currency 3 17 3 3 2" xfId="30739"/>
    <cellStyle name="Currency 3 17 3 4" xfId="17213"/>
    <cellStyle name="Currency 3 17 3 4 2" xfId="36891"/>
    <cellStyle name="Currency 3 17 3 5" xfId="24575"/>
    <cellStyle name="Currency 3 17 4" xfId="6399"/>
    <cellStyle name="Currency 3 17 4 2" xfId="12593"/>
    <cellStyle name="Currency 3 17 4 2 2" xfId="32271"/>
    <cellStyle name="Currency 3 17 4 3" xfId="18745"/>
    <cellStyle name="Currency 3 17 4 3 2" xfId="38423"/>
    <cellStyle name="Currency 3 17 4 4" xfId="26107"/>
    <cellStyle name="Currency 3 17 5" xfId="9527"/>
    <cellStyle name="Currency 3 17 5 2" xfId="29205"/>
    <cellStyle name="Currency 3 17 6" xfId="15679"/>
    <cellStyle name="Currency 3 17 6 2" xfId="35357"/>
    <cellStyle name="Currency 3 17 7" xfId="22974"/>
    <cellStyle name="Currency 3 17 8" xfId="22026"/>
    <cellStyle name="Currency 3 18" xfId="2277"/>
    <cellStyle name="Currency 3 18 2" xfId="3993"/>
    <cellStyle name="Currency 3 18 2 2" xfId="5618"/>
    <cellStyle name="Currency 3 18 2 2 2" xfId="8704"/>
    <cellStyle name="Currency 3 18 2 2 2 2" xfId="14897"/>
    <cellStyle name="Currency 3 18 2 2 2 2 2" xfId="34575"/>
    <cellStyle name="Currency 3 18 2 2 2 3" xfId="21049"/>
    <cellStyle name="Currency 3 18 2 2 2 3 2" xfId="40727"/>
    <cellStyle name="Currency 3 18 2 2 2 4" xfId="28411"/>
    <cellStyle name="Currency 3 18 2 2 3" xfId="11831"/>
    <cellStyle name="Currency 3 18 2 2 3 2" xfId="31509"/>
    <cellStyle name="Currency 3 18 2 2 4" xfId="17983"/>
    <cellStyle name="Currency 3 18 2 2 4 2" xfId="37661"/>
    <cellStyle name="Currency 3 18 2 2 5" xfId="25345"/>
    <cellStyle name="Currency 3 18 2 3" xfId="7169"/>
    <cellStyle name="Currency 3 18 2 3 2" xfId="13363"/>
    <cellStyle name="Currency 3 18 2 3 2 2" xfId="33041"/>
    <cellStyle name="Currency 3 18 2 3 3" xfId="19515"/>
    <cellStyle name="Currency 3 18 2 3 3 2" xfId="39193"/>
    <cellStyle name="Currency 3 18 2 3 4" xfId="26877"/>
    <cellStyle name="Currency 3 18 2 4" xfId="10297"/>
    <cellStyle name="Currency 3 18 2 4 2" xfId="29975"/>
    <cellStyle name="Currency 3 18 2 5" xfId="16449"/>
    <cellStyle name="Currency 3 18 2 5 2" xfId="36127"/>
    <cellStyle name="Currency 3 18 2 6" xfId="23811"/>
    <cellStyle name="Currency 3 18 3" xfId="4834"/>
    <cellStyle name="Currency 3 18 3 2" xfId="7935"/>
    <cellStyle name="Currency 3 18 3 2 2" xfId="14128"/>
    <cellStyle name="Currency 3 18 3 2 2 2" xfId="33806"/>
    <cellStyle name="Currency 3 18 3 2 3" xfId="20280"/>
    <cellStyle name="Currency 3 18 3 2 3 2" xfId="39958"/>
    <cellStyle name="Currency 3 18 3 2 4" xfId="27642"/>
    <cellStyle name="Currency 3 18 3 3" xfId="11062"/>
    <cellStyle name="Currency 3 18 3 3 2" xfId="30740"/>
    <cellStyle name="Currency 3 18 3 4" xfId="17214"/>
    <cellStyle name="Currency 3 18 3 4 2" xfId="36892"/>
    <cellStyle name="Currency 3 18 3 5" xfId="24576"/>
    <cellStyle name="Currency 3 18 4" xfId="6400"/>
    <cellStyle name="Currency 3 18 4 2" xfId="12594"/>
    <cellStyle name="Currency 3 18 4 2 2" xfId="32272"/>
    <cellStyle name="Currency 3 18 4 3" xfId="18746"/>
    <cellStyle name="Currency 3 18 4 3 2" xfId="38424"/>
    <cellStyle name="Currency 3 18 4 4" xfId="26108"/>
    <cellStyle name="Currency 3 18 5" xfId="9528"/>
    <cellStyle name="Currency 3 18 5 2" xfId="29206"/>
    <cellStyle name="Currency 3 18 6" xfId="15680"/>
    <cellStyle name="Currency 3 18 6 2" xfId="35358"/>
    <cellStyle name="Currency 3 18 7" xfId="22975"/>
    <cellStyle name="Currency 3 18 8" xfId="22033"/>
    <cellStyle name="Currency 3 19" xfId="2278"/>
    <cellStyle name="Currency 3 19 2" xfId="3994"/>
    <cellStyle name="Currency 3 19 2 2" xfId="5619"/>
    <cellStyle name="Currency 3 19 2 2 2" xfId="8705"/>
    <cellStyle name="Currency 3 19 2 2 2 2" xfId="14898"/>
    <cellStyle name="Currency 3 19 2 2 2 2 2" xfId="34576"/>
    <cellStyle name="Currency 3 19 2 2 2 3" xfId="21050"/>
    <cellStyle name="Currency 3 19 2 2 2 3 2" xfId="40728"/>
    <cellStyle name="Currency 3 19 2 2 2 4" xfId="28412"/>
    <cellStyle name="Currency 3 19 2 2 3" xfId="11832"/>
    <cellStyle name="Currency 3 19 2 2 3 2" xfId="31510"/>
    <cellStyle name="Currency 3 19 2 2 4" xfId="17984"/>
    <cellStyle name="Currency 3 19 2 2 4 2" xfId="37662"/>
    <cellStyle name="Currency 3 19 2 2 5" xfId="25346"/>
    <cellStyle name="Currency 3 19 2 3" xfId="7170"/>
    <cellStyle name="Currency 3 19 2 3 2" xfId="13364"/>
    <cellStyle name="Currency 3 19 2 3 2 2" xfId="33042"/>
    <cellStyle name="Currency 3 19 2 3 3" xfId="19516"/>
    <cellStyle name="Currency 3 19 2 3 3 2" xfId="39194"/>
    <cellStyle name="Currency 3 19 2 3 4" xfId="26878"/>
    <cellStyle name="Currency 3 19 2 4" xfId="10298"/>
    <cellStyle name="Currency 3 19 2 4 2" xfId="29976"/>
    <cellStyle name="Currency 3 19 2 5" xfId="16450"/>
    <cellStyle name="Currency 3 19 2 5 2" xfId="36128"/>
    <cellStyle name="Currency 3 19 2 6" xfId="23812"/>
    <cellStyle name="Currency 3 19 3" xfId="4835"/>
    <cellStyle name="Currency 3 19 3 2" xfId="7936"/>
    <cellStyle name="Currency 3 19 3 2 2" xfId="14129"/>
    <cellStyle name="Currency 3 19 3 2 2 2" xfId="33807"/>
    <cellStyle name="Currency 3 19 3 2 3" xfId="20281"/>
    <cellStyle name="Currency 3 19 3 2 3 2" xfId="39959"/>
    <cellStyle name="Currency 3 19 3 2 4" xfId="27643"/>
    <cellStyle name="Currency 3 19 3 3" xfId="11063"/>
    <cellStyle name="Currency 3 19 3 3 2" xfId="30741"/>
    <cellStyle name="Currency 3 19 3 4" xfId="17215"/>
    <cellStyle name="Currency 3 19 3 4 2" xfId="36893"/>
    <cellStyle name="Currency 3 19 3 5" xfId="24577"/>
    <cellStyle name="Currency 3 19 4" xfId="6401"/>
    <cellStyle name="Currency 3 19 4 2" xfId="12595"/>
    <cellStyle name="Currency 3 19 4 2 2" xfId="32273"/>
    <cellStyle name="Currency 3 19 4 3" xfId="18747"/>
    <cellStyle name="Currency 3 19 4 3 2" xfId="38425"/>
    <cellStyle name="Currency 3 19 4 4" xfId="26109"/>
    <cellStyle name="Currency 3 19 5" xfId="9529"/>
    <cellStyle name="Currency 3 19 5 2" xfId="29207"/>
    <cellStyle name="Currency 3 19 6" xfId="15681"/>
    <cellStyle name="Currency 3 19 6 2" xfId="35359"/>
    <cellStyle name="Currency 3 19 7" xfId="22976"/>
    <cellStyle name="Currency 3 19 8" xfId="22048"/>
    <cellStyle name="Currency 3 2" xfId="62"/>
    <cellStyle name="Currency 3 2 10" xfId="41910"/>
    <cellStyle name="Currency 3 2 2" xfId="2280"/>
    <cellStyle name="Currency 3 2 2 2" xfId="3995"/>
    <cellStyle name="Currency 3 2 2 2 2" xfId="5620"/>
    <cellStyle name="Currency 3 2 2 2 2 2" xfId="8706"/>
    <cellStyle name="Currency 3 2 2 2 2 2 2" xfId="14899"/>
    <cellStyle name="Currency 3 2 2 2 2 2 2 2" xfId="34577"/>
    <cellStyle name="Currency 3 2 2 2 2 2 3" xfId="21051"/>
    <cellStyle name="Currency 3 2 2 2 2 2 3 2" xfId="40729"/>
    <cellStyle name="Currency 3 2 2 2 2 2 4" xfId="28413"/>
    <cellStyle name="Currency 3 2 2 2 2 3" xfId="11833"/>
    <cellStyle name="Currency 3 2 2 2 2 3 2" xfId="31511"/>
    <cellStyle name="Currency 3 2 2 2 2 4" xfId="17985"/>
    <cellStyle name="Currency 3 2 2 2 2 4 2" xfId="37663"/>
    <cellStyle name="Currency 3 2 2 2 2 5" xfId="25347"/>
    <cellStyle name="Currency 3 2 2 2 3" xfId="7171"/>
    <cellStyle name="Currency 3 2 2 2 3 2" xfId="13365"/>
    <cellStyle name="Currency 3 2 2 2 3 2 2" xfId="33043"/>
    <cellStyle name="Currency 3 2 2 2 3 3" xfId="19517"/>
    <cellStyle name="Currency 3 2 2 2 3 3 2" xfId="39195"/>
    <cellStyle name="Currency 3 2 2 2 3 4" xfId="26879"/>
    <cellStyle name="Currency 3 2 2 2 4" xfId="10299"/>
    <cellStyle name="Currency 3 2 2 2 4 2" xfId="29977"/>
    <cellStyle name="Currency 3 2 2 2 5" xfId="16451"/>
    <cellStyle name="Currency 3 2 2 2 5 2" xfId="36129"/>
    <cellStyle name="Currency 3 2 2 2 6" xfId="23813"/>
    <cellStyle name="Currency 3 2 2 3" xfId="4836"/>
    <cellStyle name="Currency 3 2 2 3 2" xfId="7937"/>
    <cellStyle name="Currency 3 2 2 3 2 2" xfId="14130"/>
    <cellStyle name="Currency 3 2 2 3 2 2 2" xfId="33808"/>
    <cellStyle name="Currency 3 2 2 3 2 3" xfId="20282"/>
    <cellStyle name="Currency 3 2 2 3 2 3 2" xfId="39960"/>
    <cellStyle name="Currency 3 2 2 3 2 4" xfId="27644"/>
    <cellStyle name="Currency 3 2 2 3 3" xfId="11064"/>
    <cellStyle name="Currency 3 2 2 3 3 2" xfId="30742"/>
    <cellStyle name="Currency 3 2 2 3 4" xfId="17216"/>
    <cellStyle name="Currency 3 2 2 3 4 2" xfId="36894"/>
    <cellStyle name="Currency 3 2 2 3 5" xfId="24578"/>
    <cellStyle name="Currency 3 2 2 4" xfId="6402"/>
    <cellStyle name="Currency 3 2 2 4 2" xfId="12596"/>
    <cellStyle name="Currency 3 2 2 4 2 2" xfId="32274"/>
    <cellStyle name="Currency 3 2 2 4 3" xfId="18748"/>
    <cellStyle name="Currency 3 2 2 4 3 2" xfId="38426"/>
    <cellStyle name="Currency 3 2 2 4 4" xfId="26110"/>
    <cellStyle name="Currency 3 2 2 5" xfId="9530"/>
    <cellStyle name="Currency 3 2 2 5 2" xfId="29208"/>
    <cellStyle name="Currency 3 2 2 6" xfId="15682"/>
    <cellStyle name="Currency 3 2 2 6 2" xfId="35360"/>
    <cellStyle name="Currency 3 2 2 7" xfId="22977"/>
    <cellStyle name="Currency 3 2 2 8" xfId="21807"/>
    <cellStyle name="Currency 3 2 3" xfId="2281"/>
    <cellStyle name="Currency 3 2 3 2" xfId="3996"/>
    <cellStyle name="Currency 3 2 3 2 2" xfId="5621"/>
    <cellStyle name="Currency 3 2 3 2 2 2" xfId="8707"/>
    <cellStyle name="Currency 3 2 3 2 2 2 2" xfId="14900"/>
    <cellStyle name="Currency 3 2 3 2 2 2 2 2" xfId="34578"/>
    <cellStyle name="Currency 3 2 3 2 2 2 3" xfId="21052"/>
    <cellStyle name="Currency 3 2 3 2 2 2 3 2" xfId="40730"/>
    <cellStyle name="Currency 3 2 3 2 2 2 4" xfId="28414"/>
    <cellStyle name="Currency 3 2 3 2 2 3" xfId="11834"/>
    <cellStyle name="Currency 3 2 3 2 2 3 2" xfId="31512"/>
    <cellStyle name="Currency 3 2 3 2 2 4" xfId="17986"/>
    <cellStyle name="Currency 3 2 3 2 2 4 2" xfId="37664"/>
    <cellStyle name="Currency 3 2 3 2 2 5" xfId="25348"/>
    <cellStyle name="Currency 3 2 3 2 3" xfId="7172"/>
    <cellStyle name="Currency 3 2 3 2 3 2" xfId="13366"/>
    <cellStyle name="Currency 3 2 3 2 3 2 2" xfId="33044"/>
    <cellStyle name="Currency 3 2 3 2 3 3" xfId="19518"/>
    <cellStyle name="Currency 3 2 3 2 3 3 2" xfId="39196"/>
    <cellStyle name="Currency 3 2 3 2 3 4" xfId="26880"/>
    <cellStyle name="Currency 3 2 3 2 4" xfId="10300"/>
    <cellStyle name="Currency 3 2 3 2 4 2" xfId="29978"/>
    <cellStyle name="Currency 3 2 3 2 5" xfId="16452"/>
    <cellStyle name="Currency 3 2 3 2 5 2" xfId="36130"/>
    <cellStyle name="Currency 3 2 3 2 6" xfId="23814"/>
    <cellStyle name="Currency 3 2 3 3" xfId="4837"/>
    <cellStyle name="Currency 3 2 3 3 2" xfId="7938"/>
    <cellStyle name="Currency 3 2 3 3 2 2" xfId="14131"/>
    <cellStyle name="Currency 3 2 3 3 2 2 2" xfId="33809"/>
    <cellStyle name="Currency 3 2 3 3 2 3" xfId="20283"/>
    <cellStyle name="Currency 3 2 3 3 2 3 2" xfId="39961"/>
    <cellStyle name="Currency 3 2 3 3 2 4" xfId="27645"/>
    <cellStyle name="Currency 3 2 3 3 3" xfId="11065"/>
    <cellStyle name="Currency 3 2 3 3 3 2" xfId="30743"/>
    <cellStyle name="Currency 3 2 3 3 4" xfId="17217"/>
    <cellStyle name="Currency 3 2 3 3 4 2" xfId="36895"/>
    <cellStyle name="Currency 3 2 3 3 5" xfId="24579"/>
    <cellStyle name="Currency 3 2 3 4" xfId="6403"/>
    <cellStyle name="Currency 3 2 3 4 2" xfId="12597"/>
    <cellStyle name="Currency 3 2 3 4 2 2" xfId="32275"/>
    <cellStyle name="Currency 3 2 3 4 3" xfId="18749"/>
    <cellStyle name="Currency 3 2 3 4 3 2" xfId="38427"/>
    <cellStyle name="Currency 3 2 3 4 4" xfId="26111"/>
    <cellStyle name="Currency 3 2 3 5" xfId="9531"/>
    <cellStyle name="Currency 3 2 3 5 2" xfId="29209"/>
    <cellStyle name="Currency 3 2 3 6" xfId="15683"/>
    <cellStyle name="Currency 3 2 3 6 2" xfId="35361"/>
    <cellStyle name="Currency 3 2 3 7" xfId="22978"/>
    <cellStyle name="Currency 3 2 4" xfId="2282"/>
    <cellStyle name="Currency 3 2 4 2" xfId="3997"/>
    <cellStyle name="Currency 3 2 4 2 2" xfId="5622"/>
    <cellStyle name="Currency 3 2 4 2 2 2" xfId="8708"/>
    <cellStyle name="Currency 3 2 4 2 2 2 2" xfId="14901"/>
    <cellStyle name="Currency 3 2 4 2 2 2 2 2" xfId="34579"/>
    <cellStyle name="Currency 3 2 4 2 2 2 3" xfId="21053"/>
    <cellStyle name="Currency 3 2 4 2 2 2 3 2" xfId="40731"/>
    <cellStyle name="Currency 3 2 4 2 2 2 4" xfId="28415"/>
    <cellStyle name="Currency 3 2 4 2 2 3" xfId="11835"/>
    <cellStyle name="Currency 3 2 4 2 2 3 2" xfId="31513"/>
    <cellStyle name="Currency 3 2 4 2 2 4" xfId="17987"/>
    <cellStyle name="Currency 3 2 4 2 2 4 2" xfId="37665"/>
    <cellStyle name="Currency 3 2 4 2 2 5" xfId="25349"/>
    <cellStyle name="Currency 3 2 4 2 3" xfId="7173"/>
    <cellStyle name="Currency 3 2 4 2 3 2" xfId="13367"/>
    <cellStyle name="Currency 3 2 4 2 3 2 2" xfId="33045"/>
    <cellStyle name="Currency 3 2 4 2 3 3" xfId="19519"/>
    <cellStyle name="Currency 3 2 4 2 3 3 2" xfId="39197"/>
    <cellStyle name="Currency 3 2 4 2 3 4" xfId="26881"/>
    <cellStyle name="Currency 3 2 4 2 4" xfId="10301"/>
    <cellStyle name="Currency 3 2 4 2 4 2" xfId="29979"/>
    <cellStyle name="Currency 3 2 4 2 5" xfId="16453"/>
    <cellStyle name="Currency 3 2 4 2 5 2" xfId="36131"/>
    <cellStyle name="Currency 3 2 4 2 6" xfId="23815"/>
    <cellStyle name="Currency 3 2 4 3" xfId="4838"/>
    <cellStyle name="Currency 3 2 4 3 2" xfId="7939"/>
    <cellStyle name="Currency 3 2 4 3 2 2" xfId="14132"/>
    <cellStyle name="Currency 3 2 4 3 2 2 2" xfId="33810"/>
    <cellStyle name="Currency 3 2 4 3 2 3" xfId="20284"/>
    <cellStyle name="Currency 3 2 4 3 2 3 2" xfId="39962"/>
    <cellStyle name="Currency 3 2 4 3 2 4" xfId="27646"/>
    <cellStyle name="Currency 3 2 4 3 3" xfId="11066"/>
    <cellStyle name="Currency 3 2 4 3 3 2" xfId="30744"/>
    <cellStyle name="Currency 3 2 4 3 4" xfId="17218"/>
    <cellStyle name="Currency 3 2 4 3 4 2" xfId="36896"/>
    <cellStyle name="Currency 3 2 4 3 5" xfId="24580"/>
    <cellStyle name="Currency 3 2 4 4" xfId="6404"/>
    <cellStyle name="Currency 3 2 4 4 2" xfId="12598"/>
    <cellStyle name="Currency 3 2 4 4 2 2" xfId="32276"/>
    <cellStyle name="Currency 3 2 4 4 3" xfId="18750"/>
    <cellStyle name="Currency 3 2 4 4 3 2" xfId="38428"/>
    <cellStyle name="Currency 3 2 4 4 4" xfId="26112"/>
    <cellStyle name="Currency 3 2 4 5" xfId="9532"/>
    <cellStyle name="Currency 3 2 4 5 2" xfId="29210"/>
    <cellStyle name="Currency 3 2 4 6" xfId="15684"/>
    <cellStyle name="Currency 3 2 4 6 2" xfId="35362"/>
    <cellStyle name="Currency 3 2 4 7" xfId="22979"/>
    <cellStyle name="Currency 3 2 5" xfId="2283"/>
    <cellStyle name="Currency 3 2 5 2" xfId="3998"/>
    <cellStyle name="Currency 3 2 5 2 2" xfId="5623"/>
    <cellStyle name="Currency 3 2 5 2 2 2" xfId="8709"/>
    <cellStyle name="Currency 3 2 5 2 2 2 2" xfId="14902"/>
    <cellStyle name="Currency 3 2 5 2 2 2 2 2" xfId="34580"/>
    <cellStyle name="Currency 3 2 5 2 2 2 3" xfId="21054"/>
    <cellStyle name="Currency 3 2 5 2 2 2 3 2" xfId="40732"/>
    <cellStyle name="Currency 3 2 5 2 2 2 4" xfId="28416"/>
    <cellStyle name="Currency 3 2 5 2 2 3" xfId="11836"/>
    <cellStyle name="Currency 3 2 5 2 2 3 2" xfId="31514"/>
    <cellStyle name="Currency 3 2 5 2 2 4" xfId="17988"/>
    <cellStyle name="Currency 3 2 5 2 2 4 2" xfId="37666"/>
    <cellStyle name="Currency 3 2 5 2 2 5" xfId="25350"/>
    <cellStyle name="Currency 3 2 5 2 3" xfId="7174"/>
    <cellStyle name="Currency 3 2 5 2 3 2" xfId="13368"/>
    <cellStyle name="Currency 3 2 5 2 3 2 2" xfId="33046"/>
    <cellStyle name="Currency 3 2 5 2 3 3" xfId="19520"/>
    <cellStyle name="Currency 3 2 5 2 3 3 2" xfId="39198"/>
    <cellStyle name="Currency 3 2 5 2 3 4" xfId="26882"/>
    <cellStyle name="Currency 3 2 5 2 4" xfId="10302"/>
    <cellStyle name="Currency 3 2 5 2 4 2" xfId="29980"/>
    <cellStyle name="Currency 3 2 5 2 5" xfId="16454"/>
    <cellStyle name="Currency 3 2 5 2 5 2" xfId="36132"/>
    <cellStyle name="Currency 3 2 5 2 6" xfId="23816"/>
    <cellStyle name="Currency 3 2 5 3" xfId="4839"/>
    <cellStyle name="Currency 3 2 5 3 2" xfId="7940"/>
    <cellStyle name="Currency 3 2 5 3 2 2" xfId="14133"/>
    <cellStyle name="Currency 3 2 5 3 2 2 2" xfId="33811"/>
    <cellStyle name="Currency 3 2 5 3 2 3" xfId="20285"/>
    <cellStyle name="Currency 3 2 5 3 2 3 2" xfId="39963"/>
    <cellStyle name="Currency 3 2 5 3 2 4" xfId="27647"/>
    <cellStyle name="Currency 3 2 5 3 3" xfId="11067"/>
    <cellStyle name="Currency 3 2 5 3 3 2" xfId="30745"/>
    <cellStyle name="Currency 3 2 5 3 4" xfId="17219"/>
    <cellStyle name="Currency 3 2 5 3 4 2" xfId="36897"/>
    <cellStyle name="Currency 3 2 5 3 5" xfId="24581"/>
    <cellStyle name="Currency 3 2 5 4" xfId="6405"/>
    <cellStyle name="Currency 3 2 5 4 2" xfId="12599"/>
    <cellStyle name="Currency 3 2 5 4 2 2" xfId="32277"/>
    <cellStyle name="Currency 3 2 5 4 3" xfId="18751"/>
    <cellStyle name="Currency 3 2 5 4 3 2" xfId="38429"/>
    <cellStyle name="Currency 3 2 5 4 4" xfId="26113"/>
    <cellStyle name="Currency 3 2 5 5" xfId="9533"/>
    <cellStyle name="Currency 3 2 5 5 2" xfId="29211"/>
    <cellStyle name="Currency 3 2 5 6" xfId="15685"/>
    <cellStyle name="Currency 3 2 5 6 2" xfId="35363"/>
    <cellStyle name="Currency 3 2 5 7" xfId="22980"/>
    <cellStyle name="Currency 3 2 6" xfId="2284"/>
    <cellStyle name="Currency 3 2 7" xfId="2285"/>
    <cellStyle name="Currency 3 2 8" xfId="9325"/>
    <cellStyle name="Currency 3 2 9" xfId="2279"/>
    <cellStyle name="Currency 3 20" xfId="2286"/>
    <cellStyle name="Currency 3 20 2" xfId="3999"/>
    <cellStyle name="Currency 3 20 2 2" xfId="5624"/>
    <cellStyle name="Currency 3 20 2 2 2" xfId="8710"/>
    <cellStyle name="Currency 3 20 2 2 2 2" xfId="14903"/>
    <cellStyle name="Currency 3 20 2 2 2 2 2" xfId="34581"/>
    <cellStyle name="Currency 3 20 2 2 2 3" xfId="21055"/>
    <cellStyle name="Currency 3 20 2 2 2 3 2" xfId="40733"/>
    <cellStyle name="Currency 3 20 2 2 2 4" xfId="28417"/>
    <cellStyle name="Currency 3 20 2 2 3" xfId="11837"/>
    <cellStyle name="Currency 3 20 2 2 3 2" xfId="31515"/>
    <cellStyle name="Currency 3 20 2 2 4" xfId="17989"/>
    <cellStyle name="Currency 3 20 2 2 4 2" xfId="37667"/>
    <cellStyle name="Currency 3 20 2 2 5" xfId="25351"/>
    <cellStyle name="Currency 3 20 2 3" xfId="7175"/>
    <cellStyle name="Currency 3 20 2 3 2" xfId="13369"/>
    <cellStyle name="Currency 3 20 2 3 2 2" xfId="33047"/>
    <cellStyle name="Currency 3 20 2 3 3" xfId="19521"/>
    <cellStyle name="Currency 3 20 2 3 3 2" xfId="39199"/>
    <cellStyle name="Currency 3 20 2 3 4" xfId="26883"/>
    <cellStyle name="Currency 3 20 2 4" xfId="10303"/>
    <cellStyle name="Currency 3 20 2 4 2" xfId="29981"/>
    <cellStyle name="Currency 3 20 2 5" xfId="16455"/>
    <cellStyle name="Currency 3 20 2 5 2" xfId="36133"/>
    <cellStyle name="Currency 3 20 2 6" xfId="23817"/>
    <cellStyle name="Currency 3 20 3" xfId="4840"/>
    <cellStyle name="Currency 3 20 3 2" xfId="7941"/>
    <cellStyle name="Currency 3 20 3 2 2" xfId="14134"/>
    <cellStyle name="Currency 3 20 3 2 2 2" xfId="33812"/>
    <cellStyle name="Currency 3 20 3 2 3" xfId="20286"/>
    <cellStyle name="Currency 3 20 3 2 3 2" xfId="39964"/>
    <cellStyle name="Currency 3 20 3 2 4" xfId="27648"/>
    <cellStyle name="Currency 3 20 3 3" xfId="11068"/>
    <cellStyle name="Currency 3 20 3 3 2" xfId="30746"/>
    <cellStyle name="Currency 3 20 3 4" xfId="17220"/>
    <cellStyle name="Currency 3 20 3 4 2" xfId="36898"/>
    <cellStyle name="Currency 3 20 3 5" xfId="24582"/>
    <cellStyle name="Currency 3 20 4" xfId="6406"/>
    <cellStyle name="Currency 3 20 4 2" xfId="12600"/>
    <cellStyle name="Currency 3 20 4 2 2" xfId="32278"/>
    <cellStyle name="Currency 3 20 4 3" xfId="18752"/>
    <cellStyle name="Currency 3 20 4 3 2" xfId="38430"/>
    <cellStyle name="Currency 3 20 4 4" xfId="26114"/>
    <cellStyle name="Currency 3 20 5" xfId="9534"/>
    <cellStyle name="Currency 3 20 5 2" xfId="29212"/>
    <cellStyle name="Currency 3 20 6" xfId="15686"/>
    <cellStyle name="Currency 3 20 6 2" xfId="35364"/>
    <cellStyle name="Currency 3 20 7" xfId="22981"/>
    <cellStyle name="Currency 3 20 8" xfId="22076"/>
    <cellStyle name="Currency 3 21" xfId="2287"/>
    <cellStyle name="Currency 3 21 2" xfId="4000"/>
    <cellStyle name="Currency 3 21 2 2" xfId="5625"/>
    <cellStyle name="Currency 3 21 2 2 2" xfId="8711"/>
    <cellStyle name="Currency 3 21 2 2 2 2" xfId="14904"/>
    <cellStyle name="Currency 3 21 2 2 2 2 2" xfId="34582"/>
    <cellStyle name="Currency 3 21 2 2 2 3" xfId="21056"/>
    <cellStyle name="Currency 3 21 2 2 2 3 2" xfId="40734"/>
    <cellStyle name="Currency 3 21 2 2 2 4" xfId="28418"/>
    <cellStyle name="Currency 3 21 2 2 3" xfId="11838"/>
    <cellStyle name="Currency 3 21 2 2 3 2" xfId="31516"/>
    <cellStyle name="Currency 3 21 2 2 4" xfId="17990"/>
    <cellStyle name="Currency 3 21 2 2 4 2" xfId="37668"/>
    <cellStyle name="Currency 3 21 2 2 5" xfId="25352"/>
    <cellStyle name="Currency 3 21 2 3" xfId="7176"/>
    <cellStyle name="Currency 3 21 2 3 2" xfId="13370"/>
    <cellStyle name="Currency 3 21 2 3 2 2" xfId="33048"/>
    <cellStyle name="Currency 3 21 2 3 3" xfId="19522"/>
    <cellStyle name="Currency 3 21 2 3 3 2" xfId="39200"/>
    <cellStyle name="Currency 3 21 2 3 4" xfId="26884"/>
    <cellStyle name="Currency 3 21 2 4" xfId="10304"/>
    <cellStyle name="Currency 3 21 2 4 2" xfId="29982"/>
    <cellStyle name="Currency 3 21 2 5" xfId="16456"/>
    <cellStyle name="Currency 3 21 2 5 2" xfId="36134"/>
    <cellStyle name="Currency 3 21 2 6" xfId="23818"/>
    <cellStyle name="Currency 3 21 3" xfId="4841"/>
    <cellStyle name="Currency 3 21 3 2" xfId="7942"/>
    <cellStyle name="Currency 3 21 3 2 2" xfId="14135"/>
    <cellStyle name="Currency 3 21 3 2 2 2" xfId="33813"/>
    <cellStyle name="Currency 3 21 3 2 3" xfId="20287"/>
    <cellStyle name="Currency 3 21 3 2 3 2" xfId="39965"/>
    <cellStyle name="Currency 3 21 3 2 4" xfId="27649"/>
    <cellStyle name="Currency 3 21 3 3" xfId="11069"/>
    <cellStyle name="Currency 3 21 3 3 2" xfId="30747"/>
    <cellStyle name="Currency 3 21 3 4" xfId="17221"/>
    <cellStyle name="Currency 3 21 3 4 2" xfId="36899"/>
    <cellStyle name="Currency 3 21 3 5" xfId="24583"/>
    <cellStyle name="Currency 3 21 4" xfId="6407"/>
    <cellStyle name="Currency 3 21 4 2" xfId="12601"/>
    <cellStyle name="Currency 3 21 4 2 2" xfId="32279"/>
    <cellStyle name="Currency 3 21 4 3" xfId="18753"/>
    <cellStyle name="Currency 3 21 4 3 2" xfId="38431"/>
    <cellStyle name="Currency 3 21 4 4" xfId="26115"/>
    <cellStyle name="Currency 3 21 5" xfId="9535"/>
    <cellStyle name="Currency 3 21 5 2" xfId="29213"/>
    <cellStyle name="Currency 3 21 6" xfId="15687"/>
    <cellStyle name="Currency 3 21 6 2" xfId="35365"/>
    <cellStyle name="Currency 3 21 7" xfId="22982"/>
    <cellStyle name="Currency 3 21 8" xfId="22143"/>
    <cellStyle name="Currency 3 22" xfId="2288"/>
    <cellStyle name="Currency 3 22 2" xfId="2289"/>
    <cellStyle name="Currency 3 22 3" xfId="2290"/>
    <cellStyle name="Currency 3 22 4" xfId="22983"/>
    <cellStyle name="Currency 3 22 5" xfId="22189"/>
    <cellStyle name="Currency 3 23" xfId="9290"/>
    <cellStyle name="Currency 3 23 2" xfId="28989"/>
    <cellStyle name="Currency 3 23 3" xfId="22200"/>
    <cellStyle name="Currency 3 24" xfId="274"/>
    <cellStyle name="Currency 3 24 2" xfId="22229"/>
    <cellStyle name="Currency 3 25" xfId="22209"/>
    <cellStyle name="Currency 3 26" xfId="22241"/>
    <cellStyle name="Currency 3 27" xfId="22269"/>
    <cellStyle name="Currency 3 28" xfId="22294"/>
    <cellStyle name="Currency 3 29" xfId="22371"/>
    <cellStyle name="Currency 3 3" xfId="108"/>
    <cellStyle name="Currency 3 3 10" xfId="6408"/>
    <cellStyle name="Currency 3 3 10 2" xfId="12602"/>
    <cellStyle name="Currency 3 3 10 2 2" xfId="32280"/>
    <cellStyle name="Currency 3 3 10 3" xfId="18754"/>
    <cellStyle name="Currency 3 3 10 3 2" xfId="38432"/>
    <cellStyle name="Currency 3 3 10 4" xfId="26116"/>
    <cellStyle name="Currency 3 3 11" xfId="9320"/>
    <cellStyle name="Currency 3 3 12" xfId="9536"/>
    <cellStyle name="Currency 3 3 12 2" xfId="29214"/>
    <cellStyle name="Currency 3 3 13" xfId="15688"/>
    <cellStyle name="Currency 3 3 13 2" xfId="35366"/>
    <cellStyle name="Currency 3 3 14" xfId="2291"/>
    <cellStyle name="Currency 3 3 14 2" xfId="22984"/>
    <cellStyle name="Currency 3 3 15" xfId="21773"/>
    <cellStyle name="Currency 3 3 16" xfId="41911"/>
    <cellStyle name="Currency 3 3 2" xfId="2292"/>
    <cellStyle name="Currency 3 3 2 2" xfId="4002"/>
    <cellStyle name="Currency 3 3 2 2 2" xfId="5627"/>
    <cellStyle name="Currency 3 3 2 2 2 2" xfId="8713"/>
    <cellStyle name="Currency 3 3 2 2 2 2 2" xfId="14906"/>
    <cellStyle name="Currency 3 3 2 2 2 2 2 2" xfId="34584"/>
    <cellStyle name="Currency 3 3 2 2 2 2 3" xfId="21058"/>
    <cellStyle name="Currency 3 3 2 2 2 2 3 2" xfId="40736"/>
    <cellStyle name="Currency 3 3 2 2 2 2 4" xfId="28420"/>
    <cellStyle name="Currency 3 3 2 2 2 3" xfId="11840"/>
    <cellStyle name="Currency 3 3 2 2 2 3 2" xfId="31518"/>
    <cellStyle name="Currency 3 3 2 2 2 4" xfId="17992"/>
    <cellStyle name="Currency 3 3 2 2 2 4 2" xfId="37670"/>
    <cellStyle name="Currency 3 3 2 2 2 5" xfId="25354"/>
    <cellStyle name="Currency 3 3 2 2 3" xfId="7178"/>
    <cellStyle name="Currency 3 3 2 2 3 2" xfId="13372"/>
    <cellStyle name="Currency 3 3 2 2 3 2 2" xfId="33050"/>
    <cellStyle name="Currency 3 3 2 2 3 3" xfId="19524"/>
    <cellStyle name="Currency 3 3 2 2 3 3 2" xfId="39202"/>
    <cellStyle name="Currency 3 3 2 2 3 4" xfId="26886"/>
    <cellStyle name="Currency 3 3 2 2 4" xfId="10306"/>
    <cellStyle name="Currency 3 3 2 2 4 2" xfId="29984"/>
    <cellStyle name="Currency 3 3 2 2 5" xfId="16458"/>
    <cellStyle name="Currency 3 3 2 2 5 2" xfId="36136"/>
    <cellStyle name="Currency 3 3 2 2 6" xfId="23820"/>
    <cellStyle name="Currency 3 3 2 3" xfId="4843"/>
    <cellStyle name="Currency 3 3 2 3 2" xfId="7944"/>
    <cellStyle name="Currency 3 3 2 3 2 2" xfId="14137"/>
    <cellStyle name="Currency 3 3 2 3 2 2 2" xfId="33815"/>
    <cellStyle name="Currency 3 3 2 3 2 3" xfId="20289"/>
    <cellStyle name="Currency 3 3 2 3 2 3 2" xfId="39967"/>
    <cellStyle name="Currency 3 3 2 3 2 4" xfId="27651"/>
    <cellStyle name="Currency 3 3 2 3 3" xfId="11071"/>
    <cellStyle name="Currency 3 3 2 3 3 2" xfId="30749"/>
    <cellStyle name="Currency 3 3 2 3 4" xfId="17223"/>
    <cellStyle name="Currency 3 3 2 3 4 2" xfId="36901"/>
    <cellStyle name="Currency 3 3 2 3 5" xfId="24585"/>
    <cellStyle name="Currency 3 3 2 4" xfId="6409"/>
    <cellStyle name="Currency 3 3 2 4 2" xfId="12603"/>
    <cellStyle name="Currency 3 3 2 4 2 2" xfId="32281"/>
    <cellStyle name="Currency 3 3 2 4 3" xfId="18755"/>
    <cellStyle name="Currency 3 3 2 4 3 2" xfId="38433"/>
    <cellStyle name="Currency 3 3 2 4 4" xfId="26117"/>
    <cellStyle name="Currency 3 3 2 5" xfId="9537"/>
    <cellStyle name="Currency 3 3 2 5 2" xfId="29215"/>
    <cellStyle name="Currency 3 3 2 6" xfId="15689"/>
    <cellStyle name="Currency 3 3 2 6 2" xfId="35367"/>
    <cellStyle name="Currency 3 3 2 7" xfId="22985"/>
    <cellStyle name="Currency 3 3 2 8" xfId="21816"/>
    <cellStyle name="Currency 3 3 3" xfId="2293"/>
    <cellStyle name="Currency 3 3 3 2" xfId="4003"/>
    <cellStyle name="Currency 3 3 3 2 2" xfId="5628"/>
    <cellStyle name="Currency 3 3 3 2 2 2" xfId="8714"/>
    <cellStyle name="Currency 3 3 3 2 2 2 2" xfId="14907"/>
    <cellStyle name="Currency 3 3 3 2 2 2 2 2" xfId="34585"/>
    <cellStyle name="Currency 3 3 3 2 2 2 3" xfId="21059"/>
    <cellStyle name="Currency 3 3 3 2 2 2 3 2" xfId="40737"/>
    <cellStyle name="Currency 3 3 3 2 2 2 4" xfId="28421"/>
    <cellStyle name="Currency 3 3 3 2 2 3" xfId="11841"/>
    <cellStyle name="Currency 3 3 3 2 2 3 2" xfId="31519"/>
    <cellStyle name="Currency 3 3 3 2 2 4" xfId="17993"/>
    <cellStyle name="Currency 3 3 3 2 2 4 2" xfId="37671"/>
    <cellStyle name="Currency 3 3 3 2 2 5" xfId="25355"/>
    <cellStyle name="Currency 3 3 3 2 3" xfId="7179"/>
    <cellStyle name="Currency 3 3 3 2 3 2" xfId="13373"/>
    <cellStyle name="Currency 3 3 3 2 3 2 2" xfId="33051"/>
    <cellStyle name="Currency 3 3 3 2 3 3" xfId="19525"/>
    <cellStyle name="Currency 3 3 3 2 3 3 2" xfId="39203"/>
    <cellStyle name="Currency 3 3 3 2 3 4" xfId="26887"/>
    <cellStyle name="Currency 3 3 3 2 4" xfId="10307"/>
    <cellStyle name="Currency 3 3 3 2 4 2" xfId="29985"/>
    <cellStyle name="Currency 3 3 3 2 5" xfId="16459"/>
    <cellStyle name="Currency 3 3 3 2 5 2" xfId="36137"/>
    <cellStyle name="Currency 3 3 3 2 6" xfId="23821"/>
    <cellStyle name="Currency 3 3 3 3" xfId="4844"/>
    <cellStyle name="Currency 3 3 3 3 2" xfId="7945"/>
    <cellStyle name="Currency 3 3 3 3 2 2" xfId="14138"/>
    <cellStyle name="Currency 3 3 3 3 2 2 2" xfId="33816"/>
    <cellStyle name="Currency 3 3 3 3 2 3" xfId="20290"/>
    <cellStyle name="Currency 3 3 3 3 2 3 2" xfId="39968"/>
    <cellStyle name="Currency 3 3 3 3 2 4" xfId="27652"/>
    <cellStyle name="Currency 3 3 3 3 3" xfId="11072"/>
    <cellStyle name="Currency 3 3 3 3 3 2" xfId="30750"/>
    <cellStyle name="Currency 3 3 3 3 4" xfId="17224"/>
    <cellStyle name="Currency 3 3 3 3 4 2" xfId="36902"/>
    <cellStyle name="Currency 3 3 3 3 5" xfId="24586"/>
    <cellStyle name="Currency 3 3 3 4" xfId="6410"/>
    <cellStyle name="Currency 3 3 3 4 2" xfId="12604"/>
    <cellStyle name="Currency 3 3 3 4 2 2" xfId="32282"/>
    <cellStyle name="Currency 3 3 3 4 3" xfId="18756"/>
    <cellStyle name="Currency 3 3 3 4 3 2" xfId="38434"/>
    <cellStyle name="Currency 3 3 3 4 4" xfId="26118"/>
    <cellStyle name="Currency 3 3 3 5" xfId="9538"/>
    <cellStyle name="Currency 3 3 3 5 2" xfId="29216"/>
    <cellStyle name="Currency 3 3 3 6" xfId="15690"/>
    <cellStyle name="Currency 3 3 3 6 2" xfId="35368"/>
    <cellStyle name="Currency 3 3 3 7" xfId="22986"/>
    <cellStyle name="Currency 3 3 4" xfId="2294"/>
    <cellStyle name="Currency 3 3 4 2" xfId="4004"/>
    <cellStyle name="Currency 3 3 4 2 2" xfId="5629"/>
    <cellStyle name="Currency 3 3 4 2 2 2" xfId="8715"/>
    <cellStyle name="Currency 3 3 4 2 2 2 2" xfId="14908"/>
    <cellStyle name="Currency 3 3 4 2 2 2 2 2" xfId="34586"/>
    <cellStyle name="Currency 3 3 4 2 2 2 3" xfId="21060"/>
    <cellStyle name="Currency 3 3 4 2 2 2 3 2" xfId="40738"/>
    <cellStyle name="Currency 3 3 4 2 2 2 4" xfId="28422"/>
    <cellStyle name="Currency 3 3 4 2 2 3" xfId="11842"/>
    <cellStyle name="Currency 3 3 4 2 2 3 2" xfId="31520"/>
    <cellStyle name="Currency 3 3 4 2 2 4" xfId="17994"/>
    <cellStyle name="Currency 3 3 4 2 2 4 2" xfId="37672"/>
    <cellStyle name="Currency 3 3 4 2 2 5" xfId="25356"/>
    <cellStyle name="Currency 3 3 4 2 3" xfId="7180"/>
    <cellStyle name="Currency 3 3 4 2 3 2" xfId="13374"/>
    <cellStyle name="Currency 3 3 4 2 3 2 2" xfId="33052"/>
    <cellStyle name="Currency 3 3 4 2 3 3" xfId="19526"/>
    <cellStyle name="Currency 3 3 4 2 3 3 2" xfId="39204"/>
    <cellStyle name="Currency 3 3 4 2 3 4" xfId="26888"/>
    <cellStyle name="Currency 3 3 4 2 4" xfId="10308"/>
    <cellStyle name="Currency 3 3 4 2 4 2" xfId="29986"/>
    <cellStyle name="Currency 3 3 4 2 5" xfId="16460"/>
    <cellStyle name="Currency 3 3 4 2 5 2" xfId="36138"/>
    <cellStyle name="Currency 3 3 4 2 6" xfId="23822"/>
    <cellStyle name="Currency 3 3 4 3" xfId="4845"/>
    <cellStyle name="Currency 3 3 4 3 2" xfId="7946"/>
    <cellStyle name="Currency 3 3 4 3 2 2" xfId="14139"/>
    <cellStyle name="Currency 3 3 4 3 2 2 2" xfId="33817"/>
    <cellStyle name="Currency 3 3 4 3 2 3" xfId="20291"/>
    <cellStyle name="Currency 3 3 4 3 2 3 2" xfId="39969"/>
    <cellStyle name="Currency 3 3 4 3 2 4" xfId="27653"/>
    <cellStyle name="Currency 3 3 4 3 3" xfId="11073"/>
    <cellStyle name="Currency 3 3 4 3 3 2" xfId="30751"/>
    <cellStyle name="Currency 3 3 4 3 4" xfId="17225"/>
    <cellStyle name="Currency 3 3 4 3 4 2" xfId="36903"/>
    <cellStyle name="Currency 3 3 4 3 5" xfId="24587"/>
    <cellStyle name="Currency 3 3 4 4" xfId="6411"/>
    <cellStyle name="Currency 3 3 4 4 2" xfId="12605"/>
    <cellStyle name="Currency 3 3 4 4 2 2" xfId="32283"/>
    <cellStyle name="Currency 3 3 4 4 3" xfId="18757"/>
    <cellStyle name="Currency 3 3 4 4 3 2" xfId="38435"/>
    <cellStyle name="Currency 3 3 4 4 4" xfId="26119"/>
    <cellStyle name="Currency 3 3 4 5" xfId="9539"/>
    <cellStyle name="Currency 3 3 4 5 2" xfId="29217"/>
    <cellStyle name="Currency 3 3 4 6" xfId="15691"/>
    <cellStyle name="Currency 3 3 4 6 2" xfId="35369"/>
    <cellStyle name="Currency 3 3 4 7" xfId="22987"/>
    <cellStyle name="Currency 3 3 5" xfId="2295"/>
    <cellStyle name="Currency 3 3 5 2" xfId="4005"/>
    <cellStyle name="Currency 3 3 5 2 2" xfId="5630"/>
    <cellStyle name="Currency 3 3 5 2 2 2" xfId="8716"/>
    <cellStyle name="Currency 3 3 5 2 2 2 2" xfId="14909"/>
    <cellStyle name="Currency 3 3 5 2 2 2 2 2" xfId="34587"/>
    <cellStyle name="Currency 3 3 5 2 2 2 3" xfId="21061"/>
    <cellStyle name="Currency 3 3 5 2 2 2 3 2" xfId="40739"/>
    <cellStyle name="Currency 3 3 5 2 2 2 4" xfId="28423"/>
    <cellStyle name="Currency 3 3 5 2 2 3" xfId="11843"/>
    <cellStyle name="Currency 3 3 5 2 2 3 2" xfId="31521"/>
    <cellStyle name="Currency 3 3 5 2 2 4" xfId="17995"/>
    <cellStyle name="Currency 3 3 5 2 2 4 2" xfId="37673"/>
    <cellStyle name="Currency 3 3 5 2 2 5" xfId="25357"/>
    <cellStyle name="Currency 3 3 5 2 3" xfId="7181"/>
    <cellStyle name="Currency 3 3 5 2 3 2" xfId="13375"/>
    <cellStyle name="Currency 3 3 5 2 3 2 2" xfId="33053"/>
    <cellStyle name="Currency 3 3 5 2 3 3" xfId="19527"/>
    <cellStyle name="Currency 3 3 5 2 3 3 2" xfId="39205"/>
    <cellStyle name="Currency 3 3 5 2 3 4" xfId="26889"/>
    <cellStyle name="Currency 3 3 5 2 4" xfId="10309"/>
    <cellStyle name="Currency 3 3 5 2 4 2" xfId="29987"/>
    <cellStyle name="Currency 3 3 5 2 5" xfId="16461"/>
    <cellStyle name="Currency 3 3 5 2 5 2" xfId="36139"/>
    <cellStyle name="Currency 3 3 5 2 6" xfId="23823"/>
    <cellStyle name="Currency 3 3 5 3" xfId="4846"/>
    <cellStyle name="Currency 3 3 5 3 2" xfId="7947"/>
    <cellStyle name="Currency 3 3 5 3 2 2" xfId="14140"/>
    <cellStyle name="Currency 3 3 5 3 2 2 2" xfId="33818"/>
    <cellStyle name="Currency 3 3 5 3 2 3" xfId="20292"/>
    <cellStyle name="Currency 3 3 5 3 2 3 2" xfId="39970"/>
    <cellStyle name="Currency 3 3 5 3 2 4" xfId="27654"/>
    <cellStyle name="Currency 3 3 5 3 3" xfId="11074"/>
    <cellStyle name="Currency 3 3 5 3 3 2" xfId="30752"/>
    <cellStyle name="Currency 3 3 5 3 4" xfId="17226"/>
    <cellStyle name="Currency 3 3 5 3 4 2" xfId="36904"/>
    <cellStyle name="Currency 3 3 5 3 5" xfId="24588"/>
    <cellStyle name="Currency 3 3 5 4" xfId="6412"/>
    <cellStyle name="Currency 3 3 5 4 2" xfId="12606"/>
    <cellStyle name="Currency 3 3 5 4 2 2" xfId="32284"/>
    <cellStyle name="Currency 3 3 5 4 3" xfId="18758"/>
    <cellStyle name="Currency 3 3 5 4 3 2" xfId="38436"/>
    <cellStyle name="Currency 3 3 5 4 4" xfId="26120"/>
    <cellStyle name="Currency 3 3 5 5" xfId="9540"/>
    <cellStyle name="Currency 3 3 5 5 2" xfId="29218"/>
    <cellStyle name="Currency 3 3 5 6" xfId="15692"/>
    <cellStyle name="Currency 3 3 5 6 2" xfId="35370"/>
    <cellStyle name="Currency 3 3 5 7" xfId="22988"/>
    <cellStyle name="Currency 3 3 6" xfId="2296"/>
    <cellStyle name="Currency 3 3 6 2" xfId="4006"/>
    <cellStyle name="Currency 3 3 6 2 2" xfId="5631"/>
    <cellStyle name="Currency 3 3 6 2 2 2" xfId="8717"/>
    <cellStyle name="Currency 3 3 6 2 2 2 2" xfId="14910"/>
    <cellStyle name="Currency 3 3 6 2 2 2 2 2" xfId="34588"/>
    <cellStyle name="Currency 3 3 6 2 2 2 3" xfId="21062"/>
    <cellStyle name="Currency 3 3 6 2 2 2 3 2" xfId="40740"/>
    <cellStyle name="Currency 3 3 6 2 2 2 4" xfId="28424"/>
    <cellStyle name="Currency 3 3 6 2 2 3" xfId="11844"/>
    <cellStyle name="Currency 3 3 6 2 2 3 2" xfId="31522"/>
    <cellStyle name="Currency 3 3 6 2 2 4" xfId="17996"/>
    <cellStyle name="Currency 3 3 6 2 2 4 2" xfId="37674"/>
    <cellStyle name="Currency 3 3 6 2 2 5" xfId="25358"/>
    <cellStyle name="Currency 3 3 6 2 3" xfId="7182"/>
    <cellStyle name="Currency 3 3 6 2 3 2" xfId="13376"/>
    <cellStyle name="Currency 3 3 6 2 3 2 2" xfId="33054"/>
    <cellStyle name="Currency 3 3 6 2 3 3" xfId="19528"/>
    <cellStyle name="Currency 3 3 6 2 3 3 2" xfId="39206"/>
    <cellStyle name="Currency 3 3 6 2 3 4" xfId="26890"/>
    <cellStyle name="Currency 3 3 6 2 4" xfId="10310"/>
    <cellStyle name="Currency 3 3 6 2 4 2" xfId="29988"/>
    <cellStyle name="Currency 3 3 6 2 5" xfId="16462"/>
    <cellStyle name="Currency 3 3 6 2 5 2" xfId="36140"/>
    <cellStyle name="Currency 3 3 6 2 6" xfId="23824"/>
    <cellStyle name="Currency 3 3 6 3" xfId="4847"/>
    <cellStyle name="Currency 3 3 6 3 2" xfId="7948"/>
    <cellStyle name="Currency 3 3 6 3 2 2" xfId="14141"/>
    <cellStyle name="Currency 3 3 6 3 2 2 2" xfId="33819"/>
    <cellStyle name="Currency 3 3 6 3 2 3" xfId="20293"/>
    <cellStyle name="Currency 3 3 6 3 2 3 2" xfId="39971"/>
    <cellStyle name="Currency 3 3 6 3 2 4" xfId="27655"/>
    <cellStyle name="Currency 3 3 6 3 3" xfId="11075"/>
    <cellStyle name="Currency 3 3 6 3 3 2" xfId="30753"/>
    <cellStyle name="Currency 3 3 6 3 4" xfId="17227"/>
    <cellStyle name="Currency 3 3 6 3 4 2" xfId="36905"/>
    <cellStyle name="Currency 3 3 6 3 5" xfId="24589"/>
    <cellStyle name="Currency 3 3 6 4" xfId="6413"/>
    <cellStyle name="Currency 3 3 6 4 2" xfId="12607"/>
    <cellStyle name="Currency 3 3 6 4 2 2" xfId="32285"/>
    <cellStyle name="Currency 3 3 6 4 3" xfId="18759"/>
    <cellStyle name="Currency 3 3 6 4 3 2" xfId="38437"/>
    <cellStyle name="Currency 3 3 6 4 4" xfId="26121"/>
    <cellStyle name="Currency 3 3 6 5" xfId="9541"/>
    <cellStyle name="Currency 3 3 6 5 2" xfId="29219"/>
    <cellStyle name="Currency 3 3 6 6" xfId="15693"/>
    <cellStyle name="Currency 3 3 6 6 2" xfId="35371"/>
    <cellStyle name="Currency 3 3 6 7" xfId="22989"/>
    <cellStyle name="Currency 3 3 7" xfId="2297"/>
    <cellStyle name="Currency 3 3 8" xfId="4001"/>
    <cellStyle name="Currency 3 3 8 2" xfId="5626"/>
    <cellStyle name="Currency 3 3 8 2 2" xfId="8712"/>
    <cellStyle name="Currency 3 3 8 2 2 2" xfId="14905"/>
    <cellStyle name="Currency 3 3 8 2 2 2 2" xfId="34583"/>
    <cellStyle name="Currency 3 3 8 2 2 3" xfId="21057"/>
    <cellStyle name="Currency 3 3 8 2 2 3 2" xfId="40735"/>
    <cellStyle name="Currency 3 3 8 2 2 4" xfId="28419"/>
    <cellStyle name="Currency 3 3 8 2 3" xfId="11839"/>
    <cellStyle name="Currency 3 3 8 2 3 2" xfId="31517"/>
    <cellStyle name="Currency 3 3 8 2 4" xfId="17991"/>
    <cellStyle name="Currency 3 3 8 2 4 2" xfId="37669"/>
    <cellStyle name="Currency 3 3 8 2 5" xfId="25353"/>
    <cellStyle name="Currency 3 3 8 3" xfId="7177"/>
    <cellStyle name="Currency 3 3 8 3 2" xfId="13371"/>
    <cellStyle name="Currency 3 3 8 3 2 2" xfId="33049"/>
    <cellStyle name="Currency 3 3 8 3 3" xfId="19523"/>
    <cellStyle name="Currency 3 3 8 3 3 2" xfId="39201"/>
    <cellStyle name="Currency 3 3 8 3 4" xfId="26885"/>
    <cellStyle name="Currency 3 3 8 4" xfId="10305"/>
    <cellStyle name="Currency 3 3 8 4 2" xfId="29983"/>
    <cellStyle name="Currency 3 3 8 5" xfId="16457"/>
    <cellStyle name="Currency 3 3 8 5 2" xfId="36135"/>
    <cellStyle name="Currency 3 3 8 6" xfId="23819"/>
    <cellStyle name="Currency 3 3 9" xfId="4842"/>
    <cellStyle name="Currency 3 3 9 2" xfId="7943"/>
    <cellStyle name="Currency 3 3 9 2 2" xfId="14136"/>
    <cellStyle name="Currency 3 3 9 2 2 2" xfId="33814"/>
    <cellStyle name="Currency 3 3 9 2 3" xfId="20288"/>
    <cellStyle name="Currency 3 3 9 2 3 2" xfId="39966"/>
    <cellStyle name="Currency 3 3 9 2 4" xfId="27650"/>
    <cellStyle name="Currency 3 3 9 3" xfId="11070"/>
    <cellStyle name="Currency 3 3 9 3 2" xfId="30748"/>
    <cellStyle name="Currency 3 3 9 4" xfId="17222"/>
    <cellStyle name="Currency 3 3 9 4 2" xfId="36900"/>
    <cellStyle name="Currency 3 3 9 5" xfId="24584"/>
    <cellStyle name="Currency 3 30" xfId="22375"/>
    <cellStyle name="Currency 3 31" xfId="22681"/>
    <cellStyle name="Currency 3 32" xfId="41559"/>
    <cellStyle name="Currency 3 33" xfId="21756"/>
    <cellStyle name="Currency 3 34" xfId="41909"/>
    <cellStyle name="Currency 3 4" xfId="2298"/>
    <cellStyle name="Currency 3 4 10" xfId="21839"/>
    <cellStyle name="Currency 3 4 2" xfId="2299"/>
    <cellStyle name="Currency 3 4 2 2" xfId="4008"/>
    <cellStyle name="Currency 3 4 2 2 2" xfId="5633"/>
    <cellStyle name="Currency 3 4 2 2 2 2" xfId="8719"/>
    <cellStyle name="Currency 3 4 2 2 2 2 2" xfId="14912"/>
    <cellStyle name="Currency 3 4 2 2 2 2 2 2" xfId="34590"/>
    <cellStyle name="Currency 3 4 2 2 2 2 3" xfId="21064"/>
    <cellStyle name="Currency 3 4 2 2 2 2 3 2" xfId="40742"/>
    <cellStyle name="Currency 3 4 2 2 2 2 4" xfId="28426"/>
    <cellStyle name="Currency 3 4 2 2 2 3" xfId="11846"/>
    <cellStyle name="Currency 3 4 2 2 2 3 2" xfId="31524"/>
    <cellStyle name="Currency 3 4 2 2 2 4" xfId="17998"/>
    <cellStyle name="Currency 3 4 2 2 2 4 2" xfId="37676"/>
    <cellStyle name="Currency 3 4 2 2 2 5" xfId="25360"/>
    <cellStyle name="Currency 3 4 2 2 3" xfId="7184"/>
    <cellStyle name="Currency 3 4 2 2 3 2" xfId="13378"/>
    <cellStyle name="Currency 3 4 2 2 3 2 2" xfId="33056"/>
    <cellStyle name="Currency 3 4 2 2 3 3" xfId="19530"/>
    <cellStyle name="Currency 3 4 2 2 3 3 2" xfId="39208"/>
    <cellStyle name="Currency 3 4 2 2 3 4" xfId="26892"/>
    <cellStyle name="Currency 3 4 2 2 4" xfId="10312"/>
    <cellStyle name="Currency 3 4 2 2 4 2" xfId="29990"/>
    <cellStyle name="Currency 3 4 2 2 5" xfId="16464"/>
    <cellStyle name="Currency 3 4 2 2 5 2" xfId="36142"/>
    <cellStyle name="Currency 3 4 2 2 6" xfId="23826"/>
    <cellStyle name="Currency 3 4 2 3" xfId="4849"/>
    <cellStyle name="Currency 3 4 2 3 2" xfId="7950"/>
    <cellStyle name="Currency 3 4 2 3 2 2" xfId="14143"/>
    <cellStyle name="Currency 3 4 2 3 2 2 2" xfId="33821"/>
    <cellStyle name="Currency 3 4 2 3 2 3" xfId="20295"/>
    <cellStyle name="Currency 3 4 2 3 2 3 2" xfId="39973"/>
    <cellStyle name="Currency 3 4 2 3 2 4" xfId="27657"/>
    <cellStyle name="Currency 3 4 2 3 3" xfId="11077"/>
    <cellStyle name="Currency 3 4 2 3 3 2" xfId="30755"/>
    <cellStyle name="Currency 3 4 2 3 4" xfId="17229"/>
    <cellStyle name="Currency 3 4 2 3 4 2" xfId="36907"/>
    <cellStyle name="Currency 3 4 2 3 5" xfId="24591"/>
    <cellStyle name="Currency 3 4 2 4" xfId="6415"/>
    <cellStyle name="Currency 3 4 2 4 2" xfId="12609"/>
    <cellStyle name="Currency 3 4 2 4 2 2" xfId="32287"/>
    <cellStyle name="Currency 3 4 2 4 3" xfId="18761"/>
    <cellStyle name="Currency 3 4 2 4 3 2" xfId="38439"/>
    <cellStyle name="Currency 3 4 2 4 4" xfId="26123"/>
    <cellStyle name="Currency 3 4 2 5" xfId="9543"/>
    <cellStyle name="Currency 3 4 2 5 2" xfId="29221"/>
    <cellStyle name="Currency 3 4 2 6" xfId="15695"/>
    <cellStyle name="Currency 3 4 2 6 2" xfId="35373"/>
    <cellStyle name="Currency 3 4 2 7" xfId="22991"/>
    <cellStyle name="Currency 3 4 3" xfId="4007"/>
    <cellStyle name="Currency 3 4 3 2" xfId="5632"/>
    <cellStyle name="Currency 3 4 3 2 2" xfId="8718"/>
    <cellStyle name="Currency 3 4 3 2 2 2" xfId="14911"/>
    <cellStyle name="Currency 3 4 3 2 2 2 2" xfId="34589"/>
    <cellStyle name="Currency 3 4 3 2 2 3" xfId="21063"/>
    <cellStyle name="Currency 3 4 3 2 2 3 2" xfId="40741"/>
    <cellStyle name="Currency 3 4 3 2 2 4" xfId="28425"/>
    <cellStyle name="Currency 3 4 3 2 3" xfId="11845"/>
    <cellStyle name="Currency 3 4 3 2 3 2" xfId="31523"/>
    <cellStyle name="Currency 3 4 3 2 4" xfId="17997"/>
    <cellStyle name="Currency 3 4 3 2 4 2" xfId="37675"/>
    <cellStyle name="Currency 3 4 3 2 5" xfId="25359"/>
    <cellStyle name="Currency 3 4 3 3" xfId="7183"/>
    <cellStyle name="Currency 3 4 3 3 2" xfId="13377"/>
    <cellStyle name="Currency 3 4 3 3 2 2" xfId="33055"/>
    <cellStyle name="Currency 3 4 3 3 3" xfId="19529"/>
    <cellStyle name="Currency 3 4 3 3 3 2" xfId="39207"/>
    <cellStyle name="Currency 3 4 3 3 4" xfId="26891"/>
    <cellStyle name="Currency 3 4 3 4" xfId="10311"/>
    <cellStyle name="Currency 3 4 3 4 2" xfId="29989"/>
    <cellStyle name="Currency 3 4 3 5" xfId="16463"/>
    <cellStyle name="Currency 3 4 3 5 2" xfId="36141"/>
    <cellStyle name="Currency 3 4 3 6" xfId="23825"/>
    <cellStyle name="Currency 3 4 4" xfId="4848"/>
    <cellStyle name="Currency 3 4 4 2" xfId="7949"/>
    <cellStyle name="Currency 3 4 4 2 2" xfId="14142"/>
    <cellStyle name="Currency 3 4 4 2 2 2" xfId="33820"/>
    <cellStyle name="Currency 3 4 4 2 3" xfId="20294"/>
    <cellStyle name="Currency 3 4 4 2 3 2" xfId="39972"/>
    <cellStyle name="Currency 3 4 4 2 4" xfId="27656"/>
    <cellStyle name="Currency 3 4 4 3" xfId="11076"/>
    <cellStyle name="Currency 3 4 4 3 2" xfId="30754"/>
    <cellStyle name="Currency 3 4 4 4" xfId="17228"/>
    <cellStyle name="Currency 3 4 4 4 2" xfId="36906"/>
    <cellStyle name="Currency 3 4 4 5" xfId="24590"/>
    <cellStyle name="Currency 3 4 5" xfId="6414"/>
    <cellStyle name="Currency 3 4 5 2" xfId="12608"/>
    <cellStyle name="Currency 3 4 5 2 2" xfId="32286"/>
    <cellStyle name="Currency 3 4 5 3" xfId="18760"/>
    <cellStyle name="Currency 3 4 5 3 2" xfId="38438"/>
    <cellStyle name="Currency 3 4 5 4" xfId="26122"/>
    <cellStyle name="Currency 3 4 6" xfId="9542"/>
    <cellStyle name="Currency 3 4 6 2" xfId="29220"/>
    <cellStyle name="Currency 3 4 7" xfId="15694"/>
    <cellStyle name="Currency 3 4 7 2" xfId="35372"/>
    <cellStyle name="Currency 3 4 8" xfId="22990"/>
    <cellStyle name="Currency 3 4 9" xfId="41912"/>
    <cellStyle name="Currency 3 5" xfId="2300"/>
    <cellStyle name="Currency 3 5 10" xfId="21865"/>
    <cellStyle name="Currency 3 5 2" xfId="2301"/>
    <cellStyle name="Currency 3 5 2 2" xfId="4010"/>
    <cellStyle name="Currency 3 5 2 2 2" xfId="5635"/>
    <cellStyle name="Currency 3 5 2 2 2 2" xfId="8721"/>
    <cellStyle name="Currency 3 5 2 2 2 2 2" xfId="14914"/>
    <cellStyle name="Currency 3 5 2 2 2 2 2 2" xfId="34592"/>
    <cellStyle name="Currency 3 5 2 2 2 2 3" xfId="21066"/>
    <cellStyle name="Currency 3 5 2 2 2 2 3 2" xfId="40744"/>
    <cellStyle name="Currency 3 5 2 2 2 2 4" xfId="28428"/>
    <cellStyle name="Currency 3 5 2 2 2 3" xfId="11848"/>
    <cellStyle name="Currency 3 5 2 2 2 3 2" xfId="31526"/>
    <cellStyle name="Currency 3 5 2 2 2 4" xfId="18000"/>
    <cellStyle name="Currency 3 5 2 2 2 4 2" xfId="37678"/>
    <cellStyle name="Currency 3 5 2 2 2 5" xfId="25362"/>
    <cellStyle name="Currency 3 5 2 2 3" xfId="7186"/>
    <cellStyle name="Currency 3 5 2 2 3 2" xfId="13380"/>
    <cellStyle name="Currency 3 5 2 2 3 2 2" xfId="33058"/>
    <cellStyle name="Currency 3 5 2 2 3 3" xfId="19532"/>
    <cellStyle name="Currency 3 5 2 2 3 3 2" xfId="39210"/>
    <cellStyle name="Currency 3 5 2 2 3 4" xfId="26894"/>
    <cellStyle name="Currency 3 5 2 2 4" xfId="10314"/>
    <cellStyle name="Currency 3 5 2 2 4 2" xfId="29992"/>
    <cellStyle name="Currency 3 5 2 2 5" xfId="16466"/>
    <cellStyle name="Currency 3 5 2 2 5 2" xfId="36144"/>
    <cellStyle name="Currency 3 5 2 2 6" xfId="23828"/>
    <cellStyle name="Currency 3 5 2 3" xfId="4851"/>
    <cellStyle name="Currency 3 5 2 3 2" xfId="7952"/>
    <cellStyle name="Currency 3 5 2 3 2 2" xfId="14145"/>
    <cellStyle name="Currency 3 5 2 3 2 2 2" xfId="33823"/>
    <cellStyle name="Currency 3 5 2 3 2 3" xfId="20297"/>
    <cellStyle name="Currency 3 5 2 3 2 3 2" xfId="39975"/>
    <cellStyle name="Currency 3 5 2 3 2 4" xfId="27659"/>
    <cellStyle name="Currency 3 5 2 3 3" xfId="11079"/>
    <cellStyle name="Currency 3 5 2 3 3 2" xfId="30757"/>
    <cellStyle name="Currency 3 5 2 3 4" xfId="17231"/>
    <cellStyle name="Currency 3 5 2 3 4 2" xfId="36909"/>
    <cellStyle name="Currency 3 5 2 3 5" xfId="24593"/>
    <cellStyle name="Currency 3 5 2 4" xfId="6417"/>
    <cellStyle name="Currency 3 5 2 4 2" xfId="12611"/>
    <cellStyle name="Currency 3 5 2 4 2 2" xfId="32289"/>
    <cellStyle name="Currency 3 5 2 4 3" xfId="18763"/>
    <cellStyle name="Currency 3 5 2 4 3 2" xfId="38441"/>
    <cellStyle name="Currency 3 5 2 4 4" xfId="26125"/>
    <cellStyle name="Currency 3 5 2 5" xfId="9545"/>
    <cellStyle name="Currency 3 5 2 5 2" xfId="29223"/>
    <cellStyle name="Currency 3 5 2 6" xfId="15697"/>
    <cellStyle name="Currency 3 5 2 6 2" xfId="35375"/>
    <cellStyle name="Currency 3 5 2 7" xfId="22993"/>
    <cellStyle name="Currency 3 5 3" xfId="4009"/>
    <cellStyle name="Currency 3 5 3 2" xfId="5634"/>
    <cellStyle name="Currency 3 5 3 2 2" xfId="8720"/>
    <cellStyle name="Currency 3 5 3 2 2 2" xfId="14913"/>
    <cellStyle name="Currency 3 5 3 2 2 2 2" xfId="34591"/>
    <cellStyle name="Currency 3 5 3 2 2 3" xfId="21065"/>
    <cellStyle name="Currency 3 5 3 2 2 3 2" xfId="40743"/>
    <cellStyle name="Currency 3 5 3 2 2 4" xfId="28427"/>
    <cellStyle name="Currency 3 5 3 2 3" xfId="11847"/>
    <cellStyle name="Currency 3 5 3 2 3 2" xfId="31525"/>
    <cellStyle name="Currency 3 5 3 2 4" xfId="17999"/>
    <cellStyle name="Currency 3 5 3 2 4 2" xfId="37677"/>
    <cellStyle name="Currency 3 5 3 2 5" xfId="25361"/>
    <cellStyle name="Currency 3 5 3 3" xfId="7185"/>
    <cellStyle name="Currency 3 5 3 3 2" xfId="13379"/>
    <cellStyle name="Currency 3 5 3 3 2 2" xfId="33057"/>
    <cellStyle name="Currency 3 5 3 3 3" xfId="19531"/>
    <cellStyle name="Currency 3 5 3 3 3 2" xfId="39209"/>
    <cellStyle name="Currency 3 5 3 3 4" xfId="26893"/>
    <cellStyle name="Currency 3 5 3 4" xfId="10313"/>
    <cellStyle name="Currency 3 5 3 4 2" xfId="29991"/>
    <cellStyle name="Currency 3 5 3 5" xfId="16465"/>
    <cellStyle name="Currency 3 5 3 5 2" xfId="36143"/>
    <cellStyle name="Currency 3 5 3 6" xfId="23827"/>
    <cellStyle name="Currency 3 5 4" xfId="4850"/>
    <cellStyle name="Currency 3 5 4 2" xfId="7951"/>
    <cellStyle name="Currency 3 5 4 2 2" xfId="14144"/>
    <cellStyle name="Currency 3 5 4 2 2 2" xfId="33822"/>
    <cellStyle name="Currency 3 5 4 2 3" xfId="20296"/>
    <cellStyle name="Currency 3 5 4 2 3 2" xfId="39974"/>
    <cellStyle name="Currency 3 5 4 2 4" xfId="27658"/>
    <cellStyle name="Currency 3 5 4 3" xfId="11078"/>
    <cellStyle name="Currency 3 5 4 3 2" xfId="30756"/>
    <cellStyle name="Currency 3 5 4 4" xfId="17230"/>
    <cellStyle name="Currency 3 5 4 4 2" xfId="36908"/>
    <cellStyle name="Currency 3 5 4 5" xfId="24592"/>
    <cellStyle name="Currency 3 5 5" xfId="6416"/>
    <cellStyle name="Currency 3 5 5 2" xfId="12610"/>
    <cellStyle name="Currency 3 5 5 2 2" xfId="32288"/>
    <cellStyle name="Currency 3 5 5 3" xfId="18762"/>
    <cellStyle name="Currency 3 5 5 3 2" xfId="38440"/>
    <cellStyle name="Currency 3 5 5 4" xfId="26124"/>
    <cellStyle name="Currency 3 5 6" xfId="9544"/>
    <cellStyle name="Currency 3 5 6 2" xfId="29222"/>
    <cellStyle name="Currency 3 5 7" xfId="15696"/>
    <cellStyle name="Currency 3 5 7 2" xfId="35374"/>
    <cellStyle name="Currency 3 5 8" xfId="22992"/>
    <cellStyle name="Currency 3 5 9" xfId="41913"/>
    <cellStyle name="Currency 3 6" xfId="2302"/>
    <cellStyle name="Currency 3 6 2" xfId="2303"/>
    <cellStyle name="Currency 3 6 2 2" xfId="4012"/>
    <cellStyle name="Currency 3 6 2 2 2" xfId="5637"/>
    <cellStyle name="Currency 3 6 2 2 2 2" xfId="8723"/>
    <cellStyle name="Currency 3 6 2 2 2 2 2" xfId="14916"/>
    <cellStyle name="Currency 3 6 2 2 2 2 2 2" xfId="34594"/>
    <cellStyle name="Currency 3 6 2 2 2 2 3" xfId="21068"/>
    <cellStyle name="Currency 3 6 2 2 2 2 3 2" xfId="40746"/>
    <cellStyle name="Currency 3 6 2 2 2 2 4" xfId="28430"/>
    <cellStyle name="Currency 3 6 2 2 2 3" xfId="11850"/>
    <cellStyle name="Currency 3 6 2 2 2 3 2" xfId="31528"/>
    <cellStyle name="Currency 3 6 2 2 2 4" xfId="18002"/>
    <cellStyle name="Currency 3 6 2 2 2 4 2" xfId="37680"/>
    <cellStyle name="Currency 3 6 2 2 2 5" xfId="25364"/>
    <cellStyle name="Currency 3 6 2 2 3" xfId="7188"/>
    <cellStyle name="Currency 3 6 2 2 3 2" xfId="13382"/>
    <cellStyle name="Currency 3 6 2 2 3 2 2" xfId="33060"/>
    <cellStyle name="Currency 3 6 2 2 3 3" xfId="19534"/>
    <cellStyle name="Currency 3 6 2 2 3 3 2" xfId="39212"/>
    <cellStyle name="Currency 3 6 2 2 3 4" xfId="26896"/>
    <cellStyle name="Currency 3 6 2 2 4" xfId="10316"/>
    <cellStyle name="Currency 3 6 2 2 4 2" xfId="29994"/>
    <cellStyle name="Currency 3 6 2 2 5" xfId="16468"/>
    <cellStyle name="Currency 3 6 2 2 5 2" xfId="36146"/>
    <cellStyle name="Currency 3 6 2 2 6" xfId="23830"/>
    <cellStyle name="Currency 3 6 2 3" xfId="4853"/>
    <cellStyle name="Currency 3 6 2 3 2" xfId="7954"/>
    <cellStyle name="Currency 3 6 2 3 2 2" xfId="14147"/>
    <cellStyle name="Currency 3 6 2 3 2 2 2" xfId="33825"/>
    <cellStyle name="Currency 3 6 2 3 2 3" xfId="20299"/>
    <cellStyle name="Currency 3 6 2 3 2 3 2" xfId="39977"/>
    <cellStyle name="Currency 3 6 2 3 2 4" xfId="27661"/>
    <cellStyle name="Currency 3 6 2 3 3" xfId="11081"/>
    <cellStyle name="Currency 3 6 2 3 3 2" xfId="30759"/>
    <cellStyle name="Currency 3 6 2 3 4" xfId="17233"/>
    <cellStyle name="Currency 3 6 2 3 4 2" xfId="36911"/>
    <cellStyle name="Currency 3 6 2 3 5" xfId="24595"/>
    <cellStyle name="Currency 3 6 2 4" xfId="6419"/>
    <cellStyle name="Currency 3 6 2 4 2" xfId="12613"/>
    <cellStyle name="Currency 3 6 2 4 2 2" xfId="32291"/>
    <cellStyle name="Currency 3 6 2 4 3" xfId="18765"/>
    <cellStyle name="Currency 3 6 2 4 3 2" xfId="38443"/>
    <cellStyle name="Currency 3 6 2 4 4" xfId="26127"/>
    <cellStyle name="Currency 3 6 2 5" xfId="9547"/>
    <cellStyle name="Currency 3 6 2 5 2" xfId="29225"/>
    <cellStyle name="Currency 3 6 2 6" xfId="15699"/>
    <cellStyle name="Currency 3 6 2 6 2" xfId="35377"/>
    <cellStyle name="Currency 3 6 2 7" xfId="22995"/>
    <cellStyle name="Currency 3 6 3" xfId="4011"/>
    <cellStyle name="Currency 3 6 3 2" xfId="5636"/>
    <cellStyle name="Currency 3 6 3 2 2" xfId="8722"/>
    <cellStyle name="Currency 3 6 3 2 2 2" xfId="14915"/>
    <cellStyle name="Currency 3 6 3 2 2 2 2" xfId="34593"/>
    <cellStyle name="Currency 3 6 3 2 2 3" xfId="21067"/>
    <cellStyle name="Currency 3 6 3 2 2 3 2" xfId="40745"/>
    <cellStyle name="Currency 3 6 3 2 2 4" xfId="28429"/>
    <cellStyle name="Currency 3 6 3 2 3" xfId="11849"/>
    <cellStyle name="Currency 3 6 3 2 3 2" xfId="31527"/>
    <cellStyle name="Currency 3 6 3 2 4" xfId="18001"/>
    <cellStyle name="Currency 3 6 3 2 4 2" xfId="37679"/>
    <cellStyle name="Currency 3 6 3 2 5" xfId="25363"/>
    <cellStyle name="Currency 3 6 3 3" xfId="7187"/>
    <cellStyle name="Currency 3 6 3 3 2" xfId="13381"/>
    <cellStyle name="Currency 3 6 3 3 2 2" xfId="33059"/>
    <cellStyle name="Currency 3 6 3 3 3" xfId="19533"/>
    <cellStyle name="Currency 3 6 3 3 3 2" xfId="39211"/>
    <cellStyle name="Currency 3 6 3 3 4" xfId="26895"/>
    <cellStyle name="Currency 3 6 3 4" xfId="10315"/>
    <cellStyle name="Currency 3 6 3 4 2" xfId="29993"/>
    <cellStyle name="Currency 3 6 3 5" xfId="16467"/>
    <cellStyle name="Currency 3 6 3 5 2" xfId="36145"/>
    <cellStyle name="Currency 3 6 3 6" xfId="23829"/>
    <cellStyle name="Currency 3 6 4" xfId="4852"/>
    <cellStyle name="Currency 3 6 4 2" xfId="7953"/>
    <cellStyle name="Currency 3 6 4 2 2" xfId="14146"/>
    <cellStyle name="Currency 3 6 4 2 2 2" xfId="33824"/>
    <cellStyle name="Currency 3 6 4 2 3" xfId="20298"/>
    <cellStyle name="Currency 3 6 4 2 3 2" xfId="39976"/>
    <cellStyle name="Currency 3 6 4 2 4" xfId="27660"/>
    <cellStyle name="Currency 3 6 4 3" xfId="11080"/>
    <cellStyle name="Currency 3 6 4 3 2" xfId="30758"/>
    <cellStyle name="Currency 3 6 4 4" xfId="17232"/>
    <cellStyle name="Currency 3 6 4 4 2" xfId="36910"/>
    <cellStyle name="Currency 3 6 4 5" xfId="24594"/>
    <cellStyle name="Currency 3 6 5" xfId="6418"/>
    <cellStyle name="Currency 3 6 5 2" xfId="12612"/>
    <cellStyle name="Currency 3 6 5 2 2" xfId="32290"/>
    <cellStyle name="Currency 3 6 5 3" xfId="18764"/>
    <cellStyle name="Currency 3 6 5 3 2" xfId="38442"/>
    <cellStyle name="Currency 3 6 5 4" xfId="26126"/>
    <cellStyle name="Currency 3 6 6" xfId="9546"/>
    <cellStyle name="Currency 3 6 6 2" xfId="29224"/>
    <cellStyle name="Currency 3 6 7" xfId="15698"/>
    <cellStyle name="Currency 3 6 7 2" xfId="35376"/>
    <cellStyle name="Currency 3 6 8" xfId="22994"/>
    <cellStyle name="Currency 3 6 9" xfId="21856"/>
    <cellStyle name="Currency 3 7" xfId="2304"/>
    <cellStyle name="Currency 3 7 2" xfId="4013"/>
    <cellStyle name="Currency 3 7 2 2" xfId="5638"/>
    <cellStyle name="Currency 3 7 2 2 2" xfId="8724"/>
    <cellStyle name="Currency 3 7 2 2 2 2" xfId="14917"/>
    <cellStyle name="Currency 3 7 2 2 2 2 2" xfId="34595"/>
    <cellStyle name="Currency 3 7 2 2 2 3" xfId="21069"/>
    <cellStyle name="Currency 3 7 2 2 2 3 2" xfId="40747"/>
    <cellStyle name="Currency 3 7 2 2 2 4" xfId="28431"/>
    <cellStyle name="Currency 3 7 2 2 3" xfId="11851"/>
    <cellStyle name="Currency 3 7 2 2 3 2" xfId="31529"/>
    <cellStyle name="Currency 3 7 2 2 4" xfId="18003"/>
    <cellStyle name="Currency 3 7 2 2 4 2" xfId="37681"/>
    <cellStyle name="Currency 3 7 2 2 5" xfId="25365"/>
    <cellStyle name="Currency 3 7 2 3" xfId="7189"/>
    <cellStyle name="Currency 3 7 2 3 2" xfId="13383"/>
    <cellStyle name="Currency 3 7 2 3 2 2" xfId="33061"/>
    <cellStyle name="Currency 3 7 2 3 3" xfId="19535"/>
    <cellStyle name="Currency 3 7 2 3 3 2" xfId="39213"/>
    <cellStyle name="Currency 3 7 2 3 4" xfId="26897"/>
    <cellStyle name="Currency 3 7 2 4" xfId="10317"/>
    <cellStyle name="Currency 3 7 2 4 2" xfId="29995"/>
    <cellStyle name="Currency 3 7 2 5" xfId="16469"/>
    <cellStyle name="Currency 3 7 2 5 2" xfId="36147"/>
    <cellStyle name="Currency 3 7 2 6" xfId="23831"/>
    <cellStyle name="Currency 3 7 3" xfId="4854"/>
    <cellStyle name="Currency 3 7 3 2" xfId="7955"/>
    <cellStyle name="Currency 3 7 3 2 2" xfId="14148"/>
    <cellStyle name="Currency 3 7 3 2 2 2" xfId="33826"/>
    <cellStyle name="Currency 3 7 3 2 3" xfId="20300"/>
    <cellStyle name="Currency 3 7 3 2 3 2" xfId="39978"/>
    <cellStyle name="Currency 3 7 3 2 4" xfId="27662"/>
    <cellStyle name="Currency 3 7 3 3" xfId="11082"/>
    <cellStyle name="Currency 3 7 3 3 2" xfId="30760"/>
    <cellStyle name="Currency 3 7 3 4" xfId="17234"/>
    <cellStyle name="Currency 3 7 3 4 2" xfId="36912"/>
    <cellStyle name="Currency 3 7 3 5" xfId="24596"/>
    <cellStyle name="Currency 3 7 4" xfId="6420"/>
    <cellStyle name="Currency 3 7 4 2" xfId="12614"/>
    <cellStyle name="Currency 3 7 4 2 2" xfId="32292"/>
    <cellStyle name="Currency 3 7 4 3" xfId="18766"/>
    <cellStyle name="Currency 3 7 4 3 2" xfId="38444"/>
    <cellStyle name="Currency 3 7 4 4" xfId="26128"/>
    <cellStyle name="Currency 3 7 5" xfId="9548"/>
    <cellStyle name="Currency 3 7 5 2" xfId="29226"/>
    <cellStyle name="Currency 3 7 6" xfId="15700"/>
    <cellStyle name="Currency 3 7 6 2" xfId="35378"/>
    <cellStyle name="Currency 3 7 7" xfId="22996"/>
    <cellStyle name="Currency 3 7 8" xfId="21890"/>
    <cellStyle name="Currency 3 8" xfId="2305"/>
    <cellStyle name="Currency 3 8 2" xfId="4014"/>
    <cellStyle name="Currency 3 8 2 2" xfId="5639"/>
    <cellStyle name="Currency 3 8 2 2 2" xfId="8725"/>
    <cellStyle name="Currency 3 8 2 2 2 2" xfId="14918"/>
    <cellStyle name="Currency 3 8 2 2 2 2 2" xfId="34596"/>
    <cellStyle name="Currency 3 8 2 2 2 3" xfId="21070"/>
    <cellStyle name="Currency 3 8 2 2 2 3 2" xfId="40748"/>
    <cellStyle name="Currency 3 8 2 2 2 4" xfId="28432"/>
    <cellStyle name="Currency 3 8 2 2 3" xfId="11852"/>
    <cellStyle name="Currency 3 8 2 2 3 2" xfId="31530"/>
    <cellStyle name="Currency 3 8 2 2 4" xfId="18004"/>
    <cellStyle name="Currency 3 8 2 2 4 2" xfId="37682"/>
    <cellStyle name="Currency 3 8 2 2 5" xfId="25366"/>
    <cellStyle name="Currency 3 8 2 3" xfId="7190"/>
    <cellStyle name="Currency 3 8 2 3 2" xfId="13384"/>
    <cellStyle name="Currency 3 8 2 3 2 2" xfId="33062"/>
    <cellStyle name="Currency 3 8 2 3 3" xfId="19536"/>
    <cellStyle name="Currency 3 8 2 3 3 2" xfId="39214"/>
    <cellStyle name="Currency 3 8 2 3 4" xfId="26898"/>
    <cellStyle name="Currency 3 8 2 4" xfId="10318"/>
    <cellStyle name="Currency 3 8 2 4 2" xfId="29996"/>
    <cellStyle name="Currency 3 8 2 5" xfId="16470"/>
    <cellStyle name="Currency 3 8 2 5 2" xfId="36148"/>
    <cellStyle name="Currency 3 8 2 6" xfId="23832"/>
    <cellStyle name="Currency 3 8 3" xfId="4855"/>
    <cellStyle name="Currency 3 8 3 2" xfId="7956"/>
    <cellStyle name="Currency 3 8 3 2 2" xfId="14149"/>
    <cellStyle name="Currency 3 8 3 2 2 2" xfId="33827"/>
    <cellStyle name="Currency 3 8 3 2 3" xfId="20301"/>
    <cellStyle name="Currency 3 8 3 2 3 2" xfId="39979"/>
    <cellStyle name="Currency 3 8 3 2 4" xfId="27663"/>
    <cellStyle name="Currency 3 8 3 3" xfId="11083"/>
    <cellStyle name="Currency 3 8 3 3 2" xfId="30761"/>
    <cellStyle name="Currency 3 8 3 4" xfId="17235"/>
    <cellStyle name="Currency 3 8 3 4 2" xfId="36913"/>
    <cellStyle name="Currency 3 8 3 5" xfId="24597"/>
    <cellStyle name="Currency 3 8 4" xfId="6421"/>
    <cellStyle name="Currency 3 8 4 2" xfId="12615"/>
    <cellStyle name="Currency 3 8 4 2 2" xfId="32293"/>
    <cellStyle name="Currency 3 8 4 3" xfId="18767"/>
    <cellStyle name="Currency 3 8 4 3 2" xfId="38445"/>
    <cellStyle name="Currency 3 8 4 4" xfId="26129"/>
    <cellStyle name="Currency 3 8 5" xfId="9549"/>
    <cellStyle name="Currency 3 8 5 2" xfId="29227"/>
    <cellStyle name="Currency 3 8 6" xfId="15701"/>
    <cellStyle name="Currency 3 8 6 2" xfId="35379"/>
    <cellStyle name="Currency 3 8 7" xfId="22997"/>
    <cellStyle name="Currency 3 8 8" xfId="21862"/>
    <cellStyle name="Currency 3 9" xfId="2306"/>
    <cellStyle name="Currency 3 9 2" xfId="4015"/>
    <cellStyle name="Currency 3 9 2 2" xfId="5640"/>
    <cellStyle name="Currency 3 9 2 2 2" xfId="8726"/>
    <cellStyle name="Currency 3 9 2 2 2 2" xfId="14919"/>
    <cellStyle name="Currency 3 9 2 2 2 2 2" xfId="34597"/>
    <cellStyle name="Currency 3 9 2 2 2 3" xfId="21071"/>
    <cellStyle name="Currency 3 9 2 2 2 3 2" xfId="40749"/>
    <cellStyle name="Currency 3 9 2 2 2 4" xfId="28433"/>
    <cellStyle name="Currency 3 9 2 2 3" xfId="11853"/>
    <cellStyle name="Currency 3 9 2 2 3 2" xfId="31531"/>
    <cellStyle name="Currency 3 9 2 2 4" xfId="18005"/>
    <cellStyle name="Currency 3 9 2 2 4 2" xfId="37683"/>
    <cellStyle name="Currency 3 9 2 2 5" xfId="25367"/>
    <cellStyle name="Currency 3 9 2 3" xfId="7191"/>
    <cellStyle name="Currency 3 9 2 3 2" xfId="13385"/>
    <cellStyle name="Currency 3 9 2 3 2 2" xfId="33063"/>
    <cellStyle name="Currency 3 9 2 3 3" xfId="19537"/>
    <cellStyle name="Currency 3 9 2 3 3 2" xfId="39215"/>
    <cellStyle name="Currency 3 9 2 3 4" xfId="26899"/>
    <cellStyle name="Currency 3 9 2 4" xfId="10319"/>
    <cellStyle name="Currency 3 9 2 4 2" xfId="29997"/>
    <cellStyle name="Currency 3 9 2 5" xfId="16471"/>
    <cellStyle name="Currency 3 9 2 5 2" xfId="36149"/>
    <cellStyle name="Currency 3 9 2 6" xfId="23833"/>
    <cellStyle name="Currency 3 9 3" xfId="4856"/>
    <cellStyle name="Currency 3 9 3 2" xfId="7957"/>
    <cellStyle name="Currency 3 9 3 2 2" xfId="14150"/>
    <cellStyle name="Currency 3 9 3 2 2 2" xfId="33828"/>
    <cellStyle name="Currency 3 9 3 2 3" xfId="20302"/>
    <cellStyle name="Currency 3 9 3 2 3 2" xfId="39980"/>
    <cellStyle name="Currency 3 9 3 2 4" xfId="27664"/>
    <cellStyle name="Currency 3 9 3 3" xfId="11084"/>
    <cellStyle name="Currency 3 9 3 3 2" xfId="30762"/>
    <cellStyle name="Currency 3 9 3 4" xfId="17236"/>
    <cellStyle name="Currency 3 9 3 4 2" xfId="36914"/>
    <cellStyle name="Currency 3 9 3 5" xfId="24598"/>
    <cellStyle name="Currency 3 9 4" xfId="6422"/>
    <cellStyle name="Currency 3 9 4 2" xfId="12616"/>
    <cellStyle name="Currency 3 9 4 2 2" xfId="32294"/>
    <cellStyle name="Currency 3 9 4 3" xfId="18768"/>
    <cellStyle name="Currency 3 9 4 3 2" xfId="38446"/>
    <cellStyle name="Currency 3 9 4 4" xfId="26130"/>
    <cellStyle name="Currency 3 9 5" xfId="9550"/>
    <cellStyle name="Currency 3 9 5 2" xfId="29228"/>
    <cellStyle name="Currency 3 9 6" xfId="15702"/>
    <cellStyle name="Currency 3 9 6 2" xfId="35380"/>
    <cellStyle name="Currency 3 9 7" xfId="22998"/>
    <cellStyle name="Currency 3 9 8" xfId="21855"/>
    <cellStyle name="Currency 30" xfId="2307"/>
    <cellStyle name="Currency 31" xfId="2308"/>
    <cellStyle name="Currency 32" xfId="2309"/>
    <cellStyle name="Currency 33" xfId="2310"/>
    <cellStyle name="Currency 34" xfId="2311"/>
    <cellStyle name="Currency 35" xfId="2312"/>
    <cellStyle name="Currency 36" xfId="2313"/>
    <cellStyle name="Currency 37" xfId="2314"/>
    <cellStyle name="Currency 38" xfId="2315"/>
    <cellStyle name="Currency 39" xfId="2316"/>
    <cellStyle name="Currency 4" xfId="63"/>
    <cellStyle name="Currency 4 2" xfId="2318"/>
    <cellStyle name="Currency 4 2 2" xfId="9310"/>
    <cellStyle name="Currency 4 2 2 2" xfId="15482"/>
    <cellStyle name="Currency 4 2 2 2 2" xfId="35160"/>
    <cellStyle name="Currency 4 2 2 3" xfId="21634"/>
    <cellStyle name="Currency 4 2 2 3 2" xfId="41312"/>
    <cellStyle name="Currency 4 2 2 4" xfId="29007"/>
    <cellStyle name="Currency 4 2 3" xfId="9292"/>
    <cellStyle name="Currency 4 2 3 2" xfId="15473"/>
    <cellStyle name="Currency 4 2 3 2 2" xfId="35151"/>
    <cellStyle name="Currency 4 2 3 3" xfId="21625"/>
    <cellStyle name="Currency 4 2 3 3 2" xfId="41303"/>
    <cellStyle name="Currency 4 2 3 4" xfId="28991"/>
    <cellStyle name="Currency 4 2 4" xfId="41915"/>
    <cellStyle name="Currency 4 3" xfId="2319"/>
    <cellStyle name="Currency 4 3 2" xfId="2320"/>
    <cellStyle name="Currency 4 3 3" xfId="2321"/>
    <cellStyle name="Currency 4 3 4" xfId="2322"/>
    <cellStyle name="Currency 4 3 5" xfId="9309"/>
    <cellStyle name="Currency 4 3 5 2" xfId="15481"/>
    <cellStyle name="Currency 4 3 5 2 2" xfId="35159"/>
    <cellStyle name="Currency 4 3 5 3" xfId="21633"/>
    <cellStyle name="Currency 4 3 5 3 2" xfId="41311"/>
    <cellStyle name="Currency 4 3 5 4" xfId="29006"/>
    <cellStyle name="Currency 4 3 6" xfId="41916"/>
    <cellStyle name="Currency 4 4" xfId="2323"/>
    <cellStyle name="Currency 4 4 2" xfId="9326"/>
    <cellStyle name="Currency 4 4 3" xfId="41917"/>
    <cellStyle name="Currency 4 5" xfId="3725"/>
    <cellStyle name="Currency 4 5 2" xfId="41918"/>
    <cellStyle name="Currency 4 6" xfId="2317"/>
    <cellStyle name="Currency 4 7" xfId="9291"/>
    <cellStyle name="Currency 4 7 2" xfId="15472"/>
    <cellStyle name="Currency 4 7 2 2" xfId="35150"/>
    <cellStyle name="Currency 4 7 3" xfId="21624"/>
    <cellStyle name="Currency 4 7 3 2" xfId="41302"/>
    <cellStyle name="Currency 4 7 4" xfId="28990"/>
    <cellStyle name="Currency 4 8" xfId="275"/>
    <cellStyle name="Currency 4 9" xfId="41914"/>
    <cellStyle name="Currency 40" xfId="2324"/>
    <cellStyle name="Currency 41" xfId="2325"/>
    <cellStyle name="Currency 42" xfId="2326"/>
    <cellStyle name="Currency 43" xfId="2327"/>
    <cellStyle name="Currency 44" xfId="2328"/>
    <cellStyle name="Currency 45" xfId="2329"/>
    <cellStyle name="Currency 46" xfId="2330"/>
    <cellStyle name="Currency 47" xfId="2331"/>
    <cellStyle name="Currency 48" xfId="2332"/>
    <cellStyle name="Currency 49" xfId="2333"/>
    <cellStyle name="Currency 5" xfId="64"/>
    <cellStyle name="Currency 5 10" xfId="15492"/>
    <cellStyle name="Currency 5 10 2" xfId="35170"/>
    <cellStyle name="Currency 5 11" xfId="276"/>
    <cellStyle name="Currency 5 11 2" xfId="22715"/>
    <cellStyle name="Currency 5 12" xfId="41919"/>
    <cellStyle name="Currency 5 2" xfId="350"/>
    <cellStyle name="Currency 5 2 10" xfId="15498"/>
    <cellStyle name="Currency 5 2 10 2" xfId="35176"/>
    <cellStyle name="Currency 5 2 11" xfId="41920"/>
    <cellStyle name="Currency 5 2 12" xfId="22741"/>
    <cellStyle name="Currency 5 2 2" xfId="369"/>
    <cellStyle name="Currency 5 2 2 2" xfId="3787"/>
    <cellStyle name="Currency 5 2 2 2 2" xfId="4563"/>
    <cellStyle name="Currency 5 2 2 2 2 2" xfId="6188"/>
    <cellStyle name="Currency 5 2 2 2 2 2 2" xfId="9274"/>
    <cellStyle name="Currency 5 2 2 2 2 2 2 2" xfId="15467"/>
    <cellStyle name="Currency 5 2 2 2 2 2 2 2 2" xfId="35145"/>
    <cellStyle name="Currency 5 2 2 2 2 2 2 3" xfId="21619"/>
    <cellStyle name="Currency 5 2 2 2 2 2 2 3 2" xfId="41297"/>
    <cellStyle name="Currency 5 2 2 2 2 2 2 4" xfId="28981"/>
    <cellStyle name="Currency 5 2 2 2 2 2 3" xfId="12401"/>
    <cellStyle name="Currency 5 2 2 2 2 2 3 2" xfId="32079"/>
    <cellStyle name="Currency 5 2 2 2 2 2 4" xfId="18553"/>
    <cellStyle name="Currency 5 2 2 2 2 2 4 2" xfId="38231"/>
    <cellStyle name="Currency 5 2 2 2 2 2 5" xfId="25915"/>
    <cellStyle name="Currency 5 2 2 2 2 3" xfId="7739"/>
    <cellStyle name="Currency 5 2 2 2 2 3 2" xfId="13933"/>
    <cellStyle name="Currency 5 2 2 2 2 3 2 2" xfId="33611"/>
    <cellStyle name="Currency 5 2 2 2 2 3 3" xfId="20085"/>
    <cellStyle name="Currency 5 2 2 2 2 3 3 2" xfId="39763"/>
    <cellStyle name="Currency 5 2 2 2 2 3 4" xfId="27447"/>
    <cellStyle name="Currency 5 2 2 2 2 4" xfId="10867"/>
    <cellStyle name="Currency 5 2 2 2 2 4 2" xfId="30545"/>
    <cellStyle name="Currency 5 2 2 2 2 5" xfId="17019"/>
    <cellStyle name="Currency 5 2 2 2 2 5 2" xfId="36697"/>
    <cellStyle name="Currency 5 2 2 2 2 6" xfId="24381"/>
    <cellStyle name="Currency 5 2 2 2 3" xfId="5419"/>
    <cellStyle name="Currency 5 2 2 2 3 2" xfId="8505"/>
    <cellStyle name="Currency 5 2 2 2 3 2 2" xfId="14698"/>
    <cellStyle name="Currency 5 2 2 2 3 2 2 2" xfId="34376"/>
    <cellStyle name="Currency 5 2 2 2 3 2 3" xfId="20850"/>
    <cellStyle name="Currency 5 2 2 2 3 2 3 2" xfId="40528"/>
    <cellStyle name="Currency 5 2 2 2 3 2 4" xfId="28212"/>
    <cellStyle name="Currency 5 2 2 2 3 3" xfId="11632"/>
    <cellStyle name="Currency 5 2 2 2 3 3 2" xfId="31310"/>
    <cellStyle name="Currency 5 2 2 2 3 4" xfId="17784"/>
    <cellStyle name="Currency 5 2 2 2 3 4 2" xfId="37462"/>
    <cellStyle name="Currency 5 2 2 2 3 5" xfId="25146"/>
    <cellStyle name="Currency 5 2 2 2 4" xfId="6970"/>
    <cellStyle name="Currency 5 2 2 2 4 2" xfId="13164"/>
    <cellStyle name="Currency 5 2 2 2 4 2 2" xfId="32842"/>
    <cellStyle name="Currency 5 2 2 2 4 3" xfId="19316"/>
    <cellStyle name="Currency 5 2 2 2 4 3 2" xfId="38994"/>
    <cellStyle name="Currency 5 2 2 2 4 4" xfId="26678"/>
    <cellStyle name="Currency 5 2 2 2 5" xfId="10098"/>
    <cellStyle name="Currency 5 2 2 2 5 2" xfId="29776"/>
    <cellStyle name="Currency 5 2 2 2 6" xfId="16250"/>
    <cellStyle name="Currency 5 2 2 2 6 2" xfId="35928"/>
    <cellStyle name="Currency 5 2 2 2 7" xfId="23612"/>
    <cellStyle name="Currency 5 2 2 3" xfId="2336"/>
    <cellStyle name="Currency 5 2 2 4" xfId="3822"/>
    <cellStyle name="Currency 5 2 2 4 2" xfId="5447"/>
    <cellStyle name="Currency 5 2 2 4 2 2" xfId="8533"/>
    <cellStyle name="Currency 5 2 2 4 2 2 2" xfId="14726"/>
    <cellStyle name="Currency 5 2 2 4 2 2 2 2" xfId="34404"/>
    <cellStyle name="Currency 5 2 2 4 2 2 3" xfId="20878"/>
    <cellStyle name="Currency 5 2 2 4 2 2 3 2" xfId="40556"/>
    <cellStyle name="Currency 5 2 2 4 2 2 4" xfId="28240"/>
    <cellStyle name="Currency 5 2 2 4 2 3" xfId="11660"/>
    <cellStyle name="Currency 5 2 2 4 2 3 2" xfId="31338"/>
    <cellStyle name="Currency 5 2 2 4 2 4" xfId="17812"/>
    <cellStyle name="Currency 5 2 2 4 2 4 2" xfId="37490"/>
    <cellStyle name="Currency 5 2 2 4 2 5" xfId="25174"/>
    <cellStyle name="Currency 5 2 2 4 3" xfId="6998"/>
    <cellStyle name="Currency 5 2 2 4 3 2" xfId="13192"/>
    <cellStyle name="Currency 5 2 2 4 3 2 2" xfId="32870"/>
    <cellStyle name="Currency 5 2 2 4 3 3" xfId="19344"/>
    <cellStyle name="Currency 5 2 2 4 3 3 2" xfId="39022"/>
    <cellStyle name="Currency 5 2 2 4 3 4" xfId="26706"/>
    <cellStyle name="Currency 5 2 2 4 4" xfId="10126"/>
    <cellStyle name="Currency 5 2 2 4 4 2" xfId="29804"/>
    <cellStyle name="Currency 5 2 2 4 5" xfId="16278"/>
    <cellStyle name="Currency 5 2 2 4 5 2" xfId="35956"/>
    <cellStyle name="Currency 5 2 2 4 6" xfId="23640"/>
    <cellStyle name="Currency 5 2 2 5" xfId="4661"/>
    <cellStyle name="Currency 5 2 2 5 2" xfId="7764"/>
    <cellStyle name="Currency 5 2 2 5 2 2" xfId="13957"/>
    <cellStyle name="Currency 5 2 2 5 2 2 2" xfId="33635"/>
    <cellStyle name="Currency 5 2 2 5 2 3" xfId="20109"/>
    <cellStyle name="Currency 5 2 2 5 2 3 2" xfId="39787"/>
    <cellStyle name="Currency 5 2 2 5 2 4" xfId="27471"/>
    <cellStyle name="Currency 5 2 2 5 3" xfId="10891"/>
    <cellStyle name="Currency 5 2 2 5 3 2" xfId="30569"/>
    <cellStyle name="Currency 5 2 2 5 4" xfId="17043"/>
    <cellStyle name="Currency 5 2 2 5 4 2" xfId="36721"/>
    <cellStyle name="Currency 5 2 2 5 5" xfId="24405"/>
    <cellStyle name="Currency 5 2 2 6" xfId="6229"/>
    <cellStyle name="Currency 5 2 2 6 2" xfId="12423"/>
    <cellStyle name="Currency 5 2 2 6 2 2" xfId="32101"/>
    <cellStyle name="Currency 5 2 2 6 3" xfId="18575"/>
    <cellStyle name="Currency 5 2 2 6 3 2" xfId="38253"/>
    <cellStyle name="Currency 5 2 2 6 4" xfId="25937"/>
    <cellStyle name="Currency 5 2 2 7" xfId="9357"/>
    <cellStyle name="Currency 5 2 2 7 2" xfId="29035"/>
    <cellStyle name="Currency 5 2 2 8" xfId="15509"/>
    <cellStyle name="Currency 5 2 2 8 2" xfId="35187"/>
    <cellStyle name="Currency 5 2 2 9" xfId="22752"/>
    <cellStyle name="Currency 5 2 3" xfId="2337"/>
    <cellStyle name="Currency 5 2 4" xfId="3770"/>
    <cellStyle name="Currency 5 2 4 2" xfId="4554"/>
    <cellStyle name="Currency 5 2 4 2 2" xfId="6179"/>
    <cellStyle name="Currency 5 2 4 2 2 2" xfId="9265"/>
    <cellStyle name="Currency 5 2 4 2 2 2 2" xfId="15458"/>
    <cellStyle name="Currency 5 2 4 2 2 2 2 2" xfId="35136"/>
    <cellStyle name="Currency 5 2 4 2 2 2 3" xfId="21610"/>
    <cellStyle name="Currency 5 2 4 2 2 2 3 2" xfId="41288"/>
    <cellStyle name="Currency 5 2 4 2 2 2 4" xfId="28972"/>
    <cellStyle name="Currency 5 2 4 2 2 3" xfId="12392"/>
    <cellStyle name="Currency 5 2 4 2 2 3 2" xfId="32070"/>
    <cellStyle name="Currency 5 2 4 2 2 4" xfId="18544"/>
    <cellStyle name="Currency 5 2 4 2 2 4 2" xfId="38222"/>
    <cellStyle name="Currency 5 2 4 2 2 5" xfId="25906"/>
    <cellStyle name="Currency 5 2 4 2 3" xfId="7730"/>
    <cellStyle name="Currency 5 2 4 2 3 2" xfId="13924"/>
    <cellStyle name="Currency 5 2 4 2 3 2 2" xfId="33602"/>
    <cellStyle name="Currency 5 2 4 2 3 3" xfId="20076"/>
    <cellStyle name="Currency 5 2 4 2 3 3 2" xfId="39754"/>
    <cellStyle name="Currency 5 2 4 2 3 4" xfId="27438"/>
    <cellStyle name="Currency 5 2 4 2 4" xfId="10858"/>
    <cellStyle name="Currency 5 2 4 2 4 2" xfId="30536"/>
    <cellStyle name="Currency 5 2 4 2 5" xfId="17010"/>
    <cellStyle name="Currency 5 2 4 2 5 2" xfId="36688"/>
    <cellStyle name="Currency 5 2 4 2 6" xfId="24372"/>
    <cellStyle name="Currency 5 2 4 3" xfId="5410"/>
    <cellStyle name="Currency 5 2 4 3 2" xfId="8496"/>
    <cellStyle name="Currency 5 2 4 3 2 2" xfId="14689"/>
    <cellStyle name="Currency 5 2 4 3 2 2 2" xfId="34367"/>
    <cellStyle name="Currency 5 2 4 3 2 3" xfId="20841"/>
    <cellStyle name="Currency 5 2 4 3 2 3 2" xfId="40519"/>
    <cellStyle name="Currency 5 2 4 3 2 4" xfId="28203"/>
    <cellStyle name="Currency 5 2 4 3 3" xfId="11623"/>
    <cellStyle name="Currency 5 2 4 3 3 2" xfId="31301"/>
    <cellStyle name="Currency 5 2 4 3 4" xfId="17775"/>
    <cellStyle name="Currency 5 2 4 3 4 2" xfId="37453"/>
    <cellStyle name="Currency 5 2 4 3 5" xfId="25137"/>
    <cellStyle name="Currency 5 2 4 4" xfId="6961"/>
    <cellStyle name="Currency 5 2 4 4 2" xfId="13155"/>
    <cellStyle name="Currency 5 2 4 4 2 2" xfId="32833"/>
    <cellStyle name="Currency 5 2 4 4 3" xfId="19307"/>
    <cellStyle name="Currency 5 2 4 4 3 2" xfId="38985"/>
    <cellStyle name="Currency 5 2 4 4 4" xfId="26669"/>
    <cellStyle name="Currency 5 2 4 5" xfId="10089"/>
    <cellStyle name="Currency 5 2 4 5 2" xfId="29767"/>
    <cellStyle name="Currency 5 2 4 6" xfId="16241"/>
    <cellStyle name="Currency 5 2 4 6 2" xfId="35919"/>
    <cellStyle name="Currency 5 2 4 7" xfId="23603"/>
    <cellStyle name="Currency 5 2 5" xfId="2335"/>
    <cellStyle name="Currency 5 2 6" xfId="3811"/>
    <cellStyle name="Currency 5 2 6 2" xfId="5436"/>
    <cellStyle name="Currency 5 2 6 2 2" xfId="8522"/>
    <cellStyle name="Currency 5 2 6 2 2 2" xfId="14715"/>
    <cellStyle name="Currency 5 2 6 2 2 2 2" xfId="34393"/>
    <cellStyle name="Currency 5 2 6 2 2 3" xfId="20867"/>
    <cellStyle name="Currency 5 2 6 2 2 3 2" xfId="40545"/>
    <cellStyle name="Currency 5 2 6 2 2 4" xfId="28229"/>
    <cellStyle name="Currency 5 2 6 2 3" xfId="11649"/>
    <cellStyle name="Currency 5 2 6 2 3 2" xfId="31327"/>
    <cellStyle name="Currency 5 2 6 2 4" xfId="17801"/>
    <cellStyle name="Currency 5 2 6 2 4 2" xfId="37479"/>
    <cellStyle name="Currency 5 2 6 2 5" xfId="25163"/>
    <cellStyle name="Currency 5 2 6 3" xfId="6987"/>
    <cellStyle name="Currency 5 2 6 3 2" xfId="13181"/>
    <cellStyle name="Currency 5 2 6 3 2 2" xfId="32859"/>
    <cellStyle name="Currency 5 2 6 3 3" xfId="19333"/>
    <cellStyle name="Currency 5 2 6 3 3 2" xfId="39011"/>
    <cellStyle name="Currency 5 2 6 3 4" xfId="26695"/>
    <cellStyle name="Currency 5 2 6 4" xfId="10115"/>
    <cellStyle name="Currency 5 2 6 4 2" xfId="29793"/>
    <cellStyle name="Currency 5 2 6 5" xfId="16267"/>
    <cellStyle name="Currency 5 2 6 5 2" xfId="35945"/>
    <cellStyle name="Currency 5 2 6 6" xfId="23629"/>
    <cellStyle name="Currency 5 2 7" xfId="4649"/>
    <cellStyle name="Currency 5 2 7 2" xfId="7753"/>
    <cellStyle name="Currency 5 2 7 2 2" xfId="13946"/>
    <cellStyle name="Currency 5 2 7 2 2 2" xfId="33624"/>
    <cellStyle name="Currency 5 2 7 2 3" xfId="20098"/>
    <cellStyle name="Currency 5 2 7 2 3 2" xfId="39776"/>
    <cellStyle name="Currency 5 2 7 2 4" xfId="27460"/>
    <cellStyle name="Currency 5 2 7 3" xfId="10880"/>
    <cellStyle name="Currency 5 2 7 3 2" xfId="30558"/>
    <cellStyle name="Currency 5 2 7 4" xfId="17032"/>
    <cellStyle name="Currency 5 2 7 4 2" xfId="36710"/>
    <cellStyle name="Currency 5 2 7 5" xfId="24394"/>
    <cellStyle name="Currency 5 2 8" xfId="6218"/>
    <cellStyle name="Currency 5 2 8 2" xfId="12412"/>
    <cellStyle name="Currency 5 2 8 2 2" xfId="32090"/>
    <cellStyle name="Currency 5 2 8 3" xfId="18564"/>
    <cellStyle name="Currency 5 2 8 3 2" xfId="38242"/>
    <cellStyle name="Currency 5 2 8 4" xfId="25926"/>
    <cellStyle name="Currency 5 2 9" xfId="9346"/>
    <cellStyle name="Currency 5 2 9 2" xfId="29024"/>
    <cellStyle name="Currency 5 3" xfId="363"/>
    <cellStyle name="Currency 5 3 10" xfId="22746"/>
    <cellStyle name="Currency 5 3 2" xfId="3782"/>
    <cellStyle name="Currency 5 3 2 2" xfId="4558"/>
    <cellStyle name="Currency 5 3 2 2 2" xfId="6183"/>
    <cellStyle name="Currency 5 3 2 2 2 2" xfId="9269"/>
    <cellStyle name="Currency 5 3 2 2 2 2 2" xfId="15462"/>
    <cellStyle name="Currency 5 3 2 2 2 2 2 2" xfId="35140"/>
    <cellStyle name="Currency 5 3 2 2 2 2 3" xfId="21614"/>
    <cellStyle name="Currency 5 3 2 2 2 2 3 2" xfId="41292"/>
    <cellStyle name="Currency 5 3 2 2 2 2 4" xfId="28976"/>
    <cellStyle name="Currency 5 3 2 2 2 3" xfId="12396"/>
    <cellStyle name="Currency 5 3 2 2 2 3 2" xfId="32074"/>
    <cellStyle name="Currency 5 3 2 2 2 4" xfId="18548"/>
    <cellStyle name="Currency 5 3 2 2 2 4 2" xfId="38226"/>
    <cellStyle name="Currency 5 3 2 2 2 5" xfId="25910"/>
    <cellStyle name="Currency 5 3 2 2 3" xfId="7734"/>
    <cellStyle name="Currency 5 3 2 2 3 2" xfId="13928"/>
    <cellStyle name="Currency 5 3 2 2 3 2 2" xfId="33606"/>
    <cellStyle name="Currency 5 3 2 2 3 3" xfId="20080"/>
    <cellStyle name="Currency 5 3 2 2 3 3 2" xfId="39758"/>
    <cellStyle name="Currency 5 3 2 2 3 4" xfId="27442"/>
    <cellStyle name="Currency 5 3 2 2 4" xfId="10862"/>
    <cellStyle name="Currency 5 3 2 2 4 2" xfId="30540"/>
    <cellStyle name="Currency 5 3 2 2 5" xfId="17014"/>
    <cellStyle name="Currency 5 3 2 2 5 2" xfId="36692"/>
    <cellStyle name="Currency 5 3 2 2 6" xfId="24376"/>
    <cellStyle name="Currency 5 3 2 3" xfId="5414"/>
    <cellStyle name="Currency 5 3 2 3 2" xfId="8500"/>
    <cellStyle name="Currency 5 3 2 3 2 2" xfId="14693"/>
    <cellStyle name="Currency 5 3 2 3 2 2 2" xfId="34371"/>
    <cellStyle name="Currency 5 3 2 3 2 3" xfId="20845"/>
    <cellStyle name="Currency 5 3 2 3 2 3 2" xfId="40523"/>
    <cellStyle name="Currency 5 3 2 3 2 4" xfId="28207"/>
    <cellStyle name="Currency 5 3 2 3 3" xfId="11627"/>
    <cellStyle name="Currency 5 3 2 3 3 2" xfId="31305"/>
    <cellStyle name="Currency 5 3 2 3 4" xfId="17779"/>
    <cellStyle name="Currency 5 3 2 3 4 2" xfId="37457"/>
    <cellStyle name="Currency 5 3 2 3 5" xfId="25141"/>
    <cellStyle name="Currency 5 3 2 4" xfId="6965"/>
    <cellStyle name="Currency 5 3 2 4 2" xfId="13159"/>
    <cellStyle name="Currency 5 3 2 4 2 2" xfId="32837"/>
    <cellStyle name="Currency 5 3 2 4 3" xfId="19311"/>
    <cellStyle name="Currency 5 3 2 4 3 2" xfId="38989"/>
    <cellStyle name="Currency 5 3 2 4 4" xfId="26673"/>
    <cellStyle name="Currency 5 3 2 5" xfId="10093"/>
    <cellStyle name="Currency 5 3 2 5 2" xfId="29771"/>
    <cellStyle name="Currency 5 3 2 6" xfId="16245"/>
    <cellStyle name="Currency 5 3 2 6 2" xfId="35923"/>
    <cellStyle name="Currency 5 3 2 7" xfId="23607"/>
    <cellStyle name="Currency 5 3 3" xfId="2338"/>
    <cellStyle name="Currency 5 3 4" xfId="3816"/>
    <cellStyle name="Currency 5 3 4 2" xfId="5441"/>
    <cellStyle name="Currency 5 3 4 2 2" xfId="8527"/>
    <cellStyle name="Currency 5 3 4 2 2 2" xfId="14720"/>
    <cellStyle name="Currency 5 3 4 2 2 2 2" xfId="34398"/>
    <cellStyle name="Currency 5 3 4 2 2 3" xfId="20872"/>
    <cellStyle name="Currency 5 3 4 2 2 3 2" xfId="40550"/>
    <cellStyle name="Currency 5 3 4 2 2 4" xfId="28234"/>
    <cellStyle name="Currency 5 3 4 2 3" xfId="11654"/>
    <cellStyle name="Currency 5 3 4 2 3 2" xfId="31332"/>
    <cellStyle name="Currency 5 3 4 2 4" xfId="17806"/>
    <cellStyle name="Currency 5 3 4 2 4 2" xfId="37484"/>
    <cellStyle name="Currency 5 3 4 2 5" xfId="25168"/>
    <cellStyle name="Currency 5 3 4 3" xfId="6992"/>
    <cellStyle name="Currency 5 3 4 3 2" xfId="13186"/>
    <cellStyle name="Currency 5 3 4 3 2 2" xfId="32864"/>
    <cellStyle name="Currency 5 3 4 3 3" xfId="19338"/>
    <cellStyle name="Currency 5 3 4 3 3 2" xfId="39016"/>
    <cellStyle name="Currency 5 3 4 3 4" xfId="26700"/>
    <cellStyle name="Currency 5 3 4 4" xfId="10120"/>
    <cellStyle name="Currency 5 3 4 4 2" xfId="29798"/>
    <cellStyle name="Currency 5 3 4 5" xfId="16272"/>
    <cellStyle name="Currency 5 3 4 5 2" xfId="35950"/>
    <cellStyle name="Currency 5 3 4 6" xfId="23634"/>
    <cellStyle name="Currency 5 3 5" xfId="4655"/>
    <cellStyle name="Currency 5 3 5 2" xfId="7758"/>
    <cellStyle name="Currency 5 3 5 2 2" xfId="13951"/>
    <cellStyle name="Currency 5 3 5 2 2 2" xfId="33629"/>
    <cellStyle name="Currency 5 3 5 2 3" xfId="20103"/>
    <cellStyle name="Currency 5 3 5 2 3 2" xfId="39781"/>
    <cellStyle name="Currency 5 3 5 2 4" xfId="27465"/>
    <cellStyle name="Currency 5 3 5 3" xfId="10885"/>
    <cellStyle name="Currency 5 3 5 3 2" xfId="30563"/>
    <cellStyle name="Currency 5 3 5 4" xfId="17037"/>
    <cellStyle name="Currency 5 3 5 4 2" xfId="36715"/>
    <cellStyle name="Currency 5 3 5 5" xfId="24399"/>
    <cellStyle name="Currency 5 3 6" xfId="6223"/>
    <cellStyle name="Currency 5 3 6 2" xfId="12417"/>
    <cellStyle name="Currency 5 3 6 2 2" xfId="32095"/>
    <cellStyle name="Currency 5 3 6 3" xfId="18569"/>
    <cellStyle name="Currency 5 3 6 3 2" xfId="38247"/>
    <cellStyle name="Currency 5 3 6 4" xfId="25931"/>
    <cellStyle name="Currency 5 3 7" xfId="9351"/>
    <cellStyle name="Currency 5 3 7 2" xfId="29029"/>
    <cellStyle name="Currency 5 3 8" xfId="15503"/>
    <cellStyle name="Currency 5 3 8 2" xfId="35181"/>
    <cellStyle name="Currency 5 3 9" xfId="41921"/>
    <cellStyle name="Currency 5 4" xfId="3726"/>
    <cellStyle name="Currency 5 4 2" xfId="4550"/>
    <cellStyle name="Currency 5 4 2 2" xfId="6175"/>
    <cellStyle name="Currency 5 4 2 2 2" xfId="9261"/>
    <cellStyle name="Currency 5 4 2 2 2 2" xfId="15454"/>
    <cellStyle name="Currency 5 4 2 2 2 2 2" xfId="35132"/>
    <cellStyle name="Currency 5 4 2 2 2 3" xfId="21606"/>
    <cellStyle name="Currency 5 4 2 2 2 3 2" xfId="41284"/>
    <cellStyle name="Currency 5 4 2 2 2 4" xfId="28968"/>
    <cellStyle name="Currency 5 4 2 2 3" xfId="12388"/>
    <cellStyle name="Currency 5 4 2 2 3 2" xfId="32066"/>
    <cellStyle name="Currency 5 4 2 2 4" xfId="18540"/>
    <cellStyle name="Currency 5 4 2 2 4 2" xfId="38218"/>
    <cellStyle name="Currency 5 4 2 2 5" xfId="25902"/>
    <cellStyle name="Currency 5 4 2 3" xfId="7726"/>
    <cellStyle name="Currency 5 4 2 3 2" xfId="13920"/>
    <cellStyle name="Currency 5 4 2 3 2 2" xfId="33598"/>
    <cellStyle name="Currency 5 4 2 3 3" xfId="20072"/>
    <cellStyle name="Currency 5 4 2 3 3 2" xfId="39750"/>
    <cellStyle name="Currency 5 4 2 3 4" xfId="27434"/>
    <cellStyle name="Currency 5 4 2 4" xfId="10854"/>
    <cellStyle name="Currency 5 4 2 4 2" xfId="30532"/>
    <cellStyle name="Currency 5 4 2 5" xfId="17006"/>
    <cellStyle name="Currency 5 4 2 5 2" xfId="36684"/>
    <cellStyle name="Currency 5 4 2 6" xfId="24368"/>
    <cellStyle name="Currency 5 4 3" xfId="5405"/>
    <cellStyle name="Currency 5 4 3 2" xfId="8492"/>
    <cellStyle name="Currency 5 4 3 2 2" xfId="14685"/>
    <cellStyle name="Currency 5 4 3 2 2 2" xfId="34363"/>
    <cellStyle name="Currency 5 4 3 2 3" xfId="20837"/>
    <cellStyle name="Currency 5 4 3 2 3 2" xfId="40515"/>
    <cellStyle name="Currency 5 4 3 2 4" xfId="28199"/>
    <cellStyle name="Currency 5 4 3 3" xfId="11619"/>
    <cellStyle name="Currency 5 4 3 3 2" xfId="31297"/>
    <cellStyle name="Currency 5 4 3 4" xfId="17771"/>
    <cellStyle name="Currency 5 4 3 4 2" xfId="37449"/>
    <cellStyle name="Currency 5 4 3 5" xfId="25133"/>
    <cellStyle name="Currency 5 4 4" xfId="6957"/>
    <cellStyle name="Currency 5 4 4 2" xfId="13151"/>
    <cellStyle name="Currency 5 4 4 2 2" xfId="32829"/>
    <cellStyle name="Currency 5 4 4 3" xfId="19303"/>
    <cellStyle name="Currency 5 4 4 3 2" xfId="38981"/>
    <cellStyle name="Currency 5 4 4 4" xfId="26665"/>
    <cellStyle name="Currency 5 4 5" xfId="10085"/>
    <cellStyle name="Currency 5 4 5 2" xfId="29763"/>
    <cellStyle name="Currency 5 4 6" xfId="16237"/>
    <cellStyle name="Currency 5 4 6 2" xfId="35915"/>
    <cellStyle name="Currency 5 4 7" xfId="41922"/>
    <cellStyle name="Currency 5 4 8" xfId="23595"/>
    <cellStyle name="Currency 5 5" xfId="2334"/>
    <cellStyle name="Currency 5 5 2" xfId="41923"/>
    <cellStyle name="Currency 5 6" xfId="3795"/>
    <cellStyle name="Currency 5 6 2" xfId="5427"/>
    <cellStyle name="Currency 5 6 2 2" xfId="8513"/>
    <cellStyle name="Currency 5 6 2 2 2" xfId="14706"/>
    <cellStyle name="Currency 5 6 2 2 2 2" xfId="34384"/>
    <cellStyle name="Currency 5 6 2 2 3" xfId="20858"/>
    <cellStyle name="Currency 5 6 2 2 3 2" xfId="40536"/>
    <cellStyle name="Currency 5 6 2 2 4" xfId="28220"/>
    <cellStyle name="Currency 5 6 2 3" xfId="11640"/>
    <cellStyle name="Currency 5 6 2 3 2" xfId="31318"/>
    <cellStyle name="Currency 5 6 2 4" xfId="17792"/>
    <cellStyle name="Currency 5 6 2 4 2" xfId="37470"/>
    <cellStyle name="Currency 5 6 2 5" xfId="25154"/>
    <cellStyle name="Currency 5 6 3" xfId="6978"/>
    <cellStyle name="Currency 5 6 3 2" xfId="13172"/>
    <cellStyle name="Currency 5 6 3 2 2" xfId="32850"/>
    <cellStyle name="Currency 5 6 3 3" xfId="19324"/>
    <cellStyle name="Currency 5 6 3 3 2" xfId="39002"/>
    <cellStyle name="Currency 5 6 3 4" xfId="26686"/>
    <cellStyle name="Currency 5 6 4" xfId="10106"/>
    <cellStyle name="Currency 5 6 4 2" xfId="29784"/>
    <cellStyle name="Currency 5 6 5" xfId="16258"/>
    <cellStyle name="Currency 5 6 5 2" xfId="35936"/>
    <cellStyle name="Currency 5 6 6" xfId="23620"/>
    <cellStyle name="Currency 5 7" xfId="4643"/>
    <cellStyle name="Currency 5 7 2" xfId="7747"/>
    <cellStyle name="Currency 5 7 2 2" xfId="13940"/>
    <cellStyle name="Currency 5 7 2 2 2" xfId="33618"/>
    <cellStyle name="Currency 5 7 2 3" xfId="20092"/>
    <cellStyle name="Currency 5 7 2 3 2" xfId="39770"/>
    <cellStyle name="Currency 5 7 2 4" xfId="27454"/>
    <cellStyle name="Currency 5 7 3" xfId="10874"/>
    <cellStyle name="Currency 5 7 3 2" xfId="30552"/>
    <cellStyle name="Currency 5 7 4" xfId="17026"/>
    <cellStyle name="Currency 5 7 4 2" xfId="36704"/>
    <cellStyle name="Currency 5 7 5" xfId="24388"/>
    <cellStyle name="Currency 5 8" xfId="6212"/>
    <cellStyle name="Currency 5 8 2" xfId="12406"/>
    <cellStyle name="Currency 5 8 2 2" xfId="32084"/>
    <cellStyle name="Currency 5 8 3" xfId="18558"/>
    <cellStyle name="Currency 5 8 3 2" xfId="38236"/>
    <cellStyle name="Currency 5 8 4" xfId="25920"/>
    <cellStyle name="Currency 5 9" xfId="9340"/>
    <cellStyle name="Currency 5 9 2" xfId="29018"/>
    <cellStyle name="Currency 50" xfId="2339"/>
    <cellStyle name="Currency 51" xfId="2340"/>
    <cellStyle name="Currency 52" xfId="2341"/>
    <cellStyle name="Currency 53" xfId="2342"/>
    <cellStyle name="Currency 54" xfId="2343"/>
    <cellStyle name="Currency 55" xfId="2344"/>
    <cellStyle name="Currency 56" xfId="2345"/>
    <cellStyle name="Currency 57" xfId="2346"/>
    <cellStyle name="Currency 58" xfId="2347"/>
    <cellStyle name="Currency 59" xfId="2348"/>
    <cellStyle name="Currency 6" xfId="346"/>
    <cellStyle name="Currency 6 2" xfId="2350"/>
    <cellStyle name="Currency 6 2 2" xfId="2351"/>
    <cellStyle name="Currency 6 2 3" xfId="2352"/>
    <cellStyle name="Currency 6 2 4" xfId="41925"/>
    <cellStyle name="Currency 6 3" xfId="2353"/>
    <cellStyle name="Currency 6 3 2" xfId="41926"/>
    <cellStyle name="Currency 6 4" xfId="3768"/>
    <cellStyle name="Currency 6 4 2" xfId="41927"/>
    <cellStyle name="Currency 6 5" xfId="2349"/>
    <cellStyle name="Currency 6 5 2" xfId="41928"/>
    <cellStyle name="Currency 6 6" xfId="22740"/>
    <cellStyle name="Currency 6 7" xfId="41924"/>
    <cellStyle name="Currency 60" xfId="2354"/>
    <cellStyle name="Currency 61" xfId="2355"/>
    <cellStyle name="Currency 62" xfId="2356"/>
    <cellStyle name="Currency 63" xfId="2357"/>
    <cellStyle name="Currency 64" xfId="2358"/>
    <cellStyle name="Currency 65" xfId="2359"/>
    <cellStyle name="Currency 66" xfId="2360"/>
    <cellStyle name="Currency 67" xfId="2361"/>
    <cellStyle name="Currency 68" xfId="2362"/>
    <cellStyle name="Currency 69" xfId="2363"/>
    <cellStyle name="Currency 7" xfId="356"/>
    <cellStyle name="Currency 7 2" xfId="2365"/>
    <cellStyle name="Currency 7 2 2" xfId="2366"/>
    <cellStyle name="Currency 7 2 3" xfId="2367"/>
    <cellStyle name="Currency 7 2 4" xfId="9311"/>
    <cellStyle name="Currency 7 2 4 2" xfId="15483"/>
    <cellStyle name="Currency 7 2 4 2 2" xfId="35161"/>
    <cellStyle name="Currency 7 2 4 3" xfId="21635"/>
    <cellStyle name="Currency 7 2 4 3 2" xfId="41313"/>
    <cellStyle name="Currency 7 2 4 4" xfId="29008"/>
    <cellStyle name="Currency 7 2 5" xfId="41930"/>
    <cellStyle name="Currency 7 3" xfId="2368"/>
    <cellStyle name="Currency 7 3 2" xfId="41931"/>
    <cellStyle name="Currency 7 4" xfId="3775"/>
    <cellStyle name="Currency 7 4 2" xfId="41932"/>
    <cellStyle name="Currency 7 5" xfId="2364"/>
    <cellStyle name="Currency 7 5 2" xfId="41933"/>
    <cellStyle name="Currency 7 6" xfId="9293"/>
    <cellStyle name="Currency 7 6 2" xfId="15474"/>
    <cellStyle name="Currency 7 6 2 2" xfId="35152"/>
    <cellStyle name="Currency 7 6 3" xfId="21626"/>
    <cellStyle name="Currency 7 6 3 2" xfId="41304"/>
    <cellStyle name="Currency 7 6 4" xfId="28992"/>
    <cellStyle name="Currency 7 7" xfId="41929"/>
    <cellStyle name="Currency 70" xfId="2369"/>
    <cellStyle name="Currency 71" xfId="2370"/>
    <cellStyle name="Currency 72" xfId="2371"/>
    <cellStyle name="Currency 73" xfId="2372"/>
    <cellStyle name="Currency 74" xfId="2373"/>
    <cellStyle name="Currency 75" xfId="2374"/>
    <cellStyle name="Currency 76" xfId="2375"/>
    <cellStyle name="Currency 77" xfId="2376"/>
    <cellStyle name="Currency 78" xfId="2377"/>
    <cellStyle name="Currency 79" xfId="2378"/>
    <cellStyle name="Currency 8" xfId="362"/>
    <cellStyle name="Currency 8 2" xfId="2380"/>
    <cellStyle name="Currency 8 2 2" xfId="2381"/>
    <cellStyle name="Currency 8 2 3" xfId="2382"/>
    <cellStyle name="Currency 8 2 4" xfId="41935"/>
    <cellStyle name="Currency 8 3" xfId="2383"/>
    <cellStyle name="Currency 8 3 2" xfId="41936"/>
    <cellStyle name="Currency 8 4" xfId="3781"/>
    <cellStyle name="Currency 8 4 2" xfId="41937"/>
    <cellStyle name="Currency 8 5" xfId="2379"/>
    <cellStyle name="Currency 8 5 2" xfId="41938"/>
    <cellStyle name="Currency 8 6" xfId="9329"/>
    <cellStyle name="Currency 8 7" xfId="41934"/>
    <cellStyle name="Currency 80" xfId="2384"/>
    <cellStyle name="Currency 81" xfId="2385"/>
    <cellStyle name="Currency 82" xfId="2386"/>
    <cellStyle name="Currency 83" xfId="2387"/>
    <cellStyle name="Currency 84" xfId="2388"/>
    <cellStyle name="Currency 85" xfId="2389"/>
    <cellStyle name="Currency 86" xfId="2390"/>
    <cellStyle name="Currency 87" xfId="2391"/>
    <cellStyle name="Currency 88" xfId="2392"/>
    <cellStyle name="Currency 89" xfId="2393"/>
    <cellStyle name="Currency 9" xfId="358"/>
    <cellStyle name="Currency 9 2" xfId="2395"/>
    <cellStyle name="Currency 9 2 2" xfId="2396"/>
    <cellStyle name="Currency 9 2 3" xfId="2397"/>
    <cellStyle name="Currency 9 2 4" xfId="41940"/>
    <cellStyle name="Currency 9 3" xfId="2398"/>
    <cellStyle name="Currency 9 3 2" xfId="41941"/>
    <cellStyle name="Currency 9 4" xfId="3777"/>
    <cellStyle name="Currency 9 4 2" xfId="41942"/>
    <cellStyle name="Currency 9 5" xfId="2394"/>
    <cellStyle name="Currency 9 5 2" xfId="41943"/>
    <cellStyle name="Currency 9 6" xfId="41939"/>
    <cellStyle name="Currency 90" xfId="2399"/>
    <cellStyle name="Currency 91" xfId="2400"/>
    <cellStyle name="Currency 92" xfId="2401"/>
    <cellStyle name="Currency 93" xfId="2402"/>
    <cellStyle name="Currency 94" xfId="2403"/>
    <cellStyle name="Currency 95" xfId="2404"/>
    <cellStyle name="Currency 96" xfId="2405"/>
    <cellStyle name="Currency 97" xfId="2406"/>
    <cellStyle name="Currency 98" xfId="2407"/>
    <cellStyle name="Currency 99" xfId="2408"/>
    <cellStyle name="Currency(+Credit)" xfId="2409"/>
    <cellStyle name="Currency0" xfId="9294"/>
    <cellStyle name="Currency0 2" xfId="28993"/>
    <cellStyle name="Currency0 3" xfId="21811"/>
    <cellStyle name="Date" xfId="2410"/>
    <cellStyle name="Date 2" xfId="9295"/>
    <cellStyle name="Date 3" xfId="22999"/>
    <cellStyle name="Date 4" xfId="21812"/>
    <cellStyle name="exceptions" xfId="2411"/>
    <cellStyle name="Explanatory Text" xfId="21658" builtinId="53" customBuiltin="1"/>
    <cellStyle name="Explanatory Text 2" xfId="2412"/>
    <cellStyle name="Explanatory Text 3" xfId="2413"/>
    <cellStyle name="Explanatory Text 4" xfId="2414"/>
    <cellStyle name="Explanatory Text 5" xfId="2415"/>
    <cellStyle name="Fixed" xfId="9296"/>
    <cellStyle name="Fixed 2" xfId="28994"/>
    <cellStyle name="Fixed 3" xfId="21813"/>
    <cellStyle name="Followed Hyperlink" xfId="4" builtinId="9" customBuiltin="1"/>
    <cellStyle name="Followed Hyperlink 2" xfId="5"/>
    <cellStyle name="Followed Hyperlink 2 2" xfId="31"/>
    <cellStyle name="Followed Hyperlink 2 3" xfId="99"/>
    <cellStyle name="Followed Hyperlink 3" xfId="98"/>
    <cellStyle name="FRxAmtStyle" xfId="2416"/>
    <cellStyle name="FRxAmtStyle 2" xfId="2417"/>
    <cellStyle name="FRxAmtStyle 2 10" xfId="2418"/>
    <cellStyle name="FRxAmtStyle 2 2" xfId="2419"/>
    <cellStyle name="FRxAmtStyle 2 3" xfId="2420"/>
    <cellStyle name="FRxAmtStyle 3" xfId="2421"/>
    <cellStyle name="FRxAmtStyle 4" xfId="2422"/>
    <cellStyle name="FRxAmtStyle 5" xfId="2423"/>
    <cellStyle name="FRxCurrStyle" xfId="2424"/>
    <cellStyle name="FRxCurrStyle 2" xfId="2425"/>
    <cellStyle name="FRxPcntStyle" xfId="2426"/>
    <cellStyle name="Good" xfId="21649" builtinId="26" customBuiltin="1"/>
    <cellStyle name="Good 2" xfId="2427"/>
    <cellStyle name="Good 3" xfId="2428"/>
    <cellStyle name="Good 4" xfId="2429"/>
    <cellStyle name="Good 5" xfId="2430"/>
    <cellStyle name="Heading 1" xfId="21645" builtinId="16" customBuiltin="1"/>
    <cellStyle name="Heading 1 2" xfId="2431"/>
    <cellStyle name="Heading 1 3" xfId="2432"/>
    <cellStyle name="Heading 1 4" xfId="2433"/>
    <cellStyle name="Heading 1 5" xfId="2434"/>
    <cellStyle name="Heading 1 6" xfId="2435"/>
    <cellStyle name="Heading 2" xfId="21646" builtinId="17" customBuiltin="1"/>
    <cellStyle name="Heading 2 2" xfId="2436"/>
    <cellStyle name="Heading 2 3" xfId="2437"/>
    <cellStyle name="Heading 2 4" xfId="2438"/>
    <cellStyle name="Heading 2 5" xfId="2439"/>
    <cellStyle name="Heading 2 6" xfId="2440"/>
    <cellStyle name="Heading 3" xfId="21647" builtinId="18" customBuiltin="1"/>
    <cellStyle name="Heading 3 10" xfId="9334"/>
    <cellStyle name="Heading 3 11" xfId="216"/>
    <cellStyle name="Heading 3 2" xfId="339"/>
    <cellStyle name="Heading 3 3" xfId="344"/>
    <cellStyle name="Heading 3 3 2" xfId="3766"/>
    <cellStyle name="Heading 3 3 3" xfId="2441"/>
    <cellStyle name="Heading 3 4" xfId="2442"/>
    <cellStyle name="Heading 3 5" xfId="2443"/>
    <cellStyle name="Heading 3 6" xfId="2444"/>
    <cellStyle name="Heading 3 7" xfId="3680"/>
    <cellStyle name="Heading 3 8" xfId="3801"/>
    <cellStyle name="Heading 3 9" xfId="6206"/>
    <cellStyle name="Heading 4" xfId="21648" builtinId="19" customBuiltin="1"/>
    <cellStyle name="Heading 4 2" xfId="2445"/>
    <cellStyle name="Heading 4 3" xfId="2446"/>
    <cellStyle name="Heading 4 4" xfId="2447"/>
    <cellStyle name="Heading 4 5" xfId="2448"/>
    <cellStyle name="Heading 4 6" xfId="2449"/>
    <cellStyle name="Heading No Underline" xfId="2450"/>
    <cellStyle name="Heading No Underline 2" xfId="2451"/>
    <cellStyle name="Heading No Underline 3" xfId="2452"/>
    <cellStyle name="Heading With Underline" xfId="2453"/>
    <cellStyle name="Heading With Underline 2" xfId="2454"/>
    <cellStyle name="Heading With Underline 3" xfId="2455"/>
    <cellStyle name="HNU" xfId="2456"/>
    <cellStyle name="Hyperlink" xfId="3" builtinId="8" customBuiltin="1"/>
    <cellStyle name="Hyperlink 2" xfId="6"/>
    <cellStyle name="Hyperlink 2 2" xfId="32"/>
    <cellStyle name="Hyperlink 2 2 2" xfId="278"/>
    <cellStyle name="Hyperlink 2 3" xfId="100"/>
    <cellStyle name="Hyperlink 2 3 2" xfId="3727"/>
    <cellStyle name="Hyperlink 2 4" xfId="2457"/>
    <cellStyle name="Hyperlink 2 5" xfId="277"/>
    <cellStyle name="Hyperlink 2 6" xfId="41944"/>
    <cellStyle name="Hyperlink 3" xfId="33"/>
    <cellStyle name="Hyperlink 3 2" xfId="279"/>
    <cellStyle name="Hyperlink 4" xfId="222"/>
    <cellStyle name="Input" xfId="21652" builtinId="20" customBuiltin="1"/>
    <cellStyle name="Input 2" xfId="2458"/>
    <cellStyle name="Input 3" xfId="2459"/>
    <cellStyle name="Input 4" xfId="2460"/>
    <cellStyle name="Input 5" xfId="2461"/>
    <cellStyle name="Input 5 2" xfId="4601"/>
    <cellStyle name="Input 5 2 2" xfId="6198"/>
    <cellStyle name="Input 5 3" xfId="4600"/>
    <cellStyle name="Input 5 3 2" xfId="5282"/>
    <cellStyle name="Input 5 4" xfId="4638"/>
    <cellStyle name="Input 5 4 2" xfId="5392"/>
    <cellStyle name="Input 5 5" xfId="4599"/>
    <cellStyle name="Input 5 5 2" xfId="6199"/>
    <cellStyle name="Input 5 6" xfId="6202"/>
    <cellStyle name="Input Cells_EXTERNAL" xfId="21814"/>
    <cellStyle name="input highlight" xfId="2462"/>
    <cellStyle name="input highlight 2" xfId="2463"/>
    <cellStyle name="LineItemPrompt" xfId="280"/>
    <cellStyle name="LineItemValue" xfId="281"/>
    <cellStyle name="Linked Cell" xfId="21655" builtinId="24" customBuiltin="1"/>
    <cellStyle name="Linked Cell 2" xfId="2464"/>
    <cellStyle name="Linked Cell 3" xfId="2465"/>
    <cellStyle name="Linked Cell 4" xfId="2466"/>
    <cellStyle name="Linked Cell 5" xfId="2467"/>
    <cellStyle name="Manual-Input" xfId="9"/>
    <cellStyle name="MonthHeader" xfId="341"/>
    <cellStyle name="Neutral" xfId="21651" builtinId="28" customBuiltin="1"/>
    <cellStyle name="Neutral 2" xfId="2468"/>
    <cellStyle name="Neutral 3" xfId="2469"/>
    <cellStyle name="Neutral 4" xfId="2470"/>
    <cellStyle name="Neutral 5" xfId="2471"/>
    <cellStyle name="Normal" xfId="0" builtinId="0"/>
    <cellStyle name="Normal 10" xfId="17"/>
    <cellStyle name="Normal 10 10" xfId="9307"/>
    <cellStyle name="Normal 10 11" xfId="283"/>
    <cellStyle name="Normal 10 12" xfId="22685"/>
    <cellStyle name="Normal 10 13" xfId="21767"/>
    <cellStyle name="Normal 10 14" xfId="41945"/>
    <cellStyle name="Normal 10 15" xfId="21686"/>
    <cellStyle name="Normal 10 16" xfId="42073"/>
    <cellStyle name="Normal 10 2" xfId="34"/>
    <cellStyle name="Normal 10 2 2" xfId="109"/>
    <cellStyle name="Normal 10 2 2 2" xfId="202"/>
    <cellStyle name="Normal 10 2 2 2 2" xfId="2474"/>
    <cellStyle name="Normal 10 2 2 3" xfId="2473"/>
    <cellStyle name="Normal 10 2 2 4" xfId="22391"/>
    <cellStyle name="Normal 10 2 2 5" xfId="41947"/>
    <cellStyle name="Normal 10 2 2 6" xfId="21738"/>
    <cellStyle name="Normal 10 2 3" xfId="127"/>
    <cellStyle name="Normal 10 2 3 2" xfId="177"/>
    <cellStyle name="Normal 10 2 3 2 2" xfId="23001"/>
    <cellStyle name="Normal 10 2 3 3" xfId="2475"/>
    <cellStyle name="Normal 10 2 3 3 2" xfId="41948"/>
    <cellStyle name="Normal 10 2 3 4" xfId="21713"/>
    <cellStyle name="Normal 10 2 4" xfId="164"/>
    <cellStyle name="Normal 10 2 4 2" xfId="23000"/>
    <cellStyle name="Normal 10 2 5" xfId="2472"/>
    <cellStyle name="Normal 10 2 5 2" xfId="41548"/>
    <cellStyle name="Normal 10 2 6" xfId="41575"/>
    <cellStyle name="Normal 10 2 7" xfId="21775"/>
    <cellStyle name="Normal 10 2 8" xfId="41946"/>
    <cellStyle name="Normal 10 2 9" xfId="21700"/>
    <cellStyle name="Normal 10 3" xfId="102"/>
    <cellStyle name="Normal 10 3 10" xfId="15703"/>
    <cellStyle name="Normal 10 3 10 2" xfId="35381"/>
    <cellStyle name="Normal 10 3 11" xfId="2476"/>
    <cellStyle name="Normal 10 3 11 2" xfId="23002"/>
    <cellStyle name="Normal 10 3 12" xfId="41949"/>
    <cellStyle name="Normal 10 3 13" xfId="21699"/>
    <cellStyle name="Normal 10 3 2" xfId="139"/>
    <cellStyle name="Normal 10 3 2 10" xfId="2477"/>
    <cellStyle name="Normal 10 3 2 10 2" xfId="23003"/>
    <cellStyle name="Normal 10 3 2 11" xfId="21737"/>
    <cellStyle name="Normal 10 3 2 2" xfId="201"/>
    <cellStyle name="Normal 10 3 2 2 2" xfId="2479"/>
    <cellStyle name="Normal 10 3 2 2 2 2" xfId="4019"/>
    <cellStyle name="Normal 10 3 2 2 2 2 2" xfId="5644"/>
    <cellStyle name="Normal 10 3 2 2 2 2 2 2" xfId="8730"/>
    <cellStyle name="Normal 10 3 2 2 2 2 2 2 2" xfId="14923"/>
    <cellStyle name="Normal 10 3 2 2 2 2 2 2 2 2" xfId="34601"/>
    <cellStyle name="Normal 10 3 2 2 2 2 2 2 3" xfId="21075"/>
    <cellStyle name="Normal 10 3 2 2 2 2 2 2 3 2" xfId="40753"/>
    <cellStyle name="Normal 10 3 2 2 2 2 2 2 4" xfId="28437"/>
    <cellStyle name="Normal 10 3 2 2 2 2 2 3" xfId="11857"/>
    <cellStyle name="Normal 10 3 2 2 2 2 2 3 2" xfId="31535"/>
    <cellStyle name="Normal 10 3 2 2 2 2 2 4" xfId="18009"/>
    <cellStyle name="Normal 10 3 2 2 2 2 2 4 2" xfId="37687"/>
    <cellStyle name="Normal 10 3 2 2 2 2 2 5" xfId="25371"/>
    <cellStyle name="Normal 10 3 2 2 2 2 3" xfId="7195"/>
    <cellStyle name="Normal 10 3 2 2 2 2 3 2" xfId="13389"/>
    <cellStyle name="Normal 10 3 2 2 2 2 3 2 2" xfId="33067"/>
    <cellStyle name="Normal 10 3 2 2 2 2 3 3" xfId="19541"/>
    <cellStyle name="Normal 10 3 2 2 2 2 3 3 2" xfId="39219"/>
    <cellStyle name="Normal 10 3 2 2 2 2 3 4" xfId="26903"/>
    <cellStyle name="Normal 10 3 2 2 2 2 4" xfId="10323"/>
    <cellStyle name="Normal 10 3 2 2 2 2 4 2" xfId="30001"/>
    <cellStyle name="Normal 10 3 2 2 2 2 5" xfId="16475"/>
    <cellStyle name="Normal 10 3 2 2 2 2 5 2" xfId="36153"/>
    <cellStyle name="Normal 10 3 2 2 2 2 6" xfId="23837"/>
    <cellStyle name="Normal 10 3 2 2 2 3" xfId="4861"/>
    <cellStyle name="Normal 10 3 2 2 2 3 2" xfId="7961"/>
    <cellStyle name="Normal 10 3 2 2 2 3 2 2" xfId="14154"/>
    <cellStyle name="Normal 10 3 2 2 2 3 2 2 2" xfId="33832"/>
    <cellStyle name="Normal 10 3 2 2 2 3 2 3" xfId="20306"/>
    <cellStyle name="Normal 10 3 2 2 2 3 2 3 2" xfId="39984"/>
    <cellStyle name="Normal 10 3 2 2 2 3 2 4" xfId="27668"/>
    <cellStyle name="Normal 10 3 2 2 2 3 3" xfId="11088"/>
    <cellStyle name="Normal 10 3 2 2 2 3 3 2" xfId="30766"/>
    <cellStyle name="Normal 10 3 2 2 2 3 4" xfId="17240"/>
    <cellStyle name="Normal 10 3 2 2 2 3 4 2" xfId="36918"/>
    <cellStyle name="Normal 10 3 2 2 2 3 5" xfId="24602"/>
    <cellStyle name="Normal 10 3 2 2 2 4" xfId="6426"/>
    <cellStyle name="Normal 10 3 2 2 2 4 2" xfId="12620"/>
    <cellStyle name="Normal 10 3 2 2 2 4 2 2" xfId="32298"/>
    <cellStyle name="Normal 10 3 2 2 2 4 3" xfId="18772"/>
    <cellStyle name="Normal 10 3 2 2 2 4 3 2" xfId="38450"/>
    <cellStyle name="Normal 10 3 2 2 2 4 4" xfId="26134"/>
    <cellStyle name="Normal 10 3 2 2 2 5" xfId="9554"/>
    <cellStyle name="Normal 10 3 2 2 2 5 2" xfId="29232"/>
    <cellStyle name="Normal 10 3 2 2 2 6" xfId="15706"/>
    <cellStyle name="Normal 10 3 2 2 2 6 2" xfId="35384"/>
    <cellStyle name="Normal 10 3 2 2 2 7" xfId="23005"/>
    <cellStyle name="Normal 10 3 2 2 3" xfId="4018"/>
    <cellStyle name="Normal 10 3 2 2 3 2" xfId="5643"/>
    <cellStyle name="Normal 10 3 2 2 3 2 2" xfId="8729"/>
    <cellStyle name="Normal 10 3 2 2 3 2 2 2" xfId="14922"/>
    <cellStyle name="Normal 10 3 2 2 3 2 2 2 2" xfId="34600"/>
    <cellStyle name="Normal 10 3 2 2 3 2 2 3" xfId="21074"/>
    <cellStyle name="Normal 10 3 2 2 3 2 2 3 2" xfId="40752"/>
    <cellStyle name="Normal 10 3 2 2 3 2 2 4" xfId="28436"/>
    <cellStyle name="Normal 10 3 2 2 3 2 3" xfId="11856"/>
    <cellStyle name="Normal 10 3 2 2 3 2 3 2" xfId="31534"/>
    <cellStyle name="Normal 10 3 2 2 3 2 4" xfId="18008"/>
    <cellStyle name="Normal 10 3 2 2 3 2 4 2" xfId="37686"/>
    <cellStyle name="Normal 10 3 2 2 3 2 5" xfId="25370"/>
    <cellStyle name="Normal 10 3 2 2 3 3" xfId="7194"/>
    <cellStyle name="Normal 10 3 2 2 3 3 2" xfId="13388"/>
    <cellStyle name="Normal 10 3 2 2 3 3 2 2" xfId="33066"/>
    <cellStyle name="Normal 10 3 2 2 3 3 3" xfId="19540"/>
    <cellStyle name="Normal 10 3 2 2 3 3 3 2" xfId="39218"/>
    <cellStyle name="Normal 10 3 2 2 3 3 4" xfId="26902"/>
    <cellStyle name="Normal 10 3 2 2 3 4" xfId="10322"/>
    <cellStyle name="Normal 10 3 2 2 3 4 2" xfId="30000"/>
    <cellStyle name="Normal 10 3 2 2 3 5" xfId="16474"/>
    <cellStyle name="Normal 10 3 2 2 3 5 2" xfId="36152"/>
    <cellStyle name="Normal 10 3 2 2 3 6" xfId="23836"/>
    <cellStyle name="Normal 10 3 2 2 4" xfId="4860"/>
    <cellStyle name="Normal 10 3 2 2 4 2" xfId="7960"/>
    <cellStyle name="Normal 10 3 2 2 4 2 2" xfId="14153"/>
    <cellStyle name="Normal 10 3 2 2 4 2 2 2" xfId="33831"/>
    <cellStyle name="Normal 10 3 2 2 4 2 3" xfId="20305"/>
    <cellStyle name="Normal 10 3 2 2 4 2 3 2" xfId="39983"/>
    <cellStyle name="Normal 10 3 2 2 4 2 4" xfId="27667"/>
    <cellStyle name="Normal 10 3 2 2 4 3" xfId="11087"/>
    <cellStyle name="Normal 10 3 2 2 4 3 2" xfId="30765"/>
    <cellStyle name="Normal 10 3 2 2 4 4" xfId="17239"/>
    <cellStyle name="Normal 10 3 2 2 4 4 2" xfId="36917"/>
    <cellStyle name="Normal 10 3 2 2 4 5" xfId="24601"/>
    <cellStyle name="Normal 10 3 2 2 5" xfId="6425"/>
    <cellStyle name="Normal 10 3 2 2 5 2" xfId="12619"/>
    <cellStyle name="Normal 10 3 2 2 5 2 2" xfId="32297"/>
    <cellStyle name="Normal 10 3 2 2 5 3" xfId="18771"/>
    <cellStyle name="Normal 10 3 2 2 5 3 2" xfId="38449"/>
    <cellStyle name="Normal 10 3 2 2 5 4" xfId="26133"/>
    <cellStyle name="Normal 10 3 2 2 6" xfId="9553"/>
    <cellStyle name="Normal 10 3 2 2 6 2" xfId="29231"/>
    <cellStyle name="Normal 10 3 2 2 7" xfId="15705"/>
    <cellStyle name="Normal 10 3 2 2 7 2" xfId="35383"/>
    <cellStyle name="Normal 10 3 2 2 8" xfId="2478"/>
    <cellStyle name="Normal 10 3 2 2 9" xfId="23004"/>
    <cellStyle name="Normal 10 3 2 3" xfId="2480"/>
    <cellStyle name="Normal 10 3 2 3 2" xfId="2481"/>
    <cellStyle name="Normal 10 3 2 3 2 2" xfId="4021"/>
    <cellStyle name="Normal 10 3 2 3 2 2 2" xfId="5646"/>
    <cellStyle name="Normal 10 3 2 3 2 2 2 2" xfId="8732"/>
    <cellStyle name="Normal 10 3 2 3 2 2 2 2 2" xfId="14925"/>
    <cellStyle name="Normal 10 3 2 3 2 2 2 2 2 2" xfId="34603"/>
    <cellStyle name="Normal 10 3 2 3 2 2 2 2 3" xfId="21077"/>
    <cellStyle name="Normal 10 3 2 3 2 2 2 2 3 2" xfId="40755"/>
    <cellStyle name="Normal 10 3 2 3 2 2 2 2 4" xfId="28439"/>
    <cellStyle name="Normal 10 3 2 3 2 2 2 3" xfId="11859"/>
    <cellStyle name="Normal 10 3 2 3 2 2 2 3 2" xfId="31537"/>
    <cellStyle name="Normal 10 3 2 3 2 2 2 4" xfId="18011"/>
    <cellStyle name="Normal 10 3 2 3 2 2 2 4 2" xfId="37689"/>
    <cellStyle name="Normal 10 3 2 3 2 2 2 5" xfId="25373"/>
    <cellStyle name="Normal 10 3 2 3 2 2 3" xfId="7197"/>
    <cellStyle name="Normal 10 3 2 3 2 2 3 2" xfId="13391"/>
    <cellStyle name="Normal 10 3 2 3 2 2 3 2 2" xfId="33069"/>
    <cellStyle name="Normal 10 3 2 3 2 2 3 3" xfId="19543"/>
    <cellStyle name="Normal 10 3 2 3 2 2 3 3 2" xfId="39221"/>
    <cellStyle name="Normal 10 3 2 3 2 2 3 4" xfId="26905"/>
    <cellStyle name="Normal 10 3 2 3 2 2 4" xfId="10325"/>
    <cellStyle name="Normal 10 3 2 3 2 2 4 2" xfId="30003"/>
    <cellStyle name="Normal 10 3 2 3 2 2 5" xfId="16477"/>
    <cellStyle name="Normal 10 3 2 3 2 2 5 2" xfId="36155"/>
    <cellStyle name="Normal 10 3 2 3 2 2 6" xfId="23839"/>
    <cellStyle name="Normal 10 3 2 3 2 3" xfId="4863"/>
    <cellStyle name="Normal 10 3 2 3 2 3 2" xfId="7963"/>
    <cellStyle name="Normal 10 3 2 3 2 3 2 2" xfId="14156"/>
    <cellStyle name="Normal 10 3 2 3 2 3 2 2 2" xfId="33834"/>
    <cellStyle name="Normal 10 3 2 3 2 3 2 3" xfId="20308"/>
    <cellStyle name="Normal 10 3 2 3 2 3 2 3 2" xfId="39986"/>
    <cellStyle name="Normal 10 3 2 3 2 3 2 4" xfId="27670"/>
    <cellStyle name="Normal 10 3 2 3 2 3 3" xfId="11090"/>
    <cellStyle name="Normal 10 3 2 3 2 3 3 2" xfId="30768"/>
    <cellStyle name="Normal 10 3 2 3 2 3 4" xfId="17242"/>
    <cellStyle name="Normal 10 3 2 3 2 3 4 2" xfId="36920"/>
    <cellStyle name="Normal 10 3 2 3 2 3 5" xfId="24604"/>
    <cellStyle name="Normal 10 3 2 3 2 4" xfId="6428"/>
    <cellStyle name="Normal 10 3 2 3 2 4 2" xfId="12622"/>
    <cellStyle name="Normal 10 3 2 3 2 4 2 2" xfId="32300"/>
    <cellStyle name="Normal 10 3 2 3 2 4 3" xfId="18774"/>
    <cellStyle name="Normal 10 3 2 3 2 4 3 2" xfId="38452"/>
    <cellStyle name="Normal 10 3 2 3 2 4 4" xfId="26136"/>
    <cellStyle name="Normal 10 3 2 3 2 5" xfId="9556"/>
    <cellStyle name="Normal 10 3 2 3 2 5 2" xfId="29234"/>
    <cellStyle name="Normal 10 3 2 3 2 6" xfId="15708"/>
    <cellStyle name="Normal 10 3 2 3 2 6 2" xfId="35386"/>
    <cellStyle name="Normal 10 3 2 3 2 7" xfId="23007"/>
    <cellStyle name="Normal 10 3 2 3 3" xfId="4020"/>
    <cellStyle name="Normal 10 3 2 3 3 2" xfId="5645"/>
    <cellStyle name="Normal 10 3 2 3 3 2 2" xfId="8731"/>
    <cellStyle name="Normal 10 3 2 3 3 2 2 2" xfId="14924"/>
    <cellStyle name="Normal 10 3 2 3 3 2 2 2 2" xfId="34602"/>
    <cellStyle name="Normal 10 3 2 3 3 2 2 3" xfId="21076"/>
    <cellStyle name="Normal 10 3 2 3 3 2 2 3 2" xfId="40754"/>
    <cellStyle name="Normal 10 3 2 3 3 2 2 4" xfId="28438"/>
    <cellStyle name="Normal 10 3 2 3 3 2 3" xfId="11858"/>
    <cellStyle name="Normal 10 3 2 3 3 2 3 2" xfId="31536"/>
    <cellStyle name="Normal 10 3 2 3 3 2 4" xfId="18010"/>
    <cellStyle name="Normal 10 3 2 3 3 2 4 2" xfId="37688"/>
    <cellStyle name="Normal 10 3 2 3 3 2 5" xfId="25372"/>
    <cellStyle name="Normal 10 3 2 3 3 3" xfId="7196"/>
    <cellStyle name="Normal 10 3 2 3 3 3 2" xfId="13390"/>
    <cellStyle name="Normal 10 3 2 3 3 3 2 2" xfId="33068"/>
    <cellStyle name="Normal 10 3 2 3 3 3 3" xfId="19542"/>
    <cellStyle name="Normal 10 3 2 3 3 3 3 2" xfId="39220"/>
    <cellStyle name="Normal 10 3 2 3 3 3 4" xfId="26904"/>
    <cellStyle name="Normal 10 3 2 3 3 4" xfId="10324"/>
    <cellStyle name="Normal 10 3 2 3 3 4 2" xfId="30002"/>
    <cellStyle name="Normal 10 3 2 3 3 5" xfId="16476"/>
    <cellStyle name="Normal 10 3 2 3 3 5 2" xfId="36154"/>
    <cellStyle name="Normal 10 3 2 3 3 6" xfId="23838"/>
    <cellStyle name="Normal 10 3 2 3 4" xfId="4862"/>
    <cellStyle name="Normal 10 3 2 3 4 2" xfId="7962"/>
    <cellStyle name="Normal 10 3 2 3 4 2 2" xfId="14155"/>
    <cellStyle name="Normal 10 3 2 3 4 2 2 2" xfId="33833"/>
    <cellStyle name="Normal 10 3 2 3 4 2 3" xfId="20307"/>
    <cellStyle name="Normal 10 3 2 3 4 2 3 2" xfId="39985"/>
    <cellStyle name="Normal 10 3 2 3 4 2 4" xfId="27669"/>
    <cellStyle name="Normal 10 3 2 3 4 3" xfId="11089"/>
    <cellStyle name="Normal 10 3 2 3 4 3 2" xfId="30767"/>
    <cellStyle name="Normal 10 3 2 3 4 4" xfId="17241"/>
    <cellStyle name="Normal 10 3 2 3 4 4 2" xfId="36919"/>
    <cellStyle name="Normal 10 3 2 3 4 5" xfId="24603"/>
    <cellStyle name="Normal 10 3 2 3 5" xfId="6427"/>
    <cellStyle name="Normal 10 3 2 3 5 2" xfId="12621"/>
    <cellStyle name="Normal 10 3 2 3 5 2 2" xfId="32299"/>
    <cellStyle name="Normal 10 3 2 3 5 3" xfId="18773"/>
    <cellStyle name="Normal 10 3 2 3 5 3 2" xfId="38451"/>
    <cellStyle name="Normal 10 3 2 3 5 4" xfId="26135"/>
    <cellStyle name="Normal 10 3 2 3 6" xfId="9555"/>
    <cellStyle name="Normal 10 3 2 3 6 2" xfId="29233"/>
    <cellStyle name="Normal 10 3 2 3 7" xfId="15707"/>
    <cellStyle name="Normal 10 3 2 3 7 2" xfId="35385"/>
    <cellStyle name="Normal 10 3 2 3 8" xfId="23006"/>
    <cellStyle name="Normal 10 3 2 4" xfId="2482"/>
    <cellStyle name="Normal 10 3 2 4 2" xfId="4022"/>
    <cellStyle name="Normal 10 3 2 4 2 2" xfId="5647"/>
    <cellStyle name="Normal 10 3 2 4 2 2 2" xfId="8733"/>
    <cellStyle name="Normal 10 3 2 4 2 2 2 2" xfId="14926"/>
    <cellStyle name="Normal 10 3 2 4 2 2 2 2 2" xfId="34604"/>
    <cellStyle name="Normal 10 3 2 4 2 2 2 3" xfId="21078"/>
    <cellStyle name="Normal 10 3 2 4 2 2 2 3 2" xfId="40756"/>
    <cellStyle name="Normal 10 3 2 4 2 2 2 4" xfId="28440"/>
    <cellStyle name="Normal 10 3 2 4 2 2 3" xfId="11860"/>
    <cellStyle name="Normal 10 3 2 4 2 2 3 2" xfId="31538"/>
    <cellStyle name="Normal 10 3 2 4 2 2 4" xfId="18012"/>
    <cellStyle name="Normal 10 3 2 4 2 2 4 2" xfId="37690"/>
    <cellStyle name="Normal 10 3 2 4 2 2 5" xfId="25374"/>
    <cellStyle name="Normal 10 3 2 4 2 3" xfId="7198"/>
    <cellStyle name="Normal 10 3 2 4 2 3 2" xfId="13392"/>
    <cellStyle name="Normal 10 3 2 4 2 3 2 2" xfId="33070"/>
    <cellStyle name="Normal 10 3 2 4 2 3 3" xfId="19544"/>
    <cellStyle name="Normal 10 3 2 4 2 3 3 2" xfId="39222"/>
    <cellStyle name="Normal 10 3 2 4 2 3 4" xfId="26906"/>
    <cellStyle name="Normal 10 3 2 4 2 4" xfId="10326"/>
    <cellStyle name="Normal 10 3 2 4 2 4 2" xfId="30004"/>
    <cellStyle name="Normal 10 3 2 4 2 5" xfId="16478"/>
    <cellStyle name="Normal 10 3 2 4 2 5 2" xfId="36156"/>
    <cellStyle name="Normal 10 3 2 4 2 6" xfId="23840"/>
    <cellStyle name="Normal 10 3 2 4 3" xfId="4864"/>
    <cellStyle name="Normal 10 3 2 4 3 2" xfId="7964"/>
    <cellStyle name="Normal 10 3 2 4 3 2 2" xfId="14157"/>
    <cellStyle name="Normal 10 3 2 4 3 2 2 2" xfId="33835"/>
    <cellStyle name="Normal 10 3 2 4 3 2 3" xfId="20309"/>
    <cellStyle name="Normal 10 3 2 4 3 2 3 2" xfId="39987"/>
    <cellStyle name="Normal 10 3 2 4 3 2 4" xfId="27671"/>
    <cellStyle name="Normal 10 3 2 4 3 3" xfId="11091"/>
    <cellStyle name="Normal 10 3 2 4 3 3 2" xfId="30769"/>
    <cellStyle name="Normal 10 3 2 4 3 4" xfId="17243"/>
    <cellStyle name="Normal 10 3 2 4 3 4 2" xfId="36921"/>
    <cellStyle name="Normal 10 3 2 4 3 5" xfId="24605"/>
    <cellStyle name="Normal 10 3 2 4 4" xfId="6429"/>
    <cellStyle name="Normal 10 3 2 4 4 2" xfId="12623"/>
    <cellStyle name="Normal 10 3 2 4 4 2 2" xfId="32301"/>
    <cellStyle name="Normal 10 3 2 4 4 3" xfId="18775"/>
    <cellStyle name="Normal 10 3 2 4 4 3 2" xfId="38453"/>
    <cellStyle name="Normal 10 3 2 4 4 4" xfId="26137"/>
    <cellStyle name="Normal 10 3 2 4 5" xfId="9557"/>
    <cellStyle name="Normal 10 3 2 4 5 2" xfId="29235"/>
    <cellStyle name="Normal 10 3 2 4 6" xfId="15709"/>
    <cellStyle name="Normal 10 3 2 4 6 2" xfId="35387"/>
    <cellStyle name="Normal 10 3 2 4 7" xfId="23008"/>
    <cellStyle name="Normal 10 3 2 5" xfId="4017"/>
    <cellStyle name="Normal 10 3 2 5 2" xfId="5642"/>
    <cellStyle name="Normal 10 3 2 5 2 2" xfId="8728"/>
    <cellStyle name="Normal 10 3 2 5 2 2 2" xfId="14921"/>
    <cellStyle name="Normal 10 3 2 5 2 2 2 2" xfId="34599"/>
    <cellStyle name="Normal 10 3 2 5 2 2 3" xfId="21073"/>
    <cellStyle name="Normal 10 3 2 5 2 2 3 2" xfId="40751"/>
    <cellStyle name="Normal 10 3 2 5 2 2 4" xfId="28435"/>
    <cellStyle name="Normal 10 3 2 5 2 3" xfId="11855"/>
    <cellStyle name="Normal 10 3 2 5 2 3 2" xfId="31533"/>
    <cellStyle name="Normal 10 3 2 5 2 4" xfId="18007"/>
    <cellStyle name="Normal 10 3 2 5 2 4 2" xfId="37685"/>
    <cellStyle name="Normal 10 3 2 5 2 5" xfId="25369"/>
    <cellStyle name="Normal 10 3 2 5 3" xfId="7193"/>
    <cellStyle name="Normal 10 3 2 5 3 2" xfId="13387"/>
    <cellStyle name="Normal 10 3 2 5 3 2 2" xfId="33065"/>
    <cellStyle name="Normal 10 3 2 5 3 3" xfId="19539"/>
    <cellStyle name="Normal 10 3 2 5 3 3 2" xfId="39217"/>
    <cellStyle name="Normal 10 3 2 5 3 4" xfId="26901"/>
    <cellStyle name="Normal 10 3 2 5 4" xfId="10321"/>
    <cellStyle name="Normal 10 3 2 5 4 2" xfId="29999"/>
    <cellStyle name="Normal 10 3 2 5 5" xfId="16473"/>
    <cellStyle name="Normal 10 3 2 5 5 2" xfId="36151"/>
    <cellStyle name="Normal 10 3 2 5 6" xfId="23835"/>
    <cellStyle name="Normal 10 3 2 6" xfId="4859"/>
    <cellStyle name="Normal 10 3 2 6 2" xfId="7959"/>
    <cellStyle name="Normal 10 3 2 6 2 2" xfId="14152"/>
    <cellStyle name="Normal 10 3 2 6 2 2 2" xfId="33830"/>
    <cellStyle name="Normal 10 3 2 6 2 3" xfId="20304"/>
    <cellStyle name="Normal 10 3 2 6 2 3 2" xfId="39982"/>
    <cellStyle name="Normal 10 3 2 6 2 4" xfId="27666"/>
    <cellStyle name="Normal 10 3 2 6 3" xfId="11086"/>
    <cellStyle name="Normal 10 3 2 6 3 2" xfId="30764"/>
    <cellStyle name="Normal 10 3 2 6 4" xfId="17238"/>
    <cellStyle name="Normal 10 3 2 6 4 2" xfId="36916"/>
    <cellStyle name="Normal 10 3 2 6 5" xfId="24600"/>
    <cellStyle name="Normal 10 3 2 7" xfId="6424"/>
    <cellStyle name="Normal 10 3 2 7 2" xfId="12618"/>
    <cellStyle name="Normal 10 3 2 7 2 2" xfId="32296"/>
    <cellStyle name="Normal 10 3 2 7 3" xfId="18770"/>
    <cellStyle name="Normal 10 3 2 7 3 2" xfId="38448"/>
    <cellStyle name="Normal 10 3 2 7 4" xfId="26132"/>
    <cellStyle name="Normal 10 3 2 8" xfId="9552"/>
    <cellStyle name="Normal 10 3 2 8 2" xfId="29230"/>
    <cellStyle name="Normal 10 3 2 9" xfId="15704"/>
    <cellStyle name="Normal 10 3 2 9 2" xfId="35382"/>
    <cellStyle name="Normal 10 3 3" xfId="163"/>
    <cellStyle name="Normal 10 3 3 2" xfId="2484"/>
    <cellStyle name="Normal 10 3 3 2 2" xfId="4024"/>
    <cellStyle name="Normal 10 3 3 2 2 2" xfId="5649"/>
    <cellStyle name="Normal 10 3 3 2 2 2 2" xfId="8735"/>
    <cellStyle name="Normal 10 3 3 2 2 2 2 2" xfId="14928"/>
    <cellStyle name="Normal 10 3 3 2 2 2 2 2 2" xfId="34606"/>
    <cellStyle name="Normal 10 3 3 2 2 2 2 3" xfId="21080"/>
    <cellStyle name="Normal 10 3 3 2 2 2 2 3 2" xfId="40758"/>
    <cellStyle name="Normal 10 3 3 2 2 2 2 4" xfId="28442"/>
    <cellStyle name="Normal 10 3 3 2 2 2 3" xfId="11862"/>
    <cellStyle name="Normal 10 3 3 2 2 2 3 2" xfId="31540"/>
    <cellStyle name="Normal 10 3 3 2 2 2 4" xfId="18014"/>
    <cellStyle name="Normal 10 3 3 2 2 2 4 2" xfId="37692"/>
    <cellStyle name="Normal 10 3 3 2 2 2 5" xfId="25376"/>
    <cellStyle name="Normal 10 3 3 2 2 3" xfId="7200"/>
    <cellStyle name="Normal 10 3 3 2 2 3 2" xfId="13394"/>
    <cellStyle name="Normal 10 3 3 2 2 3 2 2" xfId="33072"/>
    <cellStyle name="Normal 10 3 3 2 2 3 3" xfId="19546"/>
    <cellStyle name="Normal 10 3 3 2 2 3 3 2" xfId="39224"/>
    <cellStyle name="Normal 10 3 3 2 2 3 4" xfId="26908"/>
    <cellStyle name="Normal 10 3 3 2 2 4" xfId="10328"/>
    <cellStyle name="Normal 10 3 3 2 2 4 2" xfId="30006"/>
    <cellStyle name="Normal 10 3 3 2 2 5" xfId="16480"/>
    <cellStyle name="Normal 10 3 3 2 2 5 2" xfId="36158"/>
    <cellStyle name="Normal 10 3 3 2 2 6" xfId="23842"/>
    <cellStyle name="Normal 10 3 3 2 3" xfId="4866"/>
    <cellStyle name="Normal 10 3 3 2 3 2" xfId="7966"/>
    <cellStyle name="Normal 10 3 3 2 3 2 2" xfId="14159"/>
    <cellStyle name="Normal 10 3 3 2 3 2 2 2" xfId="33837"/>
    <cellStyle name="Normal 10 3 3 2 3 2 3" xfId="20311"/>
    <cellStyle name="Normal 10 3 3 2 3 2 3 2" xfId="39989"/>
    <cellStyle name="Normal 10 3 3 2 3 2 4" xfId="27673"/>
    <cellStyle name="Normal 10 3 3 2 3 3" xfId="11093"/>
    <cellStyle name="Normal 10 3 3 2 3 3 2" xfId="30771"/>
    <cellStyle name="Normal 10 3 3 2 3 4" xfId="17245"/>
    <cellStyle name="Normal 10 3 3 2 3 4 2" xfId="36923"/>
    <cellStyle name="Normal 10 3 3 2 3 5" xfId="24607"/>
    <cellStyle name="Normal 10 3 3 2 4" xfId="6431"/>
    <cellStyle name="Normal 10 3 3 2 4 2" xfId="12625"/>
    <cellStyle name="Normal 10 3 3 2 4 2 2" xfId="32303"/>
    <cellStyle name="Normal 10 3 3 2 4 3" xfId="18777"/>
    <cellStyle name="Normal 10 3 3 2 4 3 2" xfId="38455"/>
    <cellStyle name="Normal 10 3 3 2 4 4" xfId="26139"/>
    <cellStyle name="Normal 10 3 3 2 5" xfId="9559"/>
    <cellStyle name="Normal 10 3 3 2 5 2" xfId="29237"/>
    <cellStyle name="Normal 10 3 3 2 6" xfId="15711"/>
    <cellStyle name="Normal 10 3 3 2 6 2" xfId="35389"/>
    <cellStyle name="Normal 10 3 3 2 7" xfId="23010"/>
    <cellStyle name="Normal 10 3 3 3" xfId="4023"/>
    <cellStyle name="Normal 10 3 3 3 2" xfId="5648"/>
    <cellStyle name="Normal 10 3 3 3 2 2" xfId="8734"/>
    <cellStyle name="Normal 10 3 3 3 2 2 2" xfId="14927"/>
    <cellStyle name="Normal 10 3 3 3 2 2 2 2" xfId="34605"/>
    <cellStyle name="Normal 10 3 3 3 2 2 3" xfId="21079"/>
    <cellStyle name="Normal 10 3 3 3 2 2 3 2" xfId="40757"/>
    <cellStyle name="Normal 10 3 3 3 2 2 4" xfId="28441"/>
    <cellStyle name="Normal 10 3 3 3 2 3" xfId="11861"/>
    <cellStyle name="Normal 10 3 3 3 2 3 2" xfId="31539"/>
    <cellStyle name="Normal 10 3 3 3 2 4" xfId="18013"/>
    <cellStyle name="Normal 10 3 3 3 2 4 2" xfId="37691"/>
    <cellStyle name="Normal 10 3 3 3 2 5" xfId="25375"/>
    <cellStyle name="Normal 10 3 3 3 3" xfId="7199"/>
    <cellStyle name="Normal 10 3 3 3 3 2" xfId="13393"/>
    <cellStyle name="Normal 10 3 3 3 3 2 2" xfId="33071"/>
    <cellStyle name="Normal 10 3 3 3 3 3" xfId="19545"/>
    <cellStyle name="Normal 10 3 3 3 3 3 2" xfId="39223"/>
    <cellStyle name="Normal 10 3 3 3 3 4" xfId="26907"/>
    <cellStyle name="Normal 10 3 3 3 4" xfId="10327"/>
    <cellStyle name="Normal 10 3 3 3 4 2" xfId="30005"/>
    <cellStyle name="Normal 10 3 3 3 5" xfId="16479"/>
    <cellStyle name="Normal 10 3 3 3 5 2" xfId="36157"/>
    <cellStyle name="Normal 10 3 3 3 6" xfId="23841"/>
    <cellStyle name="Normal 10 3 3 4" xfId="4865"/>
    <cellStyle name="Normal 10 3 3 4 2" xfId="7965"/>
    <cellStyle name="Normal 10 3 3 4 2 2" xfId="14158"/>
    <cellStyle name="Normal 10 3 3 4 2 2 2" xfId="33836"/>
    <cellStyle name="Normal 10 3 3 4 2 3" xfId="20310"/>
    <cellStyle name="Normal 10 3 3 4 2 3 2" xfId="39988"/>
    <cellStyle name="Normal 10 3 3 4 2 4" xfId="27672"/>
    <cellStyle name="Normal 10 3 3 4 3" xfId="11092"/>
    <cellStyle name="Normal 10 3 3 4 3 2" xfId="30770"/>
    <cellStyle name="Normal 10 3 3 4 4" xfId="17244"/>
    <cellStyle name="Normal 10 3 3 4 4 2" xfId="36922"/>
    <cellStyle name="Normal 10 3 3 4 5" xfId="24606"/>
    <cellStyle name="Normal 10 3 3 5" xfId="6430"/>
    <cellStyle name="Normal 10 3 3 5 2" xfId="12624"/>
    <cellStyle name="Normal 10 3 3 5 2 2" xfId="32302"/>
    <cellStyle name="Normal 10 3 3 5 3" xfId="18776"/>
    <cellStyle name="Normal 10 3 3 5 3 2" xfId="38454"/>
    <cellStyle name="Normal 10 3 3 5 4" xfId="26138"/>
    <cellStyle name="Normal 10 3 3 6" xfId="9558"/>
    <cellStyle name="Normal 10 3 3 6 2" xfId="29236"/>
    <cellStyle name="Normal 10 3 3 7" xfId="15710"/>
    <cellStyle name="Normal 10 3 3 7 2" xfId="35388"/>
    <cellStyle name="Normal 10 3 3 8" xfId="2483"/>
    <cellStyle name="Normal 10 3 3 9" xfId="23009"/>
    <cellStyle name="Normal 10 3 4" xfId="2485"/>
    <cellStyle name="Normal 10 3 4 2" xfId="2486"/>
    <cellStyle name="Normal 10 3 4 2 2" xfId="4026"/>
    <cellStyle name="Normal 10 3 4 2 2 2" xfId="5651"/>
    <cellStyle name="Normal 10 3 4 2 2 2 2" xfId="8737"/>
    <cellStyle name="Normal 10 3 4 2 2 2 2 2" xfId="14930"/>
    <cellStyle name="Normal 10 3 4 2 2 2 2 2 2" xfId="34608"/>
    <cellStyle name="Normal 10 3 4 2 2 2 2 3" xfId="21082"/>
    <cellStyle name="Normal 10 3 4 2 2 2 2 3 2" xfId="40760"/>
    <cellStyle name="Normal 10 3 4 2 2 2 2 4" xfId="28444"/>
    <cellStyle name="Normal 10 3 4 2 2 2 3" xfId="11864"/>
    <cellStyle name="Normal 10 3 4 2 2 2 3 2" xfId="31542"/>
    <cellStyle name="Normal 10 3 4 2 2 2 4" xfId="18016"/>
    <cellStyle name="Normal 10 3 4 2 2 2 4 2" xfId="37694"/>
    <cellStyle name="Normal 10 3 4 2 2 2 5" xfId="25378"/>
    <cellStyle name="Normal 10 3 4 2 2 3" xfId="7202"/>
    <cellStyle name="Normal 10 3 4 2 2 3 2" xfId="13396"/>
    <cellStyle name="Normal 10 3 4 2 2 3 2 2" xfId="33074"/>
    <cellStyle name="Normal 10 3 4 2 2 3 3" xfId="19548"/>
    <cellStyle name="Normal 10 3 4 2 2 3 3 2" xfId="39226"/>
    <cellStyle name="Normal 10 3 4 2 2 3 4" xfId="26910"/>
    <cellStyle name="Normal 10 3 4 2 2 4" xfId="10330"/>
    <cellStyle name="Normal 10 3 4 2 2 4 2" xfId="30008"/>
    <cellStyle name="Normal 10 3 4 2 2 5" xfId="16482"/>
    <cellStyle name="Normal 10 3 4 2 2 5 2" xfId="36160"/>
    <cellStyle name="Normal 10 3 4 2 2 6" xfId="23844"/>
    <cellStyle name="Normal 10 3 4 2 3" xfId="4868"/>
    <cellStyle name="Normal 10 3 4 2 3 2" xfId="7968"/>
    <cellStyle name="Normal 10 3 4 2 3 2 2" xfId="14161"/>
    <cellStyle name="Normal 10 3 4 2 3 2 2 2" xfId="33839"/>
    <cellStyle name="Normal 10 3 4 2 3 2 3" xfId="20313"/>
    <cellStyle name="Normal 10 3 4 2 3 2 3 2" xfId="39991"/>
    <cellStyle name="Normal 10 3 4 2 3 2 4" xfId="27675"/>
    <cellStyle name="Normal 10 3 4 2 3 3" xfId="11095"/>
    <cellStyle name="Normal 10 3 4 2 3 3 2" xfId="30773"/>
    <cellStyle name="Normal 10 3 4 2 3 4" xfId="17247"/>
    <cellStyle name="Normal 10 3 4 2 3 4 2" xfId="36925"/>
    <cellStyle name="Normal 10 3 4 2 3 5" xfId="24609"/>
    <cellStyle name="Normal 10 3 4 2 4" xfId="6433"/>
    <cellStyle name="Normal 10 3 4 2 4 2" xfId="12627"/>
    <cellStyle name="Normal 10 3 4 2 4 2 2" xfId="32305"/>
    <cellStyle name="Normal 10 3 4 2 4 3" xfId="18779"/>
    <cellStyle name="Normal 10 3 4 2 4 3 2" xfId="38457"/>
    <cellStyle name="Normal 10 3 4 2 4 4" xfId="26141"/>
    <cellStyle name="Normal 10 3 4 2 5" xfId="9561"/>
    <cellStyle name="Normal 10 3 4 2 5 2" xfId="29239"/>
    <cellStyle name="Normal 10 3 4 2 6" xfId="15713"/>
    <cellStyle name="Normal 10 3 4 2 6 2" xfId="35391"/>
    <cellStyle name="Normal 10 3 4 2 7" xfId="23012"/>
    <cellStyle name="Normal 10 3 4 3" xfId="4025"/>
    <cellStyle name="Normal 10 3 4 3 2" xfId="5650"/>
    <cellStyle name="Normal 10 3 4 3 2 2" xfId="8736"/>
    <cellStyle name="Normal 10 3 4 3 2 2 2" xfId="14929"/>
    <cellStyle name="Normal 10 3 4 3 2 2 2 2" xfId="34607"/>
    <cellStyle name="Normal 10 3 4 3 2 2 3" xfId="21081"/>
    <cellStyle name="Normal 10 3 4 3 2 2 3 2" xfId="40759"/>
    <cellStyle name="Normal 10 3 4 3 2 2 4" xfId="28443"/>
    <cellStyle name="Normal 10 3 4 3 2 3" xfId="11863"/>
    <cellStyle name="Normal 10 3 4 3 2 3 2" xfId="31541"/>
    <cellStyle name="Normal 10 3 4 3 2 4" xfId="18015"/>
    <cellStyle name="Normal 10 3 4 3 2 4 2" xfId="37693"/>
    <cellStyle name="Normal 10 3 4 3 2 5" xfId="25377"/>
    <cellStyle name="Normal 10 3 4 3 3" xfId="7201"/>
    <cellStyle name="Normal 10 3 4 3 3 2" xfId="13395"/>
    <cellStyle name="Normal 10 3 4 3 3 2 2" xfId="33073"/>
    <cellStyle name="Normal 10 3 4 3 3 3" xfId="19547"/>
    <cellStyle name="Normal 10 3 4 3 3 3 2" xfId="39225"/>
    <cellStyle name="Normal 10 3 4 3 3 4" xfId="26909"/>
    <cellStyle name="Normal 10 3 4 3 4" xfId="10329"/>
    <cellStyle name="Normal 10 3 4 3 4 2" xfId="30007"/>
    <cellStyle name="Normal 10 3 4 3 5" xfId="16481"/>
    <cellStyle name="Normal 10 3 4 3 5 2" xfId="36159"/>
    <cellStyle name="Normal 10 3 4 3 6" xfId="23843"/>
    <cellStyle name="Normal 10 3 4 4" xfId="4867"/>
    <cellStyle name="Normal 10 3 4 4 2" xfId="7967"/>
    <cellStyle name="Normal 10 3 4 4 2 2" xfId="14160"/>
    <cellStyle name="Normal 10 3 4 4 2 2 2" xfId="33838"/>
    <cellStyle name="Normal 10 3 4 4 2 3" xfId="20312"/>
    <cellStyle name="Normal 10 3 4 4 2 3 2" xfId="39990"/>
    <cellStyle name="Normal 10 3 4 4 2 4" xfId="27674"/>
    <cellStyle name="Normal 10 3 4 4 3" xfId="11094"/>
    <cellStyle name="Normal 10 3 4 4 3 2" xfId="30772"/>
    <cellStyle name="Normal 10 3 4 4 4" xfId="17246"/>
    <cellStyle name="Normal 10 3 4 4 4 2" xfId="36924"/>
    <cellStyle name="Normal 10 3 4 4 5" xfId="24608"/>
    <cellStyle name="Normal 10 3 4 5" xfId="6432"/>
    <cellStyle name="Normal 10 3 4 5 2" xfId="12626"/>
    <cellStyle name="Normal 10 3 4 5 2 2" xfId="32304"/>
    <cellStyle name="Normal 10 3 4 5 3" xfId="18778"/>
    <cellStyle name="Normal 10 3 4 5 3 2" xfId="38456"/>
    <cellStyle name="Normal 10 3 4 5 4" xfId="26140"/>
    <cellStyle name="Normal 10 3 4 6" xfId="9560"/>
    <cellStyle name="Normal 10 3 4 6 2" xfId="29238"/>
    <cellStyle name="Normal 10 3 4 7" xfId="15712"/>
    <cellStyle name="Normal 10 3 4 7 2" xfId="35390"/>
    <cellStyle name="Normal 10 3 4 8" xfId="23011"/>
    <cellStyle name="Normal 10 3 5" xfId="2487"/>
    <cellStyle name="Normal 10 3 5 2" xfId="4027"/>
    <cellStyle name="Normal 10 3 5 2 2" xfId="5652"/>
    <cellStyle name="Normal 10 3 5 2 2 2" xfId="8738"/>
    <cellStyle name="Normal 10 3 5 2 2 2 2" xfId="14931"/>
    <cellStyle name="Normal 10 3 5 2 2 2 2 2" xfId="34609"/>
    <cellStyle name="Normal 10 3 5 2 2 2 3" xfId="21083"/>
    <cellStyle name="Normal 10 3 5 2 2 2 3 2" xfId="40761"/>
    <cellStyle name="Normal 10 3 5 2 2 2 4" xfId="28445"/>
    <cellStyle name="Normal 10 3 5 2 2 3" xfId="11865"/>
    <cellStyle name="Normal 10 3 5 2 2 3 2" xfId="31543"/>
    <cellStyle name="Normal 10 3 5 2 2 4" xfId="18017"/>
    <cellStyle name="Normal 10 3 5 2 2 4 2" xfId="37695"/>
    <cellStyle name="Normal 10 3 5 2 2 5" xfId="25379"/>
    <cellStyle name="Normal 10 3 5 2 3" xfId="7203"/>
    <cellStyle name="Normal 10 3 5 2 3 2" xfId="13397"/>
    <cellStyle name="Normal 10 3 5 2 3 2 2" xfId="33075"/>
    <cellStyle name="Normal 10 3 5 2 3 3" xfId="19549"/>
    <cellStyle name="Normal 10 3 5 2 3 3 2" xfId="39227"/>
    <cellStyle name="Normal 10 3 5 2 3 4" xfId="26911"/>
    <cellStyle name="Normal 10 3 5 2 4" xfId="10331"/>
    <cellStyle name="Normal 10 3 5 2 4 2" xfId="30009"/>
    <cellStyle name="Normal 10 3 5 2 5" xfId="16483"/>
    <cellStyle name="Normal 10 3 5 2 5 2" xfId="36161"/>
    <cellStyle name="Normal 10 3 5 2 6" xfId="23845"/>
    <cellStyle name="Normal 10 3 5 3" xfId="4869"/>
    <cellStyle name="Normal 10 3 5 3 2" xfId="7969"/>
    <cellStyle name="Normal 10 3 5 3 2 2" xfId="14162"/>
    <cellStyle name="Normal 10 3 5 3 2 2 2" xfId="33840"/>
    <cellStyle name="Normal 10 3 5 3 2 3" xfId="20314"/>
    <cellStyle name="Normal 10 3 5 3 2 3 2" xfId="39992"/>
    <cellStyle name="Normal 10 3 5 3 2 4" xfId="27676"/>
    <cellStyle name="Normal 10 3 5 3 3" xfId="11096"/>
    <cellStyle name="Normal 10 3 5 3 3 2" xfId="30774"/>
    <cellStyle name="Normal 10 3 5 3 4" xfId="17248"/>
    <cellStyle name="Normal 10 3 5 3 4 2" xfId="36926"/>
    <cellStyle name="Normal 10 3 5 3 5" xfId="24610"/>
    <cellStyle name="Normal 10 3 5 4" xfId="6434"/>
    <cellStyle name="Normal 10 3 5 4 2" xfId="12628"/>
    <cellStyle name="Normal 10 3 5 4 2 2" xfId="32306"/>
    <cellStyle name="Normal 10 3 5 4 3" xfId="18780"/>
    <cellStyle name="Normal 10 3 5 4 3 2" xfId="38458"/>
    <cellStyle name="Normal 10 3 5 4 4" xfId="26142"/>
    <cellStyle name="Normal 10 3 5 5" xfId="9562"/>
    <cellStyle name="Normal 10 3 5 5 2" xfId="29240"/>
    <cellStyle name="Normal 10 3 5 6" xfId="15714"/>
    <cellStyle name="Normal 10 3 5 6 2" xfId="35392"/>
    <cellStyle name="Normal 10 3 5 7" xfId="23013"/>
    <cellStyle name="Normal 10 3 6" xfId="4016"/>
    <cellStyle name="Normal 10 3 6 2" xfId="5641"/>
    <cellStyle name="Normal 10 3 6 2 2" xfId="8727"/>
    <cellStyle name="Normal 10 3 6 2 2 2" xfId="14920"/>
    <cellStyle name="Normal 10 3 6 2 2 2 2" xfId="34598"/>
    <cellStyle name="Normal 10 3 6 2 2 3" xfId="21072"/>
    <cellStyle name="Normal 10 3 6 2 2 3 2" xfId="40750"/>
    <cellStyle name="Normal 10 3 6 2 2 4" xfId="28434"/>
    <cellStyle name="Normal 10 3 6 2 3" xfId="11854"/>
    <cellStyle name="Normal 10 3 6 2 3 2" xfId="31532"/>
    <cellStyle name="Normal 10 3 6 2 4" xfId="18006"/>
    <cellStyle name="Normal 10 3 6 2 4 2" xfId="37684"/>
    <cellStyle name="Normal 10 3 6 2 5" xfId="25368"/>
    <cellStyle name="Normal 10 3 6 3" xfId="7192"/>
    <cellStyle name="Normal 10 3 6 3 2" xfId="13386"/>
    <cellStyle name="Normal 10 3 6 3 2 2" xfId="33064"/>
    <cellStyle name="Normal 10 3 6 3 3" xfId="19538"/>
    <cellStyle name="Normal 10 3 6 3 3 2" xfId="39216"/>
    <cellStyle name="Normal 10 3 6 3 4" xfId="26900"/>
    <cellStyle name="Normal 10 3 6 4" xfId="10320"/>
    <cellStyle name="Normal 10 3 6 4 2" xfId="29998"/>
    <cellStyle name="Normal 10 3 6 5" xfId="16472"/>
    <cellStyle name="Normal 10 3 6 5 2" xfId="36150"/>
    <cellStyle name="Normal 10 3 6 6" xfId="23834"/>
    <cellStyle name="Normal 10 3 7" xfId="4858"/>
    <cellStyle name="Normal 10 3 7 2" xfId="7958"/>
    <cellStyle name="Normal 10 3 7 2 2" xfId="14151"/>
    <cellStyle name="Normal 10 3 7 2 2 2" xfId="33829"/>
    <cellStyle name="Normal 10 3 7 2 3" xfId="20303"/>
    <cellStyle name="Normal 10 3 7 2 3 2" xfId="39981"/>
    <cellStyle name="Normal 10 3 7 2 4" xfId="27665"/>
    <cellStyle name="Normal 10 3 7 3" xfId="11085"/>
    <cellStyle name="Normal 10 3 7 3 2" xfId="30763"/>
    <cellStyle name="Normal 10 3 7 4" xfId="17237"/>
    <cellStyle name="Normal 10 3 7 4 2" xfId="36915"/>
    <cellStyle name="Normal 10 3 7 5" xfId="24599"/>
    <cellStyle name="Normal 10 3 8" xfId="6423"/>
    <cellStyle name="Normal 10 3 8 2" xfId="12617"/>
    <cellStyle name="Normal 10 3 8 2 2" xfId="32295"/>
    <cellStyle name="Normal 10 3 8 3" xfId="18769"/>
    <cellStyle name="Normal 10 3 8 3 2" xfId="38447"/>
    <cellStyle name="Normal 10 3 8 4" xfId="26131"/>
    <cellStyle name="Normal 10 3 9" xfId="9551"/>
    <cellStyle name="Normal 10 3 9 2" xfId="29229"/>
    <cellStyle name="Normal 10 4" xfId="82"/>
    <cellStyle name="Normal 10 4 10" xfId="2488"/>
    <cellStyle name="Normal 10 4 10 2" xfId="23014"/>
    <cellStyle name="Normal 10 4 11" xfId="41950"/>
    <cellStyle name="Normal 10 4 12" xfId="21725"/>
    <cellStyle name="Normal 10 4 2" xfId="189"/>
    <cellStyle name="Normal 10 4 2 2" xfId="2490"/>
    <cellStyle name="Normal 10 4 2 2 2" xfId="4030"/>
    <cellStyle name="Normal 10 4 2 2 2 2" xfId="5655"/>
    <cellStyle name="Normal 10 4 2 2 2 2 2" xfId="8741"/>
    <cellStyle name="Normal 10 4 2 2 2 2 2 2" xfId="14934"/>
    <cellStyle name="Normal 10 4 2 2 2 2 2 2 2" xfId="34612"/>
    <cellStyle name="Normal 10 4 2 2 2 2 2 3" xfId="21086"/>
    <cellStyle name="Normal 10 4 2 2 2 2 2 3 2" xfId="40764"/>
    <cellStyle name="Normal 10 4 2 2 2 2 2 4" xfId="28448"/>
    <cellStyle name="Normal 10 4 2 2 2 2 3" xfId="11868"/>
    <cellStyle name="Normal 10 4 2 2 2 2 3 2" xfId="31546"/>
    <cellStyle name="Normal 10 4 2 2 2 2 4" xfId="18020"/>
    <cellStyle name="Normal 10 4 2 2 2 2 4 2" xfId="37698"/>
    <cellStyle name="Normal 10 4 2 2 2 2 5" xfId="25382"/>
    <cellStyle name="Normal 10 4 2 2 2 3" xfId="7206"/>
    <cellStyle name="Normal 10 4 2 2 2 3 2" xfId="13400"/>
    <cellStyle name="Normal 10 4 2 2 2 3 2 2" xfId="33078"/>
    <cellStyle name="Normal 10 4 2 2 2 3 3" xfId="19552"/>
    <cellStyle name="Normal 10 4 2 2 2 3 3 2" xfId="39230"/>
    <cellStyle name="Normal 10 4 2 2 2 3 4" xfId="26914"/>
    <cellStyle name="Normal 10 4 2 2 2 4" xfId="10334"/>
    <cellStyle name="Normal 10 4 2 2 2 4 2" xfId="30012"/>
    <cellStyle name="Normal 10 4 2 2 2 5" xfId="16486"/>
    <cellStyle name="Normal 10 4 2 2 2 5 2" xfId="36164"/>
    <cellStyle name="Normal 10 4 2 2 2 6" xfId="23848"/>
    <cellStyle name="Normal 10 4 2 2 3" xfId="4872"/>
    <cellStyle name="Normal 10 4 2 2 3 2" xfId="7972"/>
    <cellStyle name="Normal 10 4 2 2 3 2 2" xfId="14165"/>
    <cellStyle name="Normal 10 4 2 2 3 2 2 2" xfId="33843"/>
    <cellStyle name="Normal 10 4 2 2 3 2 3" xfId="20317"/>
    <cellStyle name="Normal 10 4 2 2 3 2 3 2" xfId="39995"/>
    <cellStyle name="Normal 10 4 2 2 3 2 4" xfId="27679"/>
    <cellStyle name="Normal 10 4 2 2 3 3" xfId="11099"/>
    <cellStyle name="Normal 10 4 2 2 3 3 2" xfId="30777"/>
    <cellStyle name="Normal 10 4 2 2 3 4" xfId="17251"/>
    <cellStyle name="Normal 10 4 2 2 3 4 2" xfId="36929"/>
    <cellStyle name="Normal 10 4 2 2 3 5" xfId="24613"/>
    <cellStyle name="Normal 10 4 2 2 4" xfId="6437"/>
    <cellStyle name="Normal 10 4 2 2 4 2" xfId="12631"/>
    <cellStyle name="Normal 10 4 2 2 4 2 2" xfId="32309"/>
    <cellStyle name="Normal 10 4 2 2 4 3" xfId="18783"/>
    <cellStyle name="Normal 10 4 2 2 4 3 2" xfId="38461"/>
    <cellStyle name="Normal 10 4 2 2 4 4" xfId="26145"/>
    <cellStyle name="Normal 10 4 2 2 5" xfId="9565"/>
    <cellStyle name="Normal 10 4 2 2 5 2" xfId="29243"/>
    <cellStyle name="Normal 10 4 2 2 6" xfId="15717"/>
    <cellStyle name="Normal 10 4 2 2 6 2" xfId="35395"/>
    <cellStyle name="Normal 10 4 2 2 7" xfId="23016"/>
    <cellStyle name="Normal 10 4 2 3" xfId="4029"/>
    <cellStyle name="Normal 10 4 2 3 2" xfId="5654"/>
    <cellStyle name="Normal 10 4 2 3 2 2" xfId="8740"/>
    <cellStyle name="Normal 10 4 2 3 2 2 2" xfId="14933"/>
    <cellStyle name="Normal 10 4 2 3 2 2 2 2" xfId="34611"/>
    <cellStyle name="Normal 10 4 2 3 2 2 3" xfId="21085"/>
    <cellStyle name="Normal 10 4 2 3 2 2 3 2" xfId="40763"/>
    <cellStyle name="Normal 10 4 2 3 2 2 4" xfId="28447"/>
    <cellStyle name="Normal 10 4 2 3 2 3" xfId="11867"/>
    <cellStyle name="Normal 10 4 2 3 2 3 2" xfId="31545"/>
    <cellStyle name="Normal 10 4 2 3 2 4" xfId="18019"/>
    <cellStyle name="Normal 10 4 2 3 2 4 2" xfId="37697"/>
    <cellStyle name="Normal 10 4 2 3 2 5" xfId="25381"/>
    <cellStyle name="Normal 10 4 2 3 3" xfId="7205"/>
    <cellStyle name="Normal 10 4 2 3 3 2" xfId="13399"/>
    <cellStyle name="Normal 10 4 2 3 3 2 2" xfId="33077"/>
    <cellStyle name="Normal 10 4 2 3 3 3" xfId="19551"/>
    <cellStyle name="Normal 10 4 2 3 3 3 2" xfId="39229"/>
    <cellStyle name="Normal 10 4 2 3 3 4" xfId="26913"/>
    <cellStyle name="Normal 10 4 2 3 4" xfId="10333"/>
    <cellStyle name="Normal 10 4 2 3 4 2" xfId="30011"/>
    <cellStyle name="Normal 10 4 2 3 5" xfId="16485"/>
    <cellStyle name="Normal 10 4 2 3 5 2" xfId="36163"/>
    <cellStyle name="Normal 10 4 2 3 6" xfId="23847"/>
    <cellStyle name="Normal 10 4 2 4" xfId="4871"/>
    <cellStyle name="Normal 10 4 2 4 2" xfId="7971"/>
    <cellStyle name="Normal 10 4 2 4 2 2" xfId="14164"/>
    <cellStyle name="Normal 10 4 2 4 2 2 2" xfId="33842"/>
    <cellStyle name="Normal 10 4 2 4 2 3" xfId="20316"/>
    <cellStyle name="Normal 10 4 2 4 2 3 2" xfId="39994"/>
    <cellStyle name="Normal 10 4 2 4 2 4" xfId="27678"/>
    <cellStyle name="Normal 10 4 2 4 3" xfId="11098"/>
    <cellStyle name="Normal 10 4 2 4 3 2" xfId="30776"/>
    <cellStyle name="Normal 10 4 2 4 4" xfId="17250"/>
    <cellStyle name="Normal 10 4 2 4 4 2" xfId="36928"/>
    <cellStyle name="Normal 10 4 2 4 5" xfId="24612"/>
    <cellStyle name="Normal 10 4 2 5" xfId="6436"/>
    <cellStyle name="Normal 10 4 2 5 2" xfId="12630"/>
    <cellStyle name="Normal 10 4 2 5 2 2" xfId="32308"/>
    <cellStyle name="Normal 10 4 2 5 3" xfId="18782"/>
    <cellStyle name="Normal 10 4 2 5 3 2" xfId="38460"/>
    <cellStyle name="Normal 10 4 2 5 4" xfId="26144"/>
    <cellStyle name="Normal 10 4 2 6" xfId="9564"/>
    <cellStyle name="Normal 10 4 2 6 2" xfId="29242"/>
    <cellStyle name="Normal 10 4 2 7" xfId="15716"/>
    <cellStyle name="Normal 10 4 2 7 2" xfId="35394"/>
    <cellStyle name="Normal 10 4 2 8" xfId="2489"/>
    <cellStyle name="Normal 10 4 2 9" xfId="23015"/>
    <cellStyle name="Normal 10 4 3" xfId="2491"/>
    <cellStyle name="Normal 10 4 3 2" xfId="2492"/>
    <cellStyle name="Normal 10 4 3 2 2" xfId="4032"/>
    <cellStyle name="Normal 10 4 3 2 2 2" xfId="5657"/>
    <cellStyle name="Normal 10 4 3 2 2 2 2" xfId="8743"/>
    <cellStyle name="Normal 10 4 3 2 2 2 2 2" xfId="14936"/>
    <cellStyle name="Normal 10 4 3 2 2 2 2 2 2" xfId="34614"/>
    <cellStyle name="Normal 10 4 3 2 2 2 2 3" xfId="21088"/>
    <cellStyle name="Normal 10 4 3 2 2 2 2 3 2" xfId="40766"/>
    <cellStyle name="Normal 10 4 3 2 2 2 2 4" xfId="28450"/>
    <cellStyle name="Normal 10 4 3 2 2 2 3" xfId="11870"/>
    <cellStyle name="Normal 10 4 3 2 2 2 3 2" xfId="31548"/>
    <cellStyle name="Normal 10 4 3 2 2 2 4" xfId="18022"/>
    <cellStyle name="Normal 10 4 3 2 2 2 4 2" xfId="37700"/>
    <cellStyle name="Normal 10 4 3 2 2 2 5" xfId="25384"/>
    <cellStyle name="Normal 10 4 3 2 2 3" xfId="7208"/>
    <cellStyle name="Normal 10 4 3 2 2 3 2" xfId="13402"/>
    <cellStyle name="Normal 10 4 3 2 2 3 2 2" xfId="33080"/>
    <cellStyle name="Normal 10 4 3 2 2 3 3" xfId="19554"/>
    <cellStyle name="Normal 10 4 3 2 2 3 3 2" xfId="39232"/>
    <cellStyle name="Normal 10 4 3 2 2 3 4" xfId="26916"/>
    <cellStyle name="Normal 10 4 3 2 2 4" xfId="10336"/>
    <cellStyle name="Normal 10 4 3 2 2 4 2" xfId="30014"/>
    <cellStyle name="Normal 10 4 3 2 2 5" xfId="16488"/>
    <cellStyle name="Normal 10 4 3 2 2 5 2" xfId="36166"/>
    <cellStyle name="Normal 10 4 3 2 2 6" xfId="23850"/>
    <cellStyle name="Normal 10 4 3 2 3" xfId="4874"/>
    <cellStyle name="Normal 10 4 3 2 3 2" xfId="7974"/>
    <cellStyle name="Normal 10 4 3 2 3 2 2" xfId="14167"/>
    <cellStyle name="Normal 10 4 3 2 3 2 2 2" xfId="33845"/>
    <cellStyle name="Normal 10 4 3 2 3 2 3" xfId="20319"/>
    <cellStyle name="Normal 10 4 3 2 3 2 3 2" xfId="39997"/>
    <cellStyle name="Normal 10 4 3 2 3 2 4" xfId="27681"/>
    <cellStyle name="Normal 10 4 3 2 3 3" xfId="11101"/>
    <cellStyle name="Normal 10 4 3 2 3 3 2" xfId="30779"/>
    <cellStyle name="Normal 10 4 3 2 3 4" xfId="17253"/>
    <cellStyle name="Normal 10 4 3 2 3 4 2" xfId="36931"/>
    <cellStyle name="Normal 10 4 3 2 3 5" xfId="24615"/>
    <cellStyle name="Normal 10 4 3 2 4" xfId="6439"/>
    <cellStyle name="Normal 10 4 3 2 4 2" xfId="12633"/>
    <cellStyle name="Normal 10 4 3 2 4 2 2" xfId="32311"/>
    <cellStyle name="Normal 10 4 3 2 4 3" xfId="18785"/>
    <cellStyle name="Normal 10 4 3 2 4 3 2" xfId="38463"/>
    <cellStyle name="Normal 10 4 3 2 4 4" xfId="26147"/>
    <cellStyle name="Normal 10 4 3 2 5" xfId="9567"/>
    <cellStyle name="Normal 10 4 3 2 5 2" xfId="29245"/>
    <cellStyle name="Normal 10 4 3 2 6" xfId="15719"/>
    <cellStyle name="Normal 10 4 3 2 6 2" xfId="35397"/>
    <cellStyle name="Normal 10 4 3 2 7" xfId="23018"/>
    <cellStyle name="Normal 10 4 3 3" xfId="4031"/>
    <cellStyle name="Normal 10 4 3 3 2" xfId="5656"/>
    <cellStyle name="Normal 10 4 3 3 2 2" xfId="8742"/>
    <cellStyle name="Normal 10 4 3 3 2 2 2" xfId="14935"/>
    <cellStyle name="Normal 10 4 3 3 2 2 2 2" xfId="34613"/>
    <cellStyle name="Normal 10 4 3 3 2 2 3" xfId="21087"/>
    <cellStyle name="Normal 10 4 3 3 2 2 3 2" xfId="40765"/>
    <cellStyle name="Normal 10 4 3 3 2 2 4" xfId="28449"/>
    <cellStyle name="Normal 10 4 3 3 2 3" xfId="11869"/>
    <cellStyle name="Normal 10 4 3 3 2 3 2" xfId="31547"/>
    <cellStyle name="Normal 10 4 3 3 2 4" xfId="18021"/>
    <cellStyle name="Normal 10 4 3 3 2 4 2" xfId="37699"/>
    <cellStyle name="Normal 10 4 3 3 2 5" xfId="25383"/>
    <cellStyle name="Normal 10 4 3 3 3" xfId="7207"/>
    <cellStyle name="Normal 10 4 3 3 3 2" xfId="13401"/>
    <cellStyle name="Normal 10 4 3 3 3 2 2" xfId="33079"/>
    <cellStyle name="Normal 10 4 3 3 3 3" xfId="19553"/>
    <cellStyle name="Normal 10 4 3 3 3 3 2" xfId="39231"/>
    <cellStyle name="Normal 10 4 3 3 3 4" xfId="26915"/>
    <cellStyle name="Normal 10 4 3 3 4" xfId="10335"/>
    <cellStyle name="Normal 10 4 3 3 4 2" xfId="30013"/>
    <cellStyle name="Normal 10 4 3 3 5" xfId="16487"/>
    <cellStyle name="Normal 10 4 3 3 5 2" xfId="36165"/>
    <cellStyle name="Normal 10 4 3 3 6" xfId="23849"/>
    <cellStyle name="Normal 10 4 3 4" xfId="4873"/>
    <cellStyle name="Normal 10 4 3 4 2" xfId="7973"/>
    <cellStyle name="Normal 10 4 3 4 2 2" xfId="14166"/>
    <cellStyle name="Normal 10 4 3 4 2 2 2" xfId="33844"/>
    <cellStyle name="Normal 10 4 3 4 2 3" xfId="20318"/>
    <cellStyle name="Normal 10 4 3 4 2 3 2" xfId="39996"/>
    <cellStyle name="Normal 10 4 3 4 2 4" xfId="27680"/>
    <cellStyle name="Normal 10 4 3 4 3" xfId="11100"/>
    <cellStyle name="Normal 10 4 3 4 3 2" xfId="30778"/>
    <cellStyle name="Normal 10 4 3 4 4" xfId="17252"/>
    <cellStyle name="Normal 10 4 3 4 4 2" xfId="36930"/>
    <cellStyle name="Normal 10 4 3 4 5" xfId="24614"/>
    <cellStyle name="Normal 10 4 3 5" xfId="6438"/>
    <cellStyle name="Normal 10 4 3 5 2" xfId="12632"/>
    <cellStyle name="Normal 10 4 3 5 2 2" xfId="32310"/>
    <cellStyle name="Normal 10 4 3 5 3" xfId="18784"/>
    <cellStyle name="Normal 10 4 3 5 3 2" xfId="38462"/>
    <cellStyle name="Normal 10 4 3 5 4" xfId="26146"/>
    <cellStyle name="Normal 10 4 3 6" xfId="9566"/>
    <cellStyle name="Normal 10 4 3 6 2" xfId="29244"/>
    <cellStyle name="Normal 10 4 3 7" xfId="15718"/>
    <cellStyle name="Normal 10 4 3 7 2" xfId="35396"/>
    <cellStyle name="Normal 10 4 3 8" xfId="23017"/>
    <cellStyle name="Normal 10 4 4" xfId="2493"/>
    <cellStyle name="Normal 10 4 4 2" xfId="4033"/>
    <cellStyle name="Normal 10 4 4 2 2" xfId="5658"/>
    <cellStyle name="Normal 10 4 4 2 2 2" xfId="8744"/>
    <cellStyle name="Normal 10 4 4 2 2 2 2" xfId="14937"/>
    <cellStyle name="Normal 10 4 4 2 2 2 2 2" xfId="34615"/>
    <cellStyle name="Normal 10 4 4 2 2 2 3" xfId="21089"/>
    <cellStyle name="Normal 10 4 4 2 2 2 3 2" xfId="40767"/>
    <cellStyle name="Normal 10 4 4 2 2 2 4" xfId="28451"/>
    <cellStyle name="Normal 10 4 4 2 2 3" xfId="11871"/>
    <cellStyle name="Normal 10 4 4 2 2 3 2" xfId="31549"/>
    <cellStyle name="Normal 10 4 4 2 2 4" xfId="18023"/>
    <cellStyle name="Normal 10 4 4 2 2 4 2" xfId="37701"/>
    <cellStyle name="Normal 10 4 4 2 2 5" xfId="25385"/>
    <cellStyle name="Normal 10 4 4 2 3" xfId="7209"/>
    <cellStyle name="Normal 10 4 4 2 3 2" xfId="13403"/>
    <cellStyle name="Normal 10 4 4 2 3 2 2" xfId="33081"/>
    <cellStyle name="Normal 10 4 4 2 3 3" xfId="19555"/>
    <cellStyle name="Normal 10 4 4 2 3 3 2" xfId="39233"/>
    <cellStyle name="Normal 10 4 4 2 3 4" xfId="26917"/>
    <cellStyle name="Normal 10 4 4 2 4" xfId="10337"/>
    <cellStyle name="Normal 10 4 4 2 4 2" xfId="30015"/>
    <cellStyle name="Normal 10 4 4 2 5" xfId="16489"/>
    <cellStyle name="Normal 10 4 4 2 5 2" xfId="36167"/>
    <cellStyle name="Normal 10 4 4 2 6" xfId="23851"/>
    <cellStyle name="Normal 10 4 4 3" xfId="4875"/>
    <cellStyle name="Normal 10 4 4 3 2" xfId="7975"/>
    <cellStyle name="Normal 10 4 4 3 2 2" xfId="14168"/>
    <cellStyle name="Normal 10 4 4 3 2 2 2" xfId="33846"/>
    <cellStyle name="Normal 10 4 4 3 2 3" xfId="20320"/>
    <cellStyle name="Normal 10 4 4 3 2 3 2" xfId="39998"/>
    <cellStyle name="Normal 10 4 4 3 2 4" xfId="27682"/>
    <cellStyle name="Normal 10 4 4 3 3" xfId="11102"/>
    <cellStyle name="Normal 10 4 4 3 3 2" xfId="30780"/>
    <cellStyle name="Normal 10 4 4 3 4" xfId="17254"/>
    <cellStyle name="Normal 10 4 4 3 4 2" xfId="36932"/>
    <cellStyle name="Normal 10 4 4 3 5" xfId="24616"/>
    <cellStyle name="Normal 10 4 4 4" xfId="6440"/>
    <cellStyle name="Normal 10 4 4 4 2" xfId="12634"/>
    <cellStyle name="Normal 10 4 4 4 2 2" xfId="32312"/>
    <cellStyle name="Normal 10 4 4 4 3" xfId="18786"/>
    <cellStyle name="Normal 10 4 4 4 3 2" xfId="38464"/>
    <cellStyle name="Normal 10 4 4 4 4" xfId="26148"/>
    <cellStyle name="Normal 10 4 4 5" xfId="9568"/>
    <cellStyle name="Normal 10 4 4 5 2" xfId="29246"/>
    <cellStyle name="Normal 10 4 4 6" xfId="15720"/>
    <cellStyle name="Normal 10 4 4 6 2" xfId="35398"/>
    <cellStyle name="Normal 10 4 4 7" xfId="23019"/>
    <cellStyle name="Normal 10 4 5" xfId="4028"/>
    <cellStyle name="Normal 10 4 5 2" xfId="5653"/>
    <cellStyle name="Normal 10 4 5 2 2" xfId="8739"/>
    <cellStyle name="Normal 10 4 5 2 2 2" xfId="14932"/>
    <cellStyle name="Normal 10 4 5 2 2 2 2" xfId="34610"/>
    <cellStyle name="Normal 10 4 5 2 2 3" xfId="21084"/>
    <cellStyle name="Normal 10 4 5 2 2 3 2" xfId="40762"/>
    <cellStyle name="Normal 10 4 5 2 2 4" xfId="28446"/>
    <cellStyle name="Normal 10 4 5 2 3" xfId="11866"/>
    <cellStyle name="Normal 10 4 5 2 3 2" xfId="31544"/>
    <cellStyle name="Normal 10 4 5 2 4" xfId="18018"/>
    <cellStyle name="Normal 10 4 5 2 4 2" xfId="37696"/>
    <cellStyle name="Normal 10 4 5 2 5" xfId="25380"/>
    <cellStyle name="Normal 10 4 5 3" xfId="7204"/>
    <cellStyle name="Normal 10 4 5 3 2" xfId="13398"/>
    <cellStyle name="Normal 10 4 5 3 2 2" xfId="33076"/>
    <cellStyle name="Normal 10 4 5 3 3" xfId="19550"/>
    <cellStyle name="Normal 10 4 5 3 3 2" xfId="39228"/>
    <cellStyle name="Normal 10 4 5 3 4" xfId="26912"/>
    <cellStyle name="Normal 10 4 5 4" xfId="10332"/>
    <cellStyle name="Normal 10 4 5 4 2" xfId="30010"/>
    <cellStyle name="Normal 10 4 5 5" xfId="16484"/>
    <cellStyle name="Normal 10 4 5 5 2" xfId="36162"/>
    <cellStyle name="Normal 10 4 5 6" xfId="23846"/>
    <cellStyle name="Normal 10 4 6" xfId="4870"/>
    <cellStyle name="Normal 10 4 6 2" xfId="7970"/>
    <cellStyle name="Normal 10 4 6 2 2" xfId="14163"/>
    <cellStyle name="Normal 10 4 6 2 2 2" xfId="33841"/>
    <cellStyle name="Normal 10 4 6 2 3" xfId="20315"/>
    <cellStyle name="Normal 10 4 6 2 3 2" xfId="39993"/>
    <cellStyle name="Normal 10 4 6 2 4" xfId="27677"/>
    <cellStyle name="Normal 10 4 6 3" xfId="11097"/>
    <cellStyle name="Normal 10 4 6 3 2" xfId="30775"/>
    <cellStyle name="Normal 10 4 6 4" xfId="17249"/>
    <cellStyle name="Normal 10 4 6 4 2" xfId="36927"/>
    <cellStyle name="Normal 10 4 6 5" xfId="24611"/>
    <cellStyle name="Normal 10 4 7" xfId="6435"/>
    <cellStyle name="Normal 10 4 7 2" xfId="12629"/>
    <cellStyle name="Normal 10 4 7 2 2" xfId="32307"/>
    <cellStyle name="Normal 10 4 7 3" xfId="18781"/>
    <cellStyle name="Normal 10 4 7 3 2" xfId="38459"/>
    <cellStyle name="Normal 10 4 7 4" xfId="26143"/>
    <cellStyle name="Normal 10 4 8" xfId="9563"/>
    <cellStyle name="Normal 10 4 8 2" xfId="29241"/>
    <cellStyle name="Normal 10 4 9" xfId="15715"/>
    <cellStyle name="Normal 10 4 9 2" xfId="35393"/>
    <cellStyle name="Normal 10 5" xfId="126"/>
    <cellStyle name="Normal 10 5 10" xfId="2494"/>
    <cellStyle name="Normal 10 5 10 2" xfId="23020"/>
    <cellStyle name="Normal 10 5 11" xfId="41951"/>
    <cellStyle name="Normal 10 5 12" xfId="21712"/>
    <cellStyle name="Normal 10 5 2" xfId="176"/>
    <cellStyle name="Normal 10 5 2 2" xfId="2496"/>
    <cellStyle name="Normal 10 5 2 2 2" xfId="4036"/>
    <cellStyle name="Normal 10 5 2 2 2 2" xfId="5661"/>
    <cellStyle name="Normal 10 5 2 2 2 2 2" xfId="8747"/>
    <cellStyle name="Normal 10 5 2 2 2 2 2 2" xfId="14940"/>
    <cellStyle name="Normal 10 5 2 2 2 2 2 2 2" xfId="34618"/>
    <cellStyle name="Normal 10 5 2 2 2 2 2 3" xfId="21092"/>
    <cellStyle name="Normal 10 5 2 2 2 2 2 3 2" xfId="40770"/>
    <cellStyle name="Normal 10 5 2 2 2 2 2 4" xfId="28454"/>
    <cellStyle name="Normal 10 5 2 2 2 2 3" xfId="11874"/>
    <cellStyle name="Normal 10 5 2 2 2 2 3 2" xfId="31552"/>
    <cellStyle name="Normal 10 5 2 2 2 2 4" xfId="18026"/>
    <cellStyle name="Normal 10 5 2 2 2 2 4 2" xfId="37704"/>
    <cellStyle name="Normal 10 5 2 2 2 2 5" xfId="25388"/>
    <cellStyle name="Normal 10 5 2 2 2 3" xfId="7212"/>
    <cellStyle name="Normal 10 5 2 2 2 3 2" xfId="13406"/>
    <cellStyle name="Normal 10 5 2 2 2 3 2 2" xfId="33084"/>
    <cellStyle name="Normal 10 5 2 2 2 3 3" xfId="19558"/>
    <cellStyle name="Normal 10 5 2 2 2 3 3 2" xfId="39236"/>
    <cellStyle name="Normal 10 5 2 2 2 3 4" xfId="26920"/>
    <cellStyle name="Normal 10 5 2 2 2 4" xfId="10340"/>
    <cellStyle name="Normal 10 5 2 2 2 4 2" xfId="30018"/>
    <cellStyle name="Normal 10 5 2 2 2 5" xfId="16492"/>
    <cellStyle name="Normal 10 5 2 2 2 5 2" xfId="36170"/>
    <cellStyle name="Normal 10 5 2 2 2 6" xfId="23854"/>
    <cellStyle name="Normal 10 5 2 2 3" xfId="4878"/>
    <cellStyle name="Normal 10 5 2 2 3 2" xfId="7978"/>
    <cellStyle name="Normal 10 5 2 2 3 2 2" xfId="14171"/>
    <cellStyle name="Normal 10 5 2 2 3 2 2 2" xfId="33849"/>
    <cellStyle name="Normal 10 5 2 2 3 2 3" xfId="20323"/>
    <cellStyle name="Normal 10 5 2 2 3 2 3 2" xfId="40001"/>
    <cellStyle name="Normal 10 5 2 2 3 2 4" xfId="27685"/>
    <cellStyle name="Normal 10 5 2 2 3 3" xfId="11105"/>
    <cellStyle name="Normal 10 5 2 2 3 3 2" xfId="30783"/>
    <cellStyle name="Normal 10 5 2 2 3 4" xfId="17257"/>
    <cellStyle name="Normal 10 5 2 2 3 4 2" xfId="36935"/>
    <cellStyle name="Normal 10 5 2 2 3 5" xfId="24619"/>
    <cellStyle name="Normal 10 5 2 2 4" xfId="6443"/>
    <cellStyle name="Normal 10 5 2 2 4 2" xfId="12637"/>
    <cellStyle name="Normal 10 5 2 2 4 2 2" xfId="32315"/>
    <cellStyle name="Normal 10 5 2 2 4 3" xfId="18789"/>
    <cellStyle name="Normal 10 5 2 2 4 3 2" xfId="38467"/>
    <cellStyle name="Normal 10 5 2 2 4 4" xfId="26151"/>
    <cellStyle name="Normal 10 5 2 2 5" xfId="9571"/>
    <cellStyle name="Normal 10 5 2 2 5 2" xfId="29249"/>
    <cellStyle name="Normal 10 5 2 2 6" xfId="15723"/>
    <cellStyle name="Normal 10 5 2 2 6 2" xfId="35401"/>
    <cellStyle name="Normal 10 5 2 2 7" xfId="23022"/>
    <cellStyle name="Normal 10 5 2 3" xfId="4035"/>
    <cellStyle name="Normal 10 5 2 3 2" xfId="5660"/>
    <cellStyle name="Normal 10 5 2 3 2 2" xfId="8746"/>
    <cellStyle name="Normal 10 5 2 3 2 2 2" xfId="14939"/>
    <cellStyle name="Normal 10 5 2 3 2 2 2 2" xfId="34617"/>
    <cellStyle name="Normal 10 5 2 3 2 2 3" xfId="21091"/>
    <cellStyle name="Normal 10 5 2 3 2 2 3 2" xfId="40769"/>
    <cellStyle name="Normal 10 5 2 3 2 2 4" xfId="28453"/>
    <cellStyle name="Normal 10 5 2 3 2 3" xfId="11873"/>
    <cellStyle name="Normal 10 5 2 3 2 3 2" xfId="31551"/>
    <cellStyle name="Normal 10 5 2 3 2 4" xfId="18025"/>
    <cellStyle name="Normal 10 5 2 3 2 4 2" xfId="37703"/>
    <cellStyle name="Normal 10 5 2 3 2 5" xfId="25387"/>
    <cellStyle name="Normal 10 5 2 3 3" xfId="7211"/>
    <cellStyle name="Normal 10 5 2 3 3 2" xfId="13405"/>
    <cellStyle name="Normal 10 5 2 3 3 2 2" xfId="33083"/>
    <cellStyle name="Normal 10 5 2 3 3 3" xfId="19557"/>
    <cellStyle name="Normal 10 5 2 3 3 3 2" xfId="39235"/>
    <cellStyle name="Normal 10 5 2 3 3 4" xfId="26919"/>
    <cellStyle name="Normal 10 5 2 3 4" xfId="10339"/>
    <cellStyle name="Normal 10 5 2 3 4 2" xfId="30017"/>
    <cellStyle name="Normal 10 5 2 3 5" xfId="16491"/>
    <cellStyle name="Normal 10 5 2 3 5 2" xfId="36169"/>
    <cellStyle name="Normal 10 5 2 3 6" xfId="23853"/>
    <cellStyle name="Normal 10 5 2 4" xfId="4877"/>
    <cellStyle name="Normal 10 5 2 4 2" xfId="7977"/>
    <cellStyle name="Normal 10 5 2 4 2 2" xfId="14170"/>
    <cellStyle name="Normal 10 5 2 4 2 2 2" xfId="33848"/>
    <cellStyle name="Normal 10 5 2 4 2 3" xfId="20322"/>
    <cellStyle name="Normal 10 5 2 4 2 3 2" xfId="40000"/>
    <cellStyle name="Normal 10 5 2 4 2 4" xfId="27684"/>
    <cellStyle name="Normal 10 5 2 4 3" xfId="11104"/>
    <cellStyle name="Normal 10 5 2 4 3 2" xfId="30782"/>
    <cellStyle name="Normal 10 5 2 4 4" xfId="17256"/>
    <cellStyle name="Normal 10 5 2 4 4 2" xfId="36934"/>
    <cellStyle name="Normal 10 5 2 4 5" xfId="24618"/>
    <cellStyle name="Normal 10 5 2 5" xfId="6442"/>
    <cellStyle name="Normal 10 5 2 5 2" xfId="12636"/>
    <cellStyle name="Normal 10 5 2 5 2 2" xfId="32314"/>
    <cellStyle name="Normal 10 5 2 5 3" xfId="18788"/>
    <cellStyle name="Normal 10 5 2 5 3 2" xfId="38466"/>
    <cellStyle name="Normal 10 5 2 5 4" xfId="26150"/>
    <cellStyle name="Normal 10 5 2 6" xfId="9570"/>
    <cellStyle name="Normal 10 5 2 6 2" xfId="29248"/>
    <cellStyle name="Normal 10 5 2 7" xfId="15722"/>
    <cellStyle name="Normal 10 5 2 7 2" xfId="35400"/>
    <cellStyle name="Normal 10 5 2 8" xfId="2495"/>
    <cellStyle name="Normal 10 5 2 9" xfId="23021"/>
    <cellStyle name="Normal 10 5 3" xfId="2497"/>
    <cellStyle name="Normal 10 5 3 2" xfId="2498"/>
    <cellStyle name="Normal 10 5 3 2 2" xfId="4038"/>
    <cellStyle name="Normal 10 5 3 2 2 2" xfId="5663"/>
    <cellStyle name="Normal 10 5 3 2 2 2 2" xfId="8749"/>
    <cellStyle name="Normal 10 5 3 2 2 2 2 2" xfId="14942"/>
    <cellStyle name="Normal 10 5 3 2 2 2 2 2 2" xfId="34620"/>
    <cellStyle name="Normal 10 5 3 2 2 2 2 3" xfId="21094"/>
    <cellStyle name="Normal 10 5 3 2 2 2 2 3 2" xfId="40772"/>
    <cellStyle name="Normal 10 5 3 2 2 2 2 4" xfId="28456"/>
    <cellStyle name="Normal 10 5 3 2 2 2 3" xfId="11876"/>
    <cellStyle name="Normal 10 5 3 2 2 2 3 2" xfId="31554"/>
    <cellStyle name="Normal 10 5 3 2 2 2 4" xfId="18028"/>
    <cellStyle name="Normal 10 5 3 2 2 2 4 2" xfId="37706"/>
    <cellStyle name="Normal 10 5 3 2 2 2 5" xfId="25390"/>
    <cellStyle name="Normal 10 5 3 2 2 3" xfId="7214"/>
    <cellStyle name="Normal 10 5 3 2 2 3 2" xfId="13408"/>
    <cellStyle name="Normal 10 5 3 2 2 3 2 2" xfId="33086"/>
    <cellStyle name="Normal 10 5 3 2 2 3 3" xfId="19560"/>
    <cellStyle name="Normal 10 5 3 2 2 3 3 2" xfId="39238"/>
    <cellStyle name="Normal 10 5 3 2 2 3 4" xfId="26922"/>
    <cellStyle name="Normal 10 5 3 2 2 4" xfId="10342"/>
    <cellStyle name="Normal 10 5 3 2 2 4 2" xfId="30020"/>
    <cellStyle name="Normal 10 5 3 2 2 5" xfId="16494"/>
    <cellStyle name="Normal 10 5 3 2 2 5 2" xfId="36172"/>
    <cellStyle name="Normal 10 5 3 2 2 6" xfId="23856"/>
    <cellStyle name="Normal 10 5 3 2 3" xfId="4880"/>
    <cellStyle name="Normal 10 5 3 2 3 2" xfId="7980"/>
    <cellStyle name="Normal 10 5 3 2 3 2 2" xfId="14173"/>
    <cellStyle name="Normal 10 5 3 2 3 2 2 2" xfId="33851"/>
    <cellStyle name="Normal 10 5 3 2 3 2 3" xfId="20325"/>
    <cellStyle name="Normal 10 5 3 2 3 2 3 2" xfId="40003"/>
    <cellStyle name="Normal 10 5 3 2 3 2 4" xfId="27687"/>
    <cellStyle name="Normal 10 5 3 2 3 3" xfId="11107"/>
    <cellStyle name="Normal 10 5 3 2 3 3 2" xfId="30785"/>
    <cellStyle name="Normal 10 5 3 2 3 4" xfId="17259"/>
    <cellStyle name="Normal 10 5 3 2 3 4 2" xfId="36937"/>
    <cellStyle name="Normal 10 5 3 2 3 5" xfId="24621"/>
    <cellStyle name="Normal 10 5 3 2 4" xfId="6445"/>
    <cellStyle name="Normal 10 5 3 2 4 2" xfId="12639"/>
    <cellStyle name="Normal 10 5 3 2 4 2 2" xfId="32317"/>
    <cellStyle name="Normal 10 5 3 2 4 3" xfId="18791"/>
    <cellStyle name="Normal 10 5 3 2 4 3 2" xfId="38469"/>
    <cellStyle name="Normal 10 5 3 2 4 4" xfId="26153"/>
    <cellStyle name="Normal 10 5 3 2 5" xfId="9573"/>
    <cellStyle name="Normal 10 5 3 2 5 2" xfId="29251"/>
    <cellStyle name="Normal 10 5 3 2 6" xfId="15725"/>
    <cellStyle name="Normal 10 5 3 2 6 2" xfId="35403"/>
    <cellStyle name="Normal 10 5 3 2 7" xfId="23024"/>
    <cellStyle name="Normal 10 5 3 3" xfId="4037"/>
    <cellStyle name="Normal 10 5 3 3 2" xfId="5662"/>
    <cellStyle name="Normal 10 5 3 3 2 2" xfId="8748"/>
    <cellStyle name="Normal 10 5 3 3 2 2 2" xfId="14941"/>
    <cellStyle name="Normal 10 5 3 3 2 2 2 2" xfId="34619"/>
    <cellStyle name="Normal 10 5 3 3 2 2 3" xfId="21093"/>
    <cellStyle name="Normal 10 5 3 3 2 2 3 2" xfId="40771"/>
    <cellStyle name="Normal 10 5 3 3 2 2 4" xfId="28455"/>
    <cellStyle name="Normal 10 5 3 3 2 3" xfId="11875"/>
    <cellStyle name="Normal 10 5 3 3 2 3 2" xfId="31553"/>
    <cellStyle name="Normal 10 5 3 3 2 4" xfId="18027"/>
    <cellStyle name="Normal 10 5 3 3 2 4 2" xfId="37705"/>
    <cellStyle name="Normal 10 5 3 3 2 5" xfId="25389"/>
    <cellStyle name="Normal 10 5 3 3 3" xfId="7213"/>
    <cellStyle name="Normal 10 5 3 3 3 2" xfId="13407"/>
    <cellStyle name="Normal 10 5 3 3 3 2 2" xfId="33085"/>
    <cellStyle name="Normal 10 5 3 3 3 3" xfId="19559"/>
    <cellStyle name="Normal 10 5 3 3 3 3 2" xfId="39237"/>
    <cellStyle name="Normal 10 5 3 3 3 4" xfId="26921"/>
    <cellStyle name="Normal 10 5 3 3 4" xfId="10341"/>
    <cellStyle name="Normal 10 5 3 3 4 2" xfId="30019"/>
    <cellStyle name="Normal 10 5 3 3 5" xfId="16493"/>
    <cellStyle name="Normal 10 5 3 3 5 2" xfId="36171"/>
    <cellStyle name="Normal 10 5 3 3 6" xfId="23855"/>
    <cellStyle name="Normal 10 5 3 4" xfId="4879"/>
    <cellStyle name="Normal 10 5 3 4 2" xfId="7979"/>
    <cellStyle name="Normal 10 5 3 4 2 2" xfId="14172"/>
    <cellStyle name="Normal 10 5 3 4 2 2 2" xfId="33850"/>
    <cellStyle name="Normal 10 5 3 4 2 3" xfId="20324"/>
    <cellStyle name="Normal 10 5 3 4 2 3 2" xfId="40002"/>
    <cellStyle name="Normal 10 5 3 4 2 4" xfId="27686"/>
    <cellStyle name="Normal 10 5 3 4 3" xfId="11106"/>
    <cellStyle name="Normal 10 5 3 4 3 2" xfId="30784"/>
    <cellStyle name="Normal 10 5 3 4 4" xfId="17258"/>
    <cellStyle name="Normal 10 5 3 4 4 2" xfId="36936"/>
    <cellStyle name="Normal 10 5 3 4 5" xfId="24620"/>
    <cellStyle name="Normal 10 5 3 5" xfId="6444"/>
    <cellStyle name="Normal 10 5 3 5 2" xfId="12638"/>
    <cellStyle name="Normal 10 5 3 5 2 2" xfId="32316"/>
    <cellStyle name="Normal 10 5 3 5 3" xfId="18790"/>
    <cellStyle name="Normal 10 5 3 5 3 2" xfId="38468"/>
    <cellStyle name="Normal 10 5 3 5 4" xfId="26152"/>
    <cellStyle name="Normal 10 5 3 6" xfId="9572"/>
    <cellStyle name="Normal 10 5 3 6 2" xfId="29250"/>
    <cellStyle name="Normal 10 5 3 7" xfId="15724"/>
    <cellStyle name="Normal 10 5 3 7 2" xfId="35402"/>
    <cellStyle name="Normal 10 5 3 8" xfId="23023"/>
    <cellStyle name="Normal 10 5 4" xfId="2499"/>
    <cellStyle name="Normal 10 5 4 2" xfId="4039"/>
    <cellStyle name="Normal 10 5 4 2 2" xfId="5664"/>
    <cellStyle name="Normal 10 5 4 2 2 2" xfId="8750"/>
    <cellStyle name="Normal 10 5 4 2 2 2 2" xfId="14943"/>
    <cellStyle name="Normal 10 5 4 2 2 2 2 2" xfId="34621"/>
    <cellStyle name="Normal 10 5 4 2 2 2 3" xfId="21095"/>
    <cellStyle name="Normal 10 5 4 2 2 2 3 2" xfId="40773"/>
    <cellStyle name="Normal 10 5 4 2 2 2 4" xfId="28457"/>
    <cellStyle name="Normal 10 5 4 2 2 3" xfId="11877"/>
    <cellStyle name="Normal 10 5 4 2 2 3 2" xfId="31555"/>
    <cellStyle name="Normal 10 5 4 2 2 4" xfId="18029"/>
    <cellStyle name="Normal 10 5 4 2 2 4 2" xfId="37707"/>
    <cellStyle name="Normal 10 5 4 2 2 5" xfId="25391"/>
    <cellStyle name="Normal 10 5 4 2 3" xfId="7215"/>
    <cellStyle name="Normal 10 5 4 2 3 2" xfId="13409"/>
    <cellStyle name="Normal 10 5 4 2 3 2 2" xfId="33087"/>
    <cellStyle name="Normal 10 5 4 2 3 3" xfId="19561"/>
    <cellStyle name="Normal 10 5 4 2 3 3 2" xfId="39239"/>
    <cellStyle name="Normal 10 5 4 2 3 4" xfId="26923"/>
    <cellStyle name="Normal 10 5 4 2 4" xfId="10343"/>
    <cellStyle name="Normal 10 5 4 2 4 2" xfId="30021"/>
    <cellStyle name="Normal 10 5 4 2 5" xfId="16495"/>
    <cellStyle name="Normal 10 5 4 2 5 2" xfId="36173"/>
    <cellStyle name="Normal 10 5 4 2 6" xfId="23857"/>
    <cellStyle name="Normal 10 5 4 3" xfId="4881"/>
    <cellStyle name="Normal 10 5 4 3 2" xfId="7981"/>
    <cellStyle name="Normal 10 5 4 3 2 2" xfId="14174"/>
    <cellStyle name="Normal 10 5 4 3 2 2 2" xfId="33852"/>
    <cellStyle name="Normal 10 5 4 3 2 3" xfId="20326"/>
    <cellStyle name="Normal 10 5 4 3 2 3 2" xfId="40004"/>
    <cellStyle name="Normal 10 5 4 3 2 4" xfId="27688"/>
    <cellStyle name="Normal 10 5 4 3 3" xfId="11108"/>
    <cellStyle name="Normal 10 5 4 3 3 2" xfId="30786"/>
    <cellStyle name="Normal 10 5 4 3 4" xfId="17260"/>
    <cellStyle name="Normal 10 5 4 3 4 2" xfId="36938"/>
    <cellStyle name="Normal 10 5 4 3 5" xfId="24622"/>
    <cellStyle name="Normal 10 5 4 4" xfId="6446"/>
    <cellStyle name="Normal 10 5 4 4 2" xfId="12640"/>
    <cellStyle name="Normal 10 5 4 4 2 2" xfId="32318"/>
    <cellStyle name="Normal 10 5 4 4 3" xfId="18792"/>
    <cellStyle name="Normal 10 5 4 4 3 2" xfId="38470"/>
    <cellStyle name="Normal 10 5 4 4 4" xfId="26154"/>
    <cellStyle name="Normal 10 5 4 5" xfId="9574"/>
    <cellStyle name="Normal 10 5 4 5 2" xfId="29252"/>
    <cellStyle name="Normal 10 5 4 6" xfId="15726"/>
    <cellStyle name="Normal 10 5 4 6 2" xfId="35404"/>
    <cellStyle name="Normal 10 5 4 7" xfId="23025"/>
    <cellStyle name="Normal 10 5 5" xfId="4034"/>
    <cellStyle name="Normal 10 5 5 2" xfId="5659"/>
    <cellStyle name="Normal 10 5 5 2 2" xfId="8745"/>
    <cellStyle name="Normal 10 5 5 2 2 2" xfId="14938"/>
    <cellStyle name="Normal 10 5 5 2 2 2 2" xfId="34616"/>
    <cellStyle name="Normal 10 5 5 2 2 3" xfId="21090"/>
    <cellStyle name="Normal 10 5 5 2 2 3 2" xfId="40768"/>
    <cellStyle name="Normal 10 5 5 2 2 4" xfId="28452"/>
    <cellStyle name="Normal 10 5 5 2 3" xfId="11872"/>
    <cellStyle name="Normal 10 5 5 2 3 2" xfId="31550"/>
    <cellStyle name="Normal 10 5 5 2 4" xfId="18024"/>
    <cellStyle name="Normal 10 5 5 2 4 2" xfId="37702"/>
    <cellStyle name="Normal 10 5 5 2 5" xfId="25386"/>
    <cellStyle name="Normal 10 5 5 3" xfId="7210"/>
    <cellStyle name="Normal 10 5 5 3 2" xfId="13404"/>
    <cellStyle name="Normal 10 5 5 3 2 2" xfId="33082"/>
    <cellStyle name="Normal 10 5 5 3 3" xfId="19556"/>
    <cellStyle name="Normal 10 5 5 3 3 2" xfId="39234"/>
    <cellStyle name="Normal 10 5 5 3 4" xfId="26918"/>
    <cellStyle name="Normal 10 5 5 4" xfId="10338"/>
    <cellStyle name="Normal 10 5 5 4 2" xfId="30016"/>
    <cellStyle name="Normal 10 5 5 5" xfId="16490"/>
    <cellStyle name="Normal 10 5 5 5 2" xfId="36168"/>
    <cellStyle name="Normal 10 5 5 6" xfId="23852"/>
    <cellStyle name="Normal 10 5 6" xfId="4876"/>
    <cellStyle name="Normal 10 5 6 2" xfId="7976"/>
    <cellStyle name="Normal 10 5 6 2 2" xfId="14169"/>
    <cellStyle name="Normal 10 5 6 2 2 2" xfId="33847"/>
    <cellStyle name="Normal 10 5 6 2 3" xfId="20321"/>
    <cellStyle name="Normal 10 5 6 2 3 2" xfId="39999"/>
    <cellStyle name="Normal 10 5 6 2 4" xfId="27683"/>
    <cellStyle name="Normal 10 5 6 3" xfId="11103"/>
    <cellStyle name="Normal 10 5 6 3 2" xfId="30781"/>
    <cellStyle name="Normal 10 5 6 4" xfId="17255"/>
    <cellStyle name="Normal 10 5 6 4 2" xfId="36933"/>
    <cellStyle name="Normal 10 5 6 5" xfId="24617"/>
    <cellStyle name="Normal 10 5 7" xfId="6441"/>
    <cellStyle name="Normal 10 5 7 2" xfId="12635"/>
    <cellStyle name="Normal 10 5 7 2 2" xfId="32313"/>
    <cellStyle name="Normal 10 5 7 3" xfId="18787"/>
    <cellStyle name="Normal 10 5 7 3 2" xfId="38465"/>
    <cellStyle name="Normal 10 5 7 4" xfId="26149"/>
    <cellStyle name="Normal 10 5 8" xfId="9569"/>
    <cellStyle name="Normal 10 5 8 2" xfId="29247"/>
    <cellStyle name="Normal 10 5 9" xfId="15721"/>
    <cellStyle name="Normal 10 5 9 2" xfId="35399"/>
    <cellStyle name="Normal 10 6" xfId="151"/>
    <cellStyle name="Normal 10 6 2" xfId="2501"/>
    <cellStyle name="Normal 10 6 2 2" xfId="4041"/>
    <cellStyle name="Normal 10 6 2 2 2" xfId="5666"/>
    <cellStyle name="Normal 10 6 2 2 2 2" xfId="8752"/>
    <cellStyle name="Normal 10 6 2 2 2 2 2" xfId="14945"/>
    <cellStyle name="Normal 10 6 2 2 2 2 2 2" xfId="34623"/>
    <cellStyle name="Normal 10 6 2 2 2 2 3" xfId="21097"/>
    <cellStyle name="Normal 10 6 2 2 2 2 3 2" xfId="40775"/>
    <cellStyle name="Normal 10 6 2 2 2 2 4" xfId="28459"/>
    <cellStyle name="Normal 10 6 2 2 2 3" xfId="11879"/>
    <cellStyle name="Normal 10 6 2 2 2 3 2" xfId="31557"/>
    <cellStyle name="Normal 10 6 2 2 2 4" xfId="18031"/>
    <cellStyle name="Normal 10 6 2 2 2 4 2" xfId="37709"/>
    <cellStyle name="Normal 10 6 2 2 2 5" xfId="25393"/>
    <cellStyle name="Normal 10 6 2 2 3" xfId="7217"/>
    <cellStyle name="Normal 10 6 2 2 3 2" xfId="13411"/>
    <cellStyle name="Normal 10 6 2 2 3 2 2" xfId="33089"/>
    <cellStyle name="Normal 10 6 2 2 3 3" xfId="19563"/>
    <cellStyle name="Normal 10 6 2 2 3 3 2" xfId="39241"/>
    <cellStyle name="Normal 10 6 2 2 3 4" xfId="26925"/>
    <cellStyle name="Normal 10 6 2 2 4" xfId="10345"/>
    <cellStyle name="Normal 10 6 2 2 4 2" xfId="30023"/>
    <cellStyle name="Normal 10 6 2 2 5" xfId="16497"/>
    <cellStyle name="Normal 10 6 2 2 5 2" xfId="36175"/>
    <cellStyle name="Normal 10 6 2 2 6" xfId="23859"/>
    <cellStyle name="Normal 10 6 2 3" xfId="4883"/>
    <cellStyle name="Normal 10 6 2 3 2" xfId="7983"/>
    <cellStyle name="Normal 10 6 2 3 2 2" xfId="14176"/>
    <cellStyle name="Normal 10 6 2 3 2 2 2" xfId="33854"/>
    <cellStyle name="Normal 10 6 2 3 2 3" xfId="20328"/>
    <cellStyle name="Normal 10 6 2 3 2 3 2" xfId="40006"/>
    <cellStyle name="Normal 10 6 2 3 2 4" xfId="27690"/>
    <cellStyle name="Normal 10 6 2 3 3" xfId="11110"/>
    <cellStyle name="Normal 10 6 2 3 3 2" xfId="30788"/>
    <cellStyle name="Normal 10 6 2 3 4" xfId="17262"/>
    <cellStyle name="Normal 10 6 2 3 4 2" xfId="36940"/>
    <cellStyle name="Normal 10 6 2 3 5" xfId="24624"/>
    <cellStyle name="Normal 10 6 2 4" xfId="6448"/>
    <cellStyle name="Normal 10 6 2 4 2" xfId="12642"/>
    <cellStyle name="Normal 10 6 2 4 2 2" xfId="32320"/>
    <cellStyle name="Normal 10 6 2 4 3" xfId="18794"/>
    <cellStyle name="Normal 10 6 2 4 3 2" xfId="38472"/>
    <cellStyle name="Normal 10 6 2 4 4" xfId="26156"/>
    <cellStyle name="Normal 10 6 2 5" xfId="9576"/>
    <cellStyle name="Normal 10 6 2 5 2" xfId="29254"/>
    <cellStyle name="Normal 10 6 2 6" xfId="15728"/>
    <cellStyle name="Normal 10 6 2 6 2" xfId="35406"/>
    <cellStyle name="Normal 10 6 2 7" xfId="23027"/>
    <cellStyle name="Normal 10 6 3" xfId="4040"/>
    <cellStyle name="Normal 10 6 3 2" xfId="5665"/>
    <cellStyle name="Normal 10 6 3 2 2" xfId="8751"/>
    <cellStyle name="Normal 10 6 3 2 2 2" xfId="14944"/>
    <cellStyle name="Normal 10 6 3 2 2 2 2" xfId="34622"/>
    <cellStyle name="Normal 10 6 3 2 2 3" xfId="21096"/>
    <cellStyle name="Normal 10 6 3 2 2 3 2" xfId="40774"/>
    <cellStyle name="Normal 10 6 3 2 2 4" xfId="28458"/>
    <cellStyle name="Normal 10 6 3 2 3" xfId="11878"/>
    <cellStyle name="Normal 10 6 3 2 3 2" xfId="31556"/>
    <cellStyle name="Normal 10 6 3 2 4" xfId="18030"/>
    <cellStyle name="Normal 10 6 3 2 4 2" xfId="37708"/>
    <cellStyle name="Normal 10 6 3 2 5" xfId="25392"/>
    <cellStyle name="Normal 10 6 3 3" xfId="7216"/>
    <cellStyle name="Normal 10 6 3 3 2" xfId="13410"/>
    <cellStyle name="Normal 10 6 3 3 2 2" xfId="33088"/>
    <cellStyle name="Normal 10 6 3 3 3" xfId="19562"/>
    <cellStyle name="Normal 10 6 3 3 3 2" xfId="39240"/>
    <cellStyle name="Normal 10 6 3 3 4" xfId="26924"/>
    <cellStyle name="Normal 10 6 3 4" xfId="10344"/>
    <cellStyle name="Normal 10 6 3 4 2" xfId="30022"/>
    <cellStyle name="Normal 10 6 3 5" xfId="16496"/>
    <cellStyle name="Normal 10 6 3 5 2" xfId="36174"/>
    <cellStyle name="Normal 10 6 3 6" xfId="23858"/>
    <cellStyle name="Normal 10 6 4" xfId="4882"/>
    <cellStyle name="Normal 10 6 4 2" xfId="7982"/>
    <cellStyle name="Normal 10 6 4 2 2" xfId="14175"/>
    <cellStyle name="Normal 10 6 4 2 2 2" xfId="33853"/>
    <cellStyle name="Normal 10 6 4 2 3" xfId="20327"/>
    <cellStyle name="Normal 10 6 4 2 3 2" xfId="40005"/>
    <cellStyle name="Normal 10 6 4 2 4" xfId="27689"/>
    <cellStyle name="Normal 10 6 4 3" xfId="11109"/>
    <cellStyle name="Normal 10 6 4 3 2" xfId="30787"/>
    <cellStyle name="Normal 10 6 4 4" xfId="17261"/>
    <cellStyle name="Normal 10 6 4 4 2" xfId="36939"/>
    <cellStyle name="Normal 10 6 4 5" xfId="24623"/>
    <cellStyle name="Normal 10 6 5" xfId="6447"/>
    <cellStyle name="Normal 10 6 5 2" xfId="12641"/>
    <cellStyle name="Normal 10 6 5 2 2" xfId="32319"/>
    <cellStyle name="Normal 10 6 5 3" xfId="18793"/>
    <cellStyle name="Normal 10 6 5 3 2" xfId="38471"/>
    <cellStyle name="Normal 10 6 5 4" xfId="26155"/>
    <cellStyle name="Normal 10 6 6" xfId="9575"/>
    <cellStyle name="Normal 10 6 6 2" xfId="29253"/>
    <cellStyle name="Normal 10 6 7" xfId="15727"/>
    <cellStyle name="Normal 10 6 7 2" xfId="35405"/>
    <cellStyle name="Normal 10 6 8" xfId="2500"/>
    <cellStyle name="Normal 10 6 8 2" xfId="41952"/>
    <cellStyle name="Normal 10 6 9" xfId="23026"/>
    <cellStyle name="Normal 10 7" xfId="2502"/>
    <cellStyle name="Normal 10 7 2" xfId="2503"/>
    <cellStyle name="Normal 10 7 2 2" xfId="4043"/>
    <cellStyle name="Normal 10 7 2 2 2" xfId="5668"/>
    <cellStyle name="Normal 10 7 2 2 2 2" xfId="8754"/>
    <cellStyle name="Normal 10 7 2 2 2 2 2" xfId="14947"/>
    <cellStyle name="Normal 10 7 2 2 2 2 2 2" xfId="34625"/>
    <cellStyle name="Normal 10 7 2 2 2 2 3" xfId="21099"/>
    <cellStyle name="Normal 10 7 2 2 2 2 3 2" xfId="40777"/>
    <cellStyle name="Normal 10 7 2 2 2 2 4" xfId="28461"/>
    <cellStyle name="Normal 10 7 2 2 2 3" xfId="11881"/>
    <cellStyle name="Normal 10 7 2 2 2 3 2" xfId="31559"/>
    <cellStyle name="Normal 10 7 2 2 2 4" xfId="18033"/>
    <cellStyle name="Normal 10 7 2 2 2 4 2" xfId="37711"/>
    <cellStyle name="Normal 10 7 2 2 2 5" xfId="25395"/>
    <cellStyle name="Normal 10 7 2 2 3" xfId="7219"/>
    <cellStyle name="Normal 10 7 2 2 3 2" xfId="13413"/>
    <cellStyle name="Normal 10 7 2 2 3 2 2" xfId="33091"/>
    <cellStyle name="Normal 10 7 2 2 3 3" xfId="19565"/>
    <cellStyle name="Normal 10 7 2 2 3 3 2" xfId="39243"/>
    <cellStyle name="Normal 10 7 2 2 3 4" xfId="26927"/>
    <cellStyle name="Normal 10 7 2 2 4" xfId="10347"/>
    <cellStyle name="Normal 10 7 2 2 4 2" xfId="30025"/>
    <cellStyle name="Normal 10 7 2 2 5" xfId="16499"/>
    <cellStyle name="Normal 10 7 2 2 5 2" xfId="36177"/>
    <cellStyle name="Normal 10 7 2 2 6" xfId="23861"/>
    <cellStyle name="Normal 10 7 2 3" xfId="4885"/>
    <cellStyle name="Normal 10 7 2 3 2" xfId="7985"/>
    <cellStyle name="Normal 10 7 2 3 2 2" xfId="14178"/>
    <cellStyle name="Normal 10 7 2 3 2 2 2" xfId="33856"/>
    <cellStyle name="Normal 10 7 2 3 2 3" xfId="20330"/>
    <cellStyle name="Normal 10 7 2 3 2 3 2" xfId="40008"/>
    <cellStyle name="Normal 10 7 2 3 2 4" xfId="27692"/>
    <cellStyle name="Normal 10 7 2 3 3" xfId="11112"/>
    <cellStyle name="Normal 10 7 2 3 3 2" xfId="30790"/>
    <cellStyle name="Normal 10 7 2 3 4" xfId="17264"/>
    <cellStyle name="Normal 10 7 2 3 4 2" xfId="36942"/>
    <cellStyle name="Normal 10 7 2 3 5" xfId="24626"/>
    <cellStyle name="Normal 10 7 2 4" xfId="6450"/>
    <cellStyle name="Normal 10 7 2 4 2" xfId="12644"/>
    <cellStyle name="Normal 10 7 2 4 2 2" xfId="32322"/>
    <cellStyle name="Normal 10 7 2 4 3" xfId="18796"/>
    <cellStyle name="Normal 10 7 2 4 3 2" xfId="38474"/>
    <cellStyle name="Normal 10 7 2 4 4" xfId="26158"/>
    <cellStyle name="Normal 10 7 2 5" xfId="9578"/>
    <cellStyle name="Normal 10 7 2 5 2" xfId="29256"/>
    <cellStyle name="Normal 10 7 2 6" xfId="15730"/>
    <cellStyle name="Normal 10 7 2 6 2" xfId="35408"/>
    <cellStyle name="Normal 10 7 2 7" xfId="23029"/>
    <cellStyle name="Normal 10 7 3" xfId="4042"/>
    <cellStyle name="Normal 10 7 3 2" xfId="5667"/>
    <cellStyle name="Normal 10 7 3 2 2" xfId="8753"/>
    <cellStyle name="Normal 10 7 3 2 2 2" xfId="14946"/>
    <cellStyle name="Normal 10 7 3 2 2 2 2" xfId="34624"/>
    <cellStyle name="Normal 10 7 3 2 2 3" xfId="21098"/>
    <cellStyle name="Normal 10 7 3 2 2 3 2" xfId="40776"/>
    <cellStyle name="Normal 10 7 3 2 2 4" xfId="28460"/>
    <cellStyle name="Normal 10 7 3 2 3" xfId="11880"/>
    <cellStyle name="Normal 10 7 3 2 3 2" xfId="31558"/>
    <cellStyle name="Normal 10 7 3 2 4" xfId="18032"/>
    <cellStyle name="Normal 10 7 3 2 4 2" xfId="37710"/>
    <cellStyle name="Normal 10 7 3 2 5" xfId="25394"/>
    <cellStyle name="Normal 10 7 3 3" xfId="7218"/>
    <cellStyle name="Normal 10 7 3 3 2" xfId="13412"/>
    <cellStyle name="Normal 10 7 3 3 2 2" xfId="33090"/>
    <cellStyle name="Normal 10 7 3 3 3" xfId="19564"/>
    <cellStyle name="Normal 10 7 3 3 3 2" xfId="39242"/>
    <cellStyle name="Normal 10 7 3 3 4" xfId="26926"/>
    <cellStyle name="Normal 10 7 3 4" xfId="10346"/>
    <cellStyle name="Normal 10 7 3 4 2" xfId="30024"/>
    <cellStyle name="Normal 10 7 3 5" xfId="16498"/>
    <cellStyle name="Normal 10 7 3 5 2" xfId="36176"/>
    <cellStyle name="Normal 10 7 3 6" xfId="23860"/>
    <cellStyle name="Normal 10 7 4" xfId="4884"/>
    <cellStyle name="Normal 10 7 4 2" xfId="7984"/>
    <cellStyle name="Normal 10 7 4 2 2" xfId="14177"/>
    <cellStyle name="Normal 10 7 4 2 2 2" xfId="33855"/>
    <cellStyle name="Normal 10 7 4 2 3" xfId="20329"/>
    <cellStyle name="Normal 10 7 4 2 3 2" xfId="40007"/>
    <cellStyle name="Normal 10 7 4 2 4" xfId="27691"/>
    <cellStyle name="Normal 10 7 4 3" xfId="11111"/>
    <cellStyle name="Normal 10 7 4 3 2" xfId="30789"/>
    <cellStyle name="Normal 10 7 4 4" xfId="17263"/>
    <cellStyle name="Normal 10 7 4 4 2" xfId="36941"/>
    <cellStyle name="Normal 10 7 4 5" xfId="24625"/>
    <cellStyle name="Normal 10 7 5" xfId="6449"/>
    <cellStyle name="Normal 10 7 5 2" xfId="12643"/>
    <cellStyle name="Normal 10 7 5 2 2" xfId="32321"/>
    <cellStyle name="Normal 10 7 5 3" xfId="18795"/>
    <cellStyle name="Normal 10 7 5 3 2" xfId="38473"/>
    <cellStyle name="Normal 10 7 5 4" xfId="26157"/>
    <cellStyle name="Normal 10 7 6" xfId="9577"/>
    <cellStyle name="Normal 10 7 6 2" xfId="29255"/>
    <cellStyle name="Normal 10 7 7" xfId="15729"/>
    <cellStyle name="Normal 10 7 7 2" xfId="35407"/>
    <cellStyle name="Normal 10 7 8" xfId="41953"/>
    <cellStyle name="Normal 10 7 9" xfId="23028"/>
    <cellStyle name="Normal 10 8" xfId="2504"/>
    <cellStyle name="Normal 10 8 2" xfId="2505"/>
    <cellStyle name="Normal 10 8 2 2" xfId="4044"/>
    <cellStyle name="Normal 10 8 2 2 2" xfId="5669"/>
    <cellStyle name="Normal 10 8 2 2 2 2" xfId="8755"/>
    <cellStyle name="Normal 10 8 2 2 2 2 2" xfId="14948"/>
    <cellStyle name="Normal 10 8 2 2 2 2 2 2" xfId="34626"/>
    <cellStyle name="Normal 10 8 2 2 2 2 3" xfId="21100"/>
    <cellStyle name="Normal 10 8 2 2 2 2 3 2" xfId="40778"/>
    <cellStyle name="Normal 10 8 2 2 2 2 4" xfId="28462"/>
    <cellStyle name="Normal 10 8 2 2 2 3" xfId="11882"/>
    <cellStyle name="Normal 10 8 2 2 2 3 2" xfId="31560"/>
    <cellStyle name="Normal 10 8 2 2 2 4" xfId="18034"/>
    <cellStyle name="Normal 10 8 2 2 2 4 2" xfId="37712"/>
    <cellStyle name="Normal 10 8 2 2 2 5" xfId="25396"/>
    <cellStyle name="Normal 10 8 2 2 3" xfId="7220"/>
    <cellStyle name="Normal 10 8 2 2 3 2" xfId="13414"/>
    <cellStyle name="Normal 10 8 2 2 3 2 2" xfId="33092"/>
    <cellStyle name="Normal 10 8 2 2 3 3" xfId="19566"/>
    <cellStyle name="Normal 10 8 2 2 3 3 2" xfId="39244"/>
    <cellStyle name="Normal 10 8 2 2 3 4" xfId="26928"/>
    <cellStyle name="Normal 10 8 2 2 4" xfId="10348"/>
    <cellStyle name="Normal 10 8 2 2 4 2" xfId="30026"/>
    <cellStyle name="Normal 10 8 2 2 5" xfId="16500"/>
    <cellStyle name="Normal 10 8 2 2 5 2" xfId="36178"/>
    <cellStyle name="Normal 10 8 2 2 6" xfId="23862"/>
    <cellStyle name="Normal 10 8 2 3" xfId="4886"/>
    <cellStyle name="Normal 10 8 2 3 2" xfId="7986"/>
    <cellStyle name="Normal 10 8 2 3 2 2" xfId="14179"/>
    <cellStyle name="Normal 10 8 2 3 2 2 2" xfId="33857"/>
    <cellStyle name="Normal 10 8 2 3 2 3" xfId="20331"/>
    <cellStyle name="Normal 10 8 2 3 2 3 2" xfId="40009"/>
    <cellStyle name="Normal 10 8 2 3 2 4" xfId="27693"/>
    <cellStyle name="Normal 10 8 2 3 3" xfId="11113"/>
    <cellStyle name="Normal 10 8 2 3 3 2" xfId="30791"/>
    <cellStyle name="Normal 10 8 2 3 4" xfId="17265"/>
    <cellStyle name="Normal 10 8 2 3 4 2" xfId="36943"/>
    <cellStyle name="Normal 10 8 2 3 5" xfId="24627"/>
    <cellStyle name="Normal 10 8 2 4" xfId="6451"/>
    <cellStyle name="Normal 10 8 2 4 2" xfId="12645"/>
    <cellStyle name="Normal 10 8 2 4 2 2" xfId="32323"/>
    <cellStyle name="Normal 10 8 2 4 3" xfId="18797"/>
    <cellStyle name="Normal 10 8 2 4 3 2" xfId="38475"/>
    <cellStyle name="Normal 10 8 2 4 4" xfId="26159"/>
    <cellStyle name="Normal 10 8 2 5" xfId="9579"/>
    <cellStyle name="Normal 10 8 2 5 2" xfId="29257"/>
    <cellStyle name="Normal 10 8 2 6" xfId="15731"/>
    <cellStyle name="Normal 10 8 2 6 2" xfId="35409"/>
    <cellStyle name="Normal 10 8 2 7" xfId="23030"/>
    <cellStyle name="Normal 10 9" xfId="2506"/>
    <cellStyle name="Normal 10 9 2" xfId="4045"/>
    <cellStyle name="Normal 10 9 2 2" xfId="5670"/>
    <cellStyle name="Normal 10 9 2 2 2" xfId="8756"/>
    <cellStyle name="Normal 10 9 2 2 2 2" xfId="14949"/>
    <cellStyle name="Normal 10 9 2 2 2 2 2" xfId="34627"/>
    <cellStyle name="Normal 10 9 2 2 2 3" xfId="21101"/>
    <cellStyle name="Normal 10 9 2 2 2 3 2" xfId="40779"/>
    <cellStyle name="Normal 10 9 2 2 2 4" xfId="28463"/>
    <cellStyle name="Normal 10 9 2 2 3" xfId="11883"/>
    <cellStyle name="Normal 10 9 2 2 3 2" xfId="31561"/>
    <cellStyle name="Normal 10 9 2 2 4" xfId="18035"/>
    <cellStyle name="Normal 10 9 2 2 4 2" xfId="37713"/>
    <cellStyle name="Normal 10 9 2 2 5" xfId="25397"/>
    <cellStyle name="Normal 10 9 2 3" xfId="7221"/>
    <cellStyle name="Normal 10 9 2 3 2" xfId="13415"/>
    <cellStyle name="Normal 10 9 2 3 2 2" xfId="33093"/>
    <cellStyle name="Normal 10 9 2 3 3" xfId="19567"/>
    <cellStyle name="Normal 10 9 2 3 3 2" xfId="39245"/>
    <cellStyle name="Normal 10 9 2 3 4" xfId="26929"/>
    <cellStyle name="Normal 10 9 2 4" xfId="10349"/>
    <cellStyle name="Normal 10 9 2 4 2" xfId="30027"/>
    <cellStyle name="Normal 10 9 2 5" xfId="16501"/>
    <cellStyle name="Normal 10 9 2 5 2" xfId="36179"/>
    <cellStyle name="Normal 10 9 2 6" xfId="23863"/>
    <cellStyle name="Normal 10 9 3" xfId="4887"/>
    <cellStyle name="Normal 10 9 3 2" xfId="7987"/>
    <cellStyle name="Normal 10 9 3 2 2" xfId="14180"/>
    <cellStyle name="Normal 10 9 3 2 2 2" xfId="33858"/>
    <cellStyle name="Normal 10 9 3 2 3" xfId="20332"/>
    <cellStyle name="Normal 10 9 3 2 3 2" xfId="40010"/>
    <cellStyle name="Normal 10 9 3 2 4" xfId="27694"/>
    <cellStyle name="Normal 10 9 3 3" xfId="11114"/>
    <cellStyle name="Normal 10 9 3 3 2" xfId="30792"/>
    <cellStyle name="Normal 10 9 3 4" xfId="17266"/>
    <cellStyle name="Normal 10 9 3 4 2" xfId="36944"/>
    <cellStyle name="Normal 10 9 3 5" xfId="24628"/>
    <cellStyle name="Normal 10 9 4" xfId="6452"/>
    <cellStyle name="Normal 10 9 4 2" xfId="12646"/>
    <cellStyle name="Normal 10 9 4 2 2" xfId="32324"/>
    <cellStyle name="Normal 10 9 4 3" xfId="18798"/>
    <cellStyle name="Normal 10 9 4 3 2" xfId="38476"/>
    <cellStyle name="Normal 10 9 4 4" xfId="26160"/>
    <cellStyle name="Normal 10 9 5" xfId="9580"/>
    <cellStyle name="Normal 10 9 5 2" xfId="29258"/>
    <cellStyle name="Normal 10 9 6" xfId="15732"/>
    <cellStyle name="Normal 10 9 6 2" xfId="35410"/>
    <cellStyle name="Normal 10 9 7" xfId="23031"/>
    <cellStyle name="Normal 11" xfId="35"/>
    <cellStyle name="Normal 11 10" xfId="342"/>
    <cellStyle name="Normal 11 10 2" xfId="22739"/>
    <cellStyle name="Normal 11 11" xfId="21982"/>
    <cellStyle name="Normal 11 12" xfId="41954"/>
    <cellStyle name="Normal 11 13" xfId="21687"/>
    <cellStyle name="Normal 11 14" xfId="42074"/>
    <cellStyle name="Normal 11 2" xfId="110"/>
    <cellStyle name="Normal 11 2 10" xfId="41955"/>
    <cellStyle name="Normal 11 2 11" xfId="21701"/>
    <cellStyle name="Normal 11 2 2" xfId="140"/>
    <cellStyle name="Normal 11 2 2 2" xfId="203"/>
    <cellStyle name="Normal 11 2 2 2 2" xfId="6187"/>
    <cellStyle name="Normal 11 2 2 2 2 2" xfId="9273"/>
    <cellStyle name="Normal 11 2 2 2 2 2 2" xfId="15466"/>
    <cellStyle name="Normal 11 2 2 2 2 2 2 2" xfId="35144"/>
    <cellStyle name="Normal 11 2 2 2 2 2 3" xfId="21618"/>
    <cellStyle name="Normal 11 2 2 2 2 2 3 2" xfId="41296"/>
    <cellStyle name="Normal 11 2 2 2 2 2 4" xfId="28980"/>
    <cellStyle name="Normal 11 2 2 2 2 3" xfId="12400"/>
    <cellStyle name="Normal 11 2 2 2 2 3 2" xfId="32078"/>
    <cellStyle name="Normal 11 2 2 2 2 4" xfId="18552"/>
    <cellStyle name="Normal 11 2 2 2 2 4 2" xfId="38230"/>
    <cellStyle name="Normal 11 2 2 2 2 5" xfId="25914"/>
    <cellStyle name="Normal 11 2 2 2 3" xfId="7738"/>
    <cellStyle name="Normal 11 2 2 2 3 2" xfId="13932"/>
    <cellStyle name="Normal 11 2 2 2 3 2 2" xfId="33610"/>
    <cellStyle name="Normal 11 2 2 2 3 3" xfId="20084"/>
    <cellStyle name="Normal 11 2 2 2 3 3 2" xfId="39762"/>
    <cellStyle name="Normal 11 2 2 2 3 4" xfId="27446"/>
    <cellStyle name="Normal 11 2 2 2 4" xfId="10866"/>
    <cellStyle name="Normal 11 2 2 2 4 2" xfId="30544"/>
    <cellStyle name="Normal 11 2 2 2 5" xfId="17018"/>
    <cellStyle name="Normal 11 2 2 2 5 2" xfId="36696"/>
    <cellStyle name="Normal 11 2 2 2 6" xfId="4562"/>
    <cellStyle name="Normal 11 2 2 2 7" xfId="24380"/>
    <cellStyle name="Normal 11 2 2 3" xfId="5418"/>
    <cellStyle name="Normal 11 2 2 3 2" xfId="8504"/>
    <cellStyle name="Normal 11 2 2 3 2 2" xfId="14697"/>
    <cellStyle name="Normal 11 2 2 3 2 2 2" xfId="34375"/>
    <cellStyle name="Normal 11 2 2 3 2 3" xfId="20849"/>
    <cellStyle name="Normal 11 2 2 3 2 3 2" xfId="40527"/>
    <cellStyle name="Normal 11 2 2 3 2 4" xfId="28211"/>
    <cellStyle name="Normal 11 2 2 3 3" xfId="11631"/>
    <cellStyle name="Normal 11 2 2 3 3 2" xfId="31309"/>
    <cellStyle name="Normal 11 2 2 3 4" xfId="17783"/>
    <cellStyle name="Normal 11 2 2 3 4 2" xfId="37461"/>
    <cellStyle name="Normal 11 2 2 3 5" xfId="25145"/>
    <cellStyle name="Normal 11 2 2 4" xfId="6969"/>
    <cellStyle name="Normal 11 2 2 4 2" xfId="13163"/>
    <cellStyle name="Normal 11 2 2 4 2 2" xfId="32841"/>
    <cellStyle name="Normal 11 2 2 4 3" xfId="19315"/>
    <cellStyle name="Normal 11 2 2 4 3 2" xfId="38993"/>
    <cellStyle name="Normal 11 2 2 4 4" xfId="26677"/>
    <cellStyle name="Normal 11 2 2 5" xfId="10097"/>
    <cellStyle name="Normal 11 2 2 5 2" xfId="29775"/>
    <cellStyle name="Normal 11 2 2 6" xfId="16249"/>
    <cellStyle name="Normal 11 2 2 6 2" xfId="35927"/>
    <cellStyle name="Normal 11 2 2 7" xfId="3786"/>
    <cellStyle name="Normal 11 2 2 7 2" xfId="23611"/>
    <cellStyle name="Normal 11 2 2 8" xfId="21739"/>
    <cellStyle name="Normal 11 2 3" xfId="165"/>
    <cellStyle name="Normal 11 2 3 2" xfId="2508"/>
    <cellStyle name="Normal 11 2 4" xfId="3821"/>
    <cellStyle name="Normal 11 2 4 2" xfId="5446"/>
    <cellStyle name="Normal 11 2 4 2 2" xfId="8532"/>
    <cellStyle name="Normal 11 2 4 2 2 2" xfId="14725"/>
    <cellStyle name="Normal 11 2 4 2 2 2 2" xfId="34403"/>
    <cellStyle name="Normal 11 2 4 2 2 3" xfId="20877"/>
    <cellStyle name="Normal 11 2 4 2 2 3 2" xfId="40555"/>
    <cellStyle name="Normal 11 2 4 2 2 4" xfId="28239"/>
    <cellStyle name="Normal 11 2 4 2 3" xfId="11659"/>
    <cellStyle name="Normal 11 2 4 2 3 2" xfId="31337"/>
    <cellStyle name="Normal 11 2 4 2 4" xfId="17811"/>
    <cellStyle name="Normal 11 2 4 2 4 2" xfId="37489"/>
    <cellStyle name="Normal 11 2 4 2 5" xfId="25173"/>
    <cellStyle name="Normal 11 2 4 3" xfId="6997"/>
    <cellStyle name="Normal 11 2 4 3 2" xfId="13191"/>
    <cellStyle name="Normal 11 2 4 3 2 2" xfId="32869"/>
    <cellStyle name="Normal 11 2 4 3 3" xfId="19343"/>
    <cellStyle name="Normal 11 2 4 3 3 2" xfId="39021"/>
    <cellStyle name="Normal 11 2 4 3 4" xfId="26705"/>
    <cellStyle name="Normal 11 2 4 4" xfId="10125"/>
    <cellStyle name="Normal 11 2 4 4 2" xfId="29803"/>
    <cellStyle name="Normal 11 2 4 5" xfId="16277"/>
    <cellStyle name="Normal 11 2 4 5 2" xfId="35955"/>
    <cellStyle name="Normal 11 2 4 6" xfId="23639"/>
    <cellStyle name="Normal 11 2 5" xfId="4660"/>
    <cellStyle name="Normal 11 2 5 2" xfId="7763"/>
    <cellStyle name="Normal 11 2 5 2 2" xfId="13956"/>
    <cellStyle name="Normal 11 2 5 2 2 2" xfId="33634"/>
    <cellStyle name="Normal 11 2 5 2 3" xfId="20108"/>
    <cellStyle name="Normal 11 2 5 2 3 2" xfId="39786"/>
    <cellStyle name="Normal 11 2 5 2 4" xfId="27470"/>
    <cellStyle name="Normal 11 2 5 3" xfId="10890"/>
    <cellStyle name="Normal 11 2 5 3 2" xfId="30568"/>
    <cellStyle name="Normal 11 2 5 4" xfId="17042"/>
    <cellStyle name="Normal 11 2 5 4 2" xfId="36720"/>
    <cellStyle name="Normal 11 2 5 5" xfId="24404"/>
    <cellStyle name="Normal 11 2 6" xfId="6228"/>
    <cellStyle name="Normal 11 2 6 2" xfId="12422"/>
    <cellStyle name="Normal 11 2 6 2 2" xfId="32100"/>
    <cellStyle name="Normal 11 2 6 3" xfId="18574"/>
    <cellStyle name="Normal 11 2 6 3 2" xfId="38252"/>
    <cellStyle name="Normal 11 2 6 4" xfId="25936"/>
    <cellStyle name="Normal 11 2 7" xfId="9356"/>
    <cellStyle name="Normal 11 2 7 2" xfId="29034"/>
    <cellStyle name="Normal 11 2 8" xfId="15508"/>
    <cellStyle name="Normal 11 2 8 2" xfId="35186"/>
    <cellStyle name="Normal 11 2 9" xfId="368"/>
    <cellStyle name="Normal 11 2 9 2" xfId="22751"/>
    <cellStyle name="Normal 11 3" xfId="83"/>
    <cellStyle name="Normal 11 3 2" xfId="190"/>
    <cellStyle name="Normal 11 3 2 2" xfId="5672"/>
    <cellStyle name="Normal 11 3 2 2 2" xfId="8758"/>
    <cellStyle name="Normal 11 3 2 2 2 2" xfId="14951"/>
    <cellStyle name="Normal 11 3 2 2 2 2 2" xfId="34629"/>
    <cellStyle name="Normal 11 3 2 2 2 3" xfId="21103"/>
    <cellStyle name="Normal 11 3 2 2 2 3 2" xfId="40781"/>
    <cellStyle name="Normal 11 3 2 2 2 4" xfId="28465"/>
    <cellStyle name="Normal 11 3 2 2 3" xfId="11885"/>
    <cellStyle name="Normal 11 3 2 2 3 2" xfId="31563"/>
    <cellStyle name="Normal 11 3 2 2 4" xfId="18037"/>
    <cellStyle name="Normal 11 3 2 2 4 2" xfId="37715"/>
    <cellStyle name="Normal 11 3 2 2 5" xfId="25399"/>
    <cellStyle name="Normal 11 3 2 3" xfId="7223"/>
    <cellStyle name="Normal 11 3 2 3 2" xfId="13417"/>
    <cellStyle name="Normal 11 3 2 3 2 2" xfId="33095"/>
    <cellStyle name="Normal 11 3 2 3 3" xfId="19569"/>
    <cellStyle name="Normal 11 3 2 3 3 2" xfId="39247"/>
    <cellStyle name="Normal 11 3 2 3 4" xfId="26931"/>
    <cellStyle name="Normal 11 3 2 4" xfId="10351"/>
    <cellStyle name="Normal 11 3 2 4 2" xfId="30029"/>
    <cellStyle name="Normal 11 3 2 5" xfId="16503"/>
    <cellStyle name="Normal 11 3 2 5 2" xfId="36181"/>
    <cellStyle name="Normal 11 3 2 6" xfId="4047"/>
    <cellStyle name="Normal 11 3 2 7" xfId="23865"/>
    <cellStyle name="Normal 11 3 3" xfId="4889"/>
    <cellStyle name="Normal 11 3 3 2" xfId="7989"/>
    <cellStyle name="Normal 11 3 3 2 2" xfId="14182"/>
    <cellStyle name="Normal 11 3 3 2 2 2" xfId="33860"/>
    <cellStyle name="Normal 11 3 3 2 3" xfId="20334"/>
    <cellStyle name="Normal 11 3 3 2 3 2" xfId="40012"/>
    <cellStyle name="Normal 11 3 3 2 4" xfId="27696"/>
    <cellStyle name="Normal 11 3 3 3" xfId="11116"/>
    <cellStyle name="Normal 11 3 3 3 2" xfId="30794"/>
    <cellStyle name="Normal 11 3 3 4" xfId="17268"/>
    <cellStyle name="Normal 11 3 3 4 2" xfId="36946"/>
    <cellStyle name="Normal 11 3 3 5" xfId="24630"/>
    <cellStyle name="Normal 11 3 4" xfId="6454"/>
    <cellStyle name="Normal 11 3 4 2" xfId="12648"/>
    <cellStyle name="Normal 11 3 4 2 2" xfId="32326"/>
    <cellStyle name="Normal 11 3 4 3" xfId="18800"/>
    <cellStyle name="Normal 11 3 4 3 2" xfId="38478"/>
    <cellStyle name="Normal 11 3 4 4" xfId="26162"/>
    <cellStyle name="Normal 11 3 5" xfId="9582"/>
    <cellStyle name="Normal 11 3 5 2" xfId="29260"/>
    <cellStyle name="Normal 11 3 6" xfId="15734"/>
    <cellStyle name="Normal 11 3 6 2" xfId="35412"/>
    <cellStyle name="Normal 11 3 7" xfId="2509"/>
    <cellStyle name="Normal 11 3 7 2" xfId="23033"/>
    <cellStyle name="Normal 11 3 8" xfId="41956"/>
    <cellStyle name="Normal 11 3 9" xfId="21726"/>
    <cellStyle name="Normal 11 4" xfId="128"/>
    <cellStyle name="Normal 11 4 2" xfId="178"/>
    <cellStyle name="Normal 11 4 2 2" xfId="5671"/>
    <cellStyle name="Normal 11 4 2 2 2" xfId="8757"/>
    <cellStyle name="Normal 11 4 2 2 2 2" xfId="14950"/>
    <cellStyle name="Normal 11 4 2 2 2 2 2" xfId="34628"/>
    <cellStyle name="Normal 11 4 2 2 2 3" xfId="21102"/>
    <cellStyle name="Normal 11 4 2 2 2 3 2" xfId="40780"/>
    <cellStyle name="Normal 11 4 2 2 2 4" xfId="28464"/>
    <cellStyle name="Normal 11 4 2 2 3" xfId="11884"/>
    <cellStyle name="Normal 11 4 2 2 3 2" xfId="31562"/>
    <cellStyle name="Normal 11 4 2 2 4" xfId="18036"/>
    <cellStyle name="Normal 11 4 2 2 4 2" xfId="37714"/>
    <cellStyle name="Normal 11 4 2 2 5" xfId="25398"/>
    <cellStyle name="Normal 11 4 2 3" xfId="7222"/>
    <cellStyle name="Normal 11 4 2 3 2" xfId="13416"/>
    <cellStyle name="Normal 11 4 2 3 2 2" xfId="33094"/>
    <cellStyle name="Normal 11 4 2 3 3" xfId="19568"/>
    <cellStyle name="Normal 11 4 2 3 3 2" xfId="39246"/>
    <cellStyle name="Normal 11 4 2 3 4" xfId="26930"/>
    <cellStyle name="Normal 11 4 2 4" xfId="10350"/>
    <cellStyle name="Normal 11 4 2 4 2" xfId="30028"/>
    <cellStyle name="Normal 11 4 2 5" xfId="16502"/>
    <cellStyle name="Normal 11 4 2 5 2" xfId="36180"/>
    <cellStyle name="Normal 11 4 2 6" xfId="4046"/>
    <cellStyle name="Normal 11 4 2 7" xfId="23864"/>
    <cellStyle name="Normal 11 4 3" xfId="4888"/>
    <cellStyle name="Normal 11 4 3 2" xfId="7988"/>
    <cellStyle name="Normal 11 4 3 2 2" xfId="14181"/>
    <cellStyle name="Normal 11 4 3 2 2 2" xfId="33859"/>
    <cellStyle name="Normal 11 4 3 2 3" xfId="20333"/>
    <cellStyle name="Normal 11 4 3 2 3 2" xfId="40011"/>
    <cellStyle name="Normal 11 4 3 2 4" xfId="27695"/>
    <cellStyle name="Normal 11 4 3 3" xfId="11115"/>
    <cellStyle name="Normal 11 4 3 3 2" xfId="30793"/>
    <cellStyle name="Normal 11 4 3 4" xfId="17267"/>
    <cellStyle name="Normal 11 4 3 4 2" xfId="36945"/>
    <cellStyle name="Normal 11 4 3 5" xfId="24629"/>
    <cellStyle name="Normal 11 4 4" xfId="6453"/>
    <cellStyle name="Normal 11 4 4 2" xfId="12647"/>
    <cellStyle name="Normal 11 4 4 2 2" xfId="32325"/>
    <cellStyle name="Normal 11 4 4 3" xfId="18799"/>
    <cellStyle name="Normal 11 4 4 3 2" xfId="38477"/>
    <cellStyle name="Normal 11 4 4 4" xfId="26161"/>
    <cellStyle name="Normal 11 4 5" xfId="9581"/>
    <cellStyle name="Normal 11 4 5 2" xfId="29259"/>
    <cellStyle name="Normal 11 4 6" xfId="15733"/>
    <cellStyle name="Normal 11 4 6 2" xfId="35411"/>
    <cellStyle name="Normal 11 4 7" xfId="2507"/>
    <cellStyle name="Normal 11 4 7 2" xfId="23032"/>
    <cellStyle name="Normal 11 4 8" xfId="41957"/>
    <cellStyle name="Normal 11 4 9" xfId="21714"/>
    <cellStyle name="Normal 11 5" xfId="152"/>
    <cellStyle name="Normal 11 5 2" xfId="5435"/>
    <cellStyle name="Normal 11 5 2 2" xfId="8521"/>
    <cellStyle name="Normal 11 5 2 2 2" xfId="14714"/>
    <cellStyle name="Normal 11 5 2 2 2 2" xfId="34392"/>
    <cellStyle name="Normal 11 5 2 2 3" xfId="20866"/>
    <cellStyle name="Normal 11 5 2 2 3 2" xfId="40544"/>
    <cellStyle name="Normal 11 5 2 2 4" xfId="28228"/>
    <cellStyle name="Normal 11 5 2 3" xfId="11648"/>
    <cellStyle name="Normal 11 5 2 3 2" xfId="31326"/>
    <cellStyle name="Normal 11 5 2 4" xfId="17800"/>
    <cellStyle name="Normal 11 5 2 4 2" xfId="37478"/>
    <cellStyle name="Normal 11 5 2 5" xfId="25162"/>
    <cellStyle name="Normal 11 5 3" xfId="6986"/>
    <cellStyle name="Normal 11 5 3 2" xfId="13180"/>
    <cellStyle name="Normal 11 5 3 2 2" xfId="32858"/>
    <cellStyle name="Normal 11 5 3 3" xfId="19332"/>
    <cellStyle name="Normal 11 5 3 3 2" xfId="39010"/>
    <cellStyle name="Normal 11 5 3 4" xfId="26694"/>
    <cellStyle name="Normal 11 5 4" xfId="10114"/>
    <cellStyle name="Normal 11 5 4 2" xfId="29792"/>
    <cellStyle name="Normal 11 5 5" xfId="16266"/>
    <cellStyle name="Normal 11 5 5 2" xfId="35944"/>
    <cellStyle name="Normal 11 5 6" xfId="3810"/>
    <cellStyle name="Normal 11 5 6 2" xfId="41958"/>
    <cellStyle name="Normal 11 5 7" xfId="23628"/>
    <cellStyle name="Normal 11 6" xfId="4648"/>
    <cellStyle name="Normal 11 6 2" xfId="7752"/>
    <cellStyle name="Normal 11 6 2 2" xfId="13945"/>
    <cellStyle name="Normal 11 6 2 2 2" xfId="33623"/>
    <cellStyle name="Normal 11 6 2 3" xfId="20097"/>
    <cellStyle name="Normal 11 6 2 3 2" xfId="39775"/>
    <cellStyle name="Normal 11 6 2 4" xfId="27459"/>
    <cellStyle name="Normal 11 6 3" xfId="10879"/>
    <cellStyle name="Normal 11 6 3 2" xfId="30557"/>
    <cellStyle name="Normal 11 6 4" xfId="17031"/>
    <cellStyle name="Normal 11 6 4 2" xfId="36709"/>
    <cellStyle name="Normal 11 6 5" xfId="24393"/>
    <cellStyle name="Normal 11 7" xfId="6217"/>
    <cellStyle name="Normal 11 7 2" xfId="12411"/>
    <cellStyle name="Normal 11 7 2 2" xfId="32089"/>
    <cellStyle name="Normal 11 7 3" xfId="18563"/>
    <cellStyle name="Normal 11 7 3 2" xfId="38241"/>
    <cellStyle name="Normal 11 7 4" xfId="25925"/>
    <cellStyle name="Normal 11 8" xfId="9345"/>
    <cellStyle name="Normal 11 8 2" xfId="29023"/>
    <cellStyle name="Normal 11 9" xfId="15497"/>
    <cellStyle name="Normal 11 9 2" xfId="35175"/>
    <cellStyle name="Normal 12" xfId="56"/>
    <cellStyle name="Normal 12 10" xfId="6455"/>
    <cellStyle name="Normal 12 10 2" xfId="12649"/>
    <cellStyle name="Normal 12 10 2 2" xfId="32327"/>
    <cellStyle name="Normal 12 10 3" xfId="18801"/>
    <cellStyle name="Normal 12 10 3 2" xfId="38479"/>
    <cellStyle name="Normal 12 10 4" xfId="26163"/>
    <cellStyle name="Normal 12 11" xfId="9327"/>
    <cellStyle name="Normal 12 11 2" xfId="15489"/>
    <cellStyle name="Normal 12 11 2 2" xfId="35167"/>
    <cellStyle name="Normal 12 11 3" xfId="21641"/>
    <cellStyle name="Normal 12 11 3 2" xfId="41319"/>
    <cellStyle name="Normal 12 11 4" xfId="29014"/>
    <cellStyle name="Normal 12 12" xfId="9583"/>
    <cellStyle name="Normal 12 12 2" xfId="29261"/>
    <cellStyle name="Normal 12 13" xfId="15735"/>
    <cellStyle name="Normal 12 13 2" xfId="35413"/>
    <cellStyle name="Normal 12 14" xfId="2510"/>
    <cellStyle name="Normal 12 14 2" xfId="23034"/>
    <cellStyle name="Normal 12 15" xfId="21828"/>
    <cellStyle name="Normal 12 16" xfId="41959"/>
    <cellStyle name="Normal 12 17" xfId="21694"/>
    <cellStyle name="Normal 12 18" xfId="42075"/>
    <cellStyle name="Normal 12 2" xfId="119"/>
    <cellStyle name="Normal 12 2 2" xfId="145"/>
    <cellStyle name="Normal 12 2 2 10" xfId="2512"/>
    <cellStyle name="Normal 12 2 2 10 2" xfId="23035"/>
    <cellStyle name="Normal 12 2 2 11" xfId="21745"/>
    <cellStyle name="Normal 12 2 2 2" xfId="209"/>
    <cellStyle name="Normal 12 2 2 2 2" xfId="2514"/>
    <cellStyle name="Normal 12 2 2 2 2 2" xfId="4051"/>
    <cellStyle name="Normal 12 2 2 2 2 2 2" xfId="5676"/>
    <cellStyle name="Normal 12 2 2 2 2 2 2 2" xfId="8762"/>
    <cellStyle name="Normal 12 2 2 2 2 2 2 2 2" xfId="14955"/>
    <cellStyle name="Normal 12 2 2 2 2 2 2 2 2 2" xfId="34633"/>
    <cellStyle name="Normal 12 2 2 2 2 2 2 2 3" xfId="21107"/>
    <cellStyle name="Normal 12 2 2 2 2 2 2 2 3 2" xfId="40785"/>
    <cellStyle name="Normal 12 2 2 2 2 2 2 2 4" xfId="28469"/>
    <cellStyle name="Normal 12 2 2 2 2 2 2 3" xfId="11889"/>
    <cellStyle name="Normal 12 2 2 2 2 2 2 3 2" xfId="31567"/>
    <cellStyle name="Normal 12 2 2 2 2 2 2 4" xfId="18041"/>
    <cellStyle name="Normal 12 2 2 2 2 2 2 4 2" xfId="37719"/>
    <cellStyle name="Normal 12 2 2 2 2 2 2 5" xfId="25403"/>
    <cellStyle name="Normal 12 2 2 2 2 2 3" xfId="7227"/>
    <cellStyle name="Normal 12 2 2 2 2 2 3 2" xfId="13421"/>
    <cellStyle name="Normal 12 2 2 2 2 2 3 2 2" xfId="33099"/>
    <cellStyle name="Normal 12 2 2 2 2 2 3 3" xfId="19573"/>
    <cellStyle name="Normal 12 2 2 2 2 2 3 3 2" xfId="39251"/>
    <cellStyle name="Normal 12 2 2 2 2 2 3 4" xfId="26935"/>
    <cellStyle name="Normal 12 2 2 2 2 2 4" xfId="10355"/>
    <cellStyle name="Normal 12 2 2 2 2 2 4 2" xfId="30033"/>
    <cellStyle name="Normal 12 2 2 2 2 2 5" xfId="16507"/>
    <cellStyle name="Normal 12 2 2 2 2 2 5 2" xfId="36185"/>
    <cellStyle name="Normal 12 2 2 2 2 2 6" xfId="23869"/>
    <cellStyle name="Normal 12 2 2 2 2 3" xfId="4893"/>
    <cellStyle name="Normal 12 2 2 2 2 3 2" xfId="7993"/>
    <cellStyle name="Normal 12 2 2 2 2 3 2 2" xfId="14186"/>
    <cellStyle name="Normal 12 2 2 2 2 3 2 2 2" xfId="33864"/>
    <cellStyle name="Normal 12 2 2 2 2 3 2 3" xfId="20338"/>
    <cellStyle name="Normal 12 2 2 2 2 3 2 3 2" xfId="40016"/>
    <cellStyle name="Normal 12 2 2 2 2 3 2 4" xfId="27700"/>
    <cellStyle name="Normal 12 2 2 2 2 3 3" xfId="11120"/>
    <cellStyle name="Normal 12 2 2 2 2 3 3 2" xfId="30798"/>
    <cellStyle name="Normal 12 2 2 2 2 3 4" xfId="17272"/>
    <cellStyle name="Normal 12 2 2 2 2 3 4 2" xfId="36950"/>
    <cellStyle name="Normal 12 2 2 2 2 3 5" xfId="24634"/>
    <cellStyle name="Normal 12 2 2 2 2 4" xfId="6458"/>
    <cellStyle name="Normal 12 2 2 2 2 4 2" xfId="12652"/>
    <cellStyle name="Normal 12 2 2 2 2 4 2 2" xfId="32330"/>
    <cellStyle name="Normal 12 2 2 2 2 4 3" xfId="18804"/>
    <cellStyle name="Normal 12 2 2 2 2 4 3 2" xfId="38482"/>
    <cellStyle name="Normal 12 2 2 2 2 4 4" xfId="26166"/>
    <cellStyle name="Normal 12 2 2 2 2 5" xfId="9586"/>
    <cellStyle name="Normal 12 2 2 2 2 5 2" xfId="29264"/>
    <cellStyle name="Normal 12 2 2 2 2 6" xfId="15738"/>
    <cellStyle name="Normal 12 2 2 2 2 6 2" xfId="35416"/>
    <cellStyle name="Normal 12 2 2 2 2 7" xfId="23037"/>
    <cellStyle name="Normal 12 2 2 2 3" xfId="4050"/>
    <cellStyle name="Normal 12 2 2 2 3 2" xfId="5675"/>
    <cellStyle name="Normal 12 2 2 2 3 2 2" xfId="8761"/>
    <cellStyle name="Normal 12 2 2 2 3 2 2 2" xfId="14954"/>
    <cellStyle name="Normal 12 2 2 2 3 2 2 2 2" xfId="34632"/>
    <cellStyle name="Normal 12 2 2 2 3 2 2 3" xfId="21106"/>
    <cellStyle name="Normal 12 2 2 2 3 2 2 3 2" xfId="40784"/>
    <cellStyle name="Normal 12 2 2 2 3 2 2 4" xfId="28468"/>
    <cellStyle name="Normal 12 2 2 2 3 2 3" xfId="11888"/>
    <cellStyle name="Normal 12 2 2 2 3 2 3 2" xfId="31566"/>
    <cellStyle name="Normal 12 2 2 2 3 2 4" xfId="18040"/>
    <cellStyle name="Normal 12 2 2 2 3 2 4 2" xfId="37718"/>
    <cellStyle name="Normal 12 2 2 2 3 2 5" xfId="25402"/>
    <cellStyle name="Normal 12 2 2 2 3 3" xfId="7226"/>
    <cellStyle name="Normal 12 2 2 2 3 3 2" xfId="13420"/>
    <cellStyle name="Normal 12 2 2 2 3 3 2 2" xfId="33098"/>
    <cellStyle name="Normal 12 2 2 2 3 3 3" xfId="19572"/>
    <cellStyle name="Normal 12 2 2 2 3 3 3 2" xfId="39250"/>
    <cellStyle name="Normal 12 2 2 2 3 3 4" xfId="26934"/>
    <cellStyle name="Normal 12 2 2 2 3 4" xfId="10354"/>
    <cellStyle name="Normal 12 2 2 2 3 4 2" xfId="30032"/>
    <cellStyle name="Normal 12 2 2 2 3 5" xfId="16506"/>
    <cellStyle name="Normal 12 2 2 2 3 5 2" xfId="36184"/>
    <cellStyle name="Normal 12 2 2 2 3 6" xfId="23868"/>
    <cellStyle name="Normal 12 2 2 2 4" xfId="4892"/>
    <cellStyle name="Normal 12 2 2 2 4 2" xfId="7992"/>
    <cellStyle name="Normal 12 2 2 2 4 2 2" xfId="14185"/>
    <cellStyle name="Normal 12 2 2 2 4 2 2 2" xfId="33863"/>
    <cellStyle name="Normal 12 2 2 2 4 2 3" xfId="20337"/>
    <cellStyle name="Normal 12 2 2 2 4 2 3 2" xfId="40015"/>
    <cellStyle name="Normal 12 2 2 2 4 2 4" xfId="27699"/>
    <cellStyle name="Normal 12 2 2 2 4 3" xfId="11119"/>
    <cellStyle name="Normal 12 2 2 2 4 3 2" xfId="30797"/>
    <cellStyle name="Normal 12 2 2 2 4 4" xfId="17271"/>
    <cellStyle name="Normal 12 2 2 2 4 4 2" xfId="36949"/>
    <cellStyle name="Normal 12 2 2 2 4 5" xfId="24633"/>
    <cellStyle name="Normal 12 2 2 2 5" xfId="6457"/>
    <cellStyle name="Normal 12 2 2 2 5 2" xfId="12651"/>
    <cellStyle name="Normal 12 2 2 2 5 2 2" xfId="32329"/>
    <cellStyle name="Normal 12 2 2 2 5 3" xfId="18803"/>
    <cellStyle name="Normal 12 2 2 2 5 3 2" xfId="38481"/>
    <cellStyle name="Normal 12 2 2 2 5 4" xfId="26165"/>
    <cellStyle name="Normal 12 2 2 2 6" xfId="9585"/>
    <cellStyle name="Normal 12 2 2 2 6 2" xfId="29263"/>
    <cellStyle name="Normal 12 2 2 2 7" xfId="15737"/>
    <cellStyle name="Normal 12 2 2 2 7 2" xfId="35415"/>
    <cellStyle name="Normal 12 2 2 2 8" xfId="2513"/>
    <cellStyle name="Normal 12 2 2 2 9" xfId="23036"/>
    <cellStyle name="Normal 12 2 2 3" xfId="2515"/>
    <cellStyle name="Normal 12 2 2 3 2" xfId="2516"/>
    <cellStyle name="Normal 12 2 2 3 2 2" xfId="4053"/>
    <cellStyle name="Normal 12 2 2 3 2 2 2" xfId="5678"/>
    <cellStyle name="Normal 12 2 2 3 2 2 2 2" xfId="8764"/>
    <cellStyle name="Normal 12 2 2 3 2 2 2 2 2" xfId="14957"/>
    <cellStyle name="Normal 12 2 2 3 2 2 2 2 2 2" xfId="34635"/>
    <cellStyle name="Normal 12 2 2 3 2 2 2 2 3" xfId="21109"/>
    <cellStyle name="Normal 12 2 2 3 2 2 2 2 3 2" xfId="40787"/>
    <cellStyle name="Normal 12 2 2 3 2 2 2 2 4" xfId="28471"/>
    <cellStyle name="Normal 12 2 2 3 2 2 2 3" xfId="11891"/>
    <cellStyle name="Normal 12 2 2 3 2 2 2 3 2" xfId="31569"/>
    <cellStyle name="Normal 12 2 2 3 2 2 2 4" xfId="18043"/>
    <cellStyle name="Normal 12 2 2 3 2 2 2 4 2" xfId="37721"/>
    <cellStyle name="Normal 12 2 2 3 2 2 2 5" xfId="25405"/>
    <cellStyle name="Normal 12 2 2 3 2 2 3" xfId="7229"/>
    <cellStyle name="Normal 12 2 2 3 2 2 3 2" xfId="13423"/>
    <cellStyle name="Normal 12 2 2 3 2 2 3 2 2" xfId="33101"/>
    <cellStyle name="Normal 12 2 2 3 2 2 3 3" xfId="19575"/>
    <cellStyle name="Normal 12 2 2 3 2 2 3 3 2" xfId="39253"/>
    <cellStyle name="Normal 12 2 2 3 2 2 3 4" xfId="26937"/>
    <cellStyle name="Normal 12 2 2 3 2 2 4" xfId="10357"/>
    <cellStyle name="Normal 12 2 2 3 2 2 4 2" xfId="30035"/>
    <cellStyle name="Normal 12 2 2 3 2 2 5" xfId="16509"/>
    <cellStyle name="Normal 12 2 2 3 2 2 5 2" xfId="36187"/>
    <cellStyle name="Normal 12 2 2 3 2 2 6" xfId="23871"/>
    <cellStyle name="Normal 12 2 2 3 2 3" xfId="4895"/>
    <cellStyle name="Normal 12 2 2 3 2 3 2" xfId="7995"/>
    <cellStyle name="Normal 12 2 2 3 2 3 2 2" xfId="14188"/>
    <cellStyle name="Normal 12 2 2 3 2 3 2 2 2" xfId="33866"/>
    <cellStyle name="Normal 12 2 2 3 2 3 2 3" xfId="20340"/>
    <cellStyle name="Normal 12 2 2 3 2 3 2 3 2" xfId="40018"/>
    <cellStyle name="Normal 12 2 2 3 2 3 2 4" xfId="27702"/>
    <cellStyle name="Normal 12 2 2 3 2 3 3" xfId="11122"/>
    <cellStyle name="Normal 12 2 2 3 2 3 3 2" xfId="30800"/>
    <cellStyle name="Normal 12 2 2 3 2 3 4" xfId="17274"/>
    <cellStyle name="Normal 12 2 2 3 2 3 4 2" xfId="36952"/>
    <cellStyle name="Normal 12 2 2 3 2 3 5" xfId="24636"/>
    <cellStyle name="Normal 12 2 2 3 2 4" xfId="6460"/>
    <cellStyle name="Normal 12 2 2 3 2 4 2" xfId="12654"/>
    <cellStyle name="Normal 12 2 2 3 2 4 2 2" xfId="32332"/>
    <cellStyle name="Normal 12 2 2 3 2 4 3" xfId="18806"/>
    <cellStyle name="Normal 12 2 2 3 2 4 3 2" xfId="38484"/>
    <cellStyle name="Normal 12 2 2 3 2 4 4" xfId="26168"/>
    <cellStyle name="Normal 12 2 2 3 2 5" xfId="9588"/>
    <cellStyle name="Normal 12 2 2 3 2 5 2" xfId="29266"/>
    <cellStyle name="Normal 12 2 2 3 2 6" xfId="15740"/>
    <cellStyle name="Normal 12 2 2 3 2 6 2" xfId="35418"/>
    <cellStyle name="Normal 12 2 2 3 2 7" xfId="23039"/>
    <cellStyle name="Normal 12 2 2 3 3" xfId="4052"/>
    <cellStyle name="Normal 12 2 2 3 3 2" xfId="5677"/>
    <cellStyle name="Normal 12 2 2 3 3 2 2" xfId="8763"/>
    <cellStyle name="Normal 12 2 2 3 3 2 2 2" xfId="14956"/>
    <cellStyle name="Normal 12 2 2 3 3 2 2 2 2" xfId="34634"/>
    <cellStyle name="Normal 12 2 2 3 3 2 2 3" xfId="21108"/>
    <cellStyle name="Normal 12 2 2 3 3 2 2 3 2" xfId="40786"/>
    <cellStyle name="Normal 12 2 2 3 3 2 2 4" xfId="28470"/>
    <cellStyle name="Normal 12 2 2 3 3 2 3" xfId="11890"/>
    <cellStyle name="Normal 12 2 2 3 3 2 3 2" xfId="31568"/>
    <cellStyle name="Normal 12 2 2 3 3 2 4" xfId="18042"/>
    <cellStyle name="Normal 12 2 2 3 3 2 4 2" xfId="37720"/>
    <cellStyle name="Normal 12 2 2 3 3 2 5" xfId="25404"/>
    <cellStyle name="Normal 12 2 2 3 3 3" xfId="7228"/>
    <cellStyle name="Normal 12 2 2 3 3 3 2" xfId="13422"/>
    <cellStyle name="Normal 12 2 2 3 3 3 2 2" xfId="33100"/>
    <cellStyle name="Normal 12 2 2 3 3 3 3" xfId="19574"/>
    <cellStyle name="Normal 12 2 2 3 3 3 3 2" xfId="39252"/>
    <cellStyle name="Normal 12 2 2 3 3 3 4" xfId="26936"/>
    <cellStyle name="Normal 12 2 2 3 3 4" xfId="10356"/>
    <cellStyle name="Normal 12 2 2 3 3 4 2" xfId="30034"/>
    <cellStyle name="Normal 12 2 2 3 3 5" xfId="16508"/>
    <cellStyle name="Normal 12 2 2 3 3 5 2" xfId="36186"/>
    <cellStyle name="Normal 12 2 2 3 3 6" xfId="23870"/>
    <cellStyle name="Normal 12 2 2 3 4" xfId="4894"/>
    <cellStyle name="Normal 12 2 2 3 4 2" xfId="7994"/>
    <cellStyle name="Normal 12 2 2 3 4 2 2" xfId="14187"/>
    <cellStyle name="Normal 12 2 2 3 4 2 2 2" xfId="33865"/>
    <cellStyle name="Normal 12 2 2 3 4 2 3" xfId="20339"/>
    <cellStyle name="Normal 12 2 2 3 4 2 3 2" xfId="40017"/>
    <cellStyle name="Normal 12 2 2 3 4 2 4" xfId="27701"/>
    <cellStyle name="Normal 12 2 2 3 4 3" xfId="11121"/>
    <cellStyle name="Normal 12 2 2 3 4 3 2" xfId="30799"/>
    <cellStyle name="Normal 12 2 2 3 4 4" xfId="17273"/>
    <cellStyle name="Normal 12 2 2 3 4 4 2" xfId="36951"/>
    <cellStyle name="Normal 12 2 2 3 4 5" xfId="24635"/>
    <cellStyle name="Normal 12 2 2 3 5" xfId="6459"/>
    <cellStyle name="Normal 12 2 2 3 5 2" xfId="12653"/>
    <cellStyle name="Normal 12 2 2 3 5 2 2" xfId="32331"/>
    <cellStyle name="Normal 12 2 2 3 5 3" xfId="18805"/>
    <cellStyle name="Normal 12 2 2 3 5 3 2" xfId="38483"/>
    <cellStyle name="Normal 12 2 2 3 5 4" xfId="26167"/>
    <cellStyle name="Normal 12 2 2 3 6" xfId="9587"/>
    <cellStyle name="Normal 12 2 2 3 6 2" xfId="29265"/>
    <cellStyle name="Normal 12 2 2 3 7" xfId="15739"/>
    <cellStyle name="Normal 12 2 2 3 7 2" xfId="35417"/>
    <cellStyle name="Normal 12 2 2 3 8" xfId="23038"/>
    <cellStyle name="Normal 12 2 2 4" xfId="2517"/>
    <cellStyle name="Normal 12 2 2 4 2" xfId="4054"/>
    <cellStyle name="Normal 12 2 2 4 2 2" xfId="5679"/>
    <cellStyle name="Normal 12 2 2 4 2 2 2" xfId="8765"/>
    <cellStyle name="Normal 12 2 2 4 2 2 2 2" xfId="14958"/>
    <cellStyle name="Normal 12 2 2 4 2 2 2 2 2" xfId="34636"/>
    <cellStyle name="Normal 12 2 2 4 2 2 2 3" xfId="21110"/>
    <cellStyle name="Normal 12 2 2 4 2 2 2 3 2" xfId="40788"/>
    <cellStyle name="Normal 12 2 2 4 2 2 2 4" xfId="28472"/>
    <cellStyle name="Normal 12 2 2 4 2 2 3" xfId="11892"/>
    <cellStyle name="Normal 12 2 2 4 2 2 3 2" xfId="31570"/>
    <cellStyle name="Normal 12 2 2 4 2 2 4" xfId="18044"/>
    <cellStyle name="Normal 12 2 2 4 2 2 4 2" xfId="37722"/>
    <cellStyle name="Normal 12 2 2 4 2 2 5" xfId="25406"/>
    <cellStyle name="Normal 12 2 2 4 2 3" xfId="7230"/>
    <cellStyle name="Normal 12 2 2 4 2 3 2" xfId="13424"/>
    <cellStyle name="Normal 12 2 2 4 2 3 2 2" xfId="33102"/>
    <cellStyle name="Normal 12 2 2 4 2 3 3" xfId="19576"/>
    <cellStyle name="Normal 12 2 2 4 2 3 3 2" xfId="39254"/>
    <cellStyle name="Normal 12 2 2 4 2 3 4" xfId="26938"/>
    <cellStyle name="Normal 12 2 2 4 2 4" xfId="10358"/>
    <cellStyle name="Normal 12 2 2 4 2 4 2" xfId="30036"/>
    <cellStyle name="Normal 12 2 2 4 2 5" xfId="16510"/>
    <cellStyle name="Normal 12 2 2 4 2 5 2" xfId="36188"/>
    <cellStyle name="Normal 12 2 2 4 2 6" xfId="23872"/>
    <cellStyle name="Normal 12 2 2 4 3" xfId="4896"/>
    <cellStyle name="Normal 12 2 2 4 3 2" xfId="7996"/>
    <cellStyle name="Normal 12 2 2 4 3 2 2" xfId="14189"/>
    <cellStyle name="Normal 12 2 2 4 3 2 2 2" xfId="33867"/>
    <cellStyle name="Normal 12 2 2 4 3 2 3" xfId="20341"/>
    <cellStyle name="Normal 12 2 2 4 3 2 3 2" xfId="40019"/>
    <cellStyle name="Normal 12 2 2 4 3 2 4" xfId="27703"/>
    <cellStyle name="Normal 12 2 2 4 3 3" xfId="11123"/>
    <cellStyle name="Normal 12 2 2 4 3 3 2" xfId="30801"/>
    <cellStyle name="Normal 12 2 2 4 3 4" xfId="17275"/>
    <cellStyle name="Normal 12 2 2 4 3 4 2" xfId="36953"/>
    <cellStyle name="Normal 12 2 2 4 3 5" xfId="24637"/>
    <cellStyle name="Normal 12 2 2 4 4" xfId="6461"/>
    <cellStyle name="Normal 12 2 2 4 4 2" xfId="12655"/>
    <cellStyle name="Normal 12 2 2 4 4 2 2" xfId="32333"/>
    <cellStyle name="Normal 12 2 2 4 4 3" xfId="18807"/>
    <cellStyle name="Normal 12 2 2 4 4 3 2" xfId="38485"/>
    <cellStyle name="Normal 12 2 2 4 4 4" xfId="26169"/>
    <cellStyle name="Normal 12 2 2 4 5" xfId="9589"/>
    <cellStyle name="Normal 12 2 2 4 5 2" xfId="29267"/>
    <cellStyle name="Normal 12 2 2 4 6" xfId="15741"/>
    <cellStyle name="Normal 12 2 2 4 6 2" xfId="35419"/>
    <cellStyle name="Normal 12 2 2 4 7" xfId="23040"/>
    <cellStyle name="Normal 12 2 2 5" xfId="4049"/>
    <cellStyle name="Normal 12 2 2 5 2" xfId="5674"/>
    <cellStyle name="Normal 12 2 2 5 2 2" xfId="8760"/>
    <cellStyle name="Normal 12 2 2 5 2 2 2" xfId="14953"/>
    <cellStyle name="Normal 12 2 2 5 2 2 2 2" xfId="34631"/>
    <cellStyle name="Normal 12 2 2 5 2 2 3" xfId="21105"/>
    <cellStyle name="Normal 12 2 2 5 2 2 3 2" xfId="40783"/>
    <cellStyle name="Normal 12 2 2 5 2 2 4" xfId="28467"/>
    <cellStyle name="Normal 12 2 2 5 2 3" xfId="11887"/>
    <cellStyle name="Normal 12 2 2 5 2 3 2" xfId="31565"/>
    <cellStyle name="Normal 12 2 2 5 2 4" xfId="18039"/>
    <cellStyle name="Normal 12 2 2 5 2 4 2" xfId="37717"/>
    <cellStyle name="Normal 12 2 2 5 2 5" xfId="25401"/>
    <cellStyle name="Normal 12 2 2 5 3" xfId="7225"/>
    <cellStyle name="Normal 12 2 2 5 3 2" xfId="13419"/>
    <cellStyle name="Normal 12 2 2 5 3 2 2" xfId="33097"/>
    <cellStyle name="Normal 12 2 2 5 3 3" xfId="19571"/>
    <cellStyle name="Normal 12 2 2 5 3 3 2" xfId="39249"/>
    <cellStyle name="Normal 12 2 2 5 3 4" xfId="26933"/>
    <cellStyle name="Normal 12 2 2 5 4" xfId="10353"/>
    <cellStyle name="Normal 12 2 2 5 4 2" xfId="30031"/>
    <cellStyle name="Normal 12 2 2 5 5" xfId="16505"/>
    <cellStyle name="Normal 12 2 2 5 5 2" xfId="36183"/>
    <cellStyle name="Normal 12 2 2 5 6" xfId="23867"/>
    <cellStyle name="Normal 12 2 2 6" xfId="4891"/>
    <cellStyle name="Normal 12 2 2 6 2" xfId="7991"/>
    <cellStyle name="Normal 12 2 2 6 2 2" xfId="14184"/>
    <cellStyle name="Normal 12 2 2 6 2 2 2" xfId="33862"/>
    <cellStyle name="Normal 12 2 2 6 2 3" xfId="20336"/>
    <cellStyle name="Normal 12 2 2 6 2 3 2" xfId="40014"/>
    <cellStyle name="Normal 12 2 2 6 2 4" xfId="27698"/>
    <cellStyle name="Normal 12 2 2 6 3" xfId="11118"/>
    <cellStyle name="Normal 12 2 2 6 3 2" xfId="30796"/>
    <cellStyle name="Normal 12 2 2 6 4" xfId="17270"/>
    <cellStyle name="Normal 12 2 2 6 4 2" xfId="36948"/>
    <cellStyle name="Normal 12 2 2 6 5" xfId="24632"/>
    <cellStyle name="Normal 12 2 2 7" xfId="6456"/>
    <cellStyle name="Normal 12 2 2 7 2" xfId="12650"/>
    <cellStyle name="Normal 12 2 2 7 2 2" xfId="32328"/>
    <cellStyle name="Normal 12 2 2 7 3" xfId="18802"/>
    <cellStyle name="Normal 12 2 2 7 3 2" xfId="38480"/>
    <cellStyle name="Normal 12 2 2 7 4" xfId="26164"/>
    <cellStyle name="Normal 12 2 2 8" xfId="9584"/>
    <cellStyle name="Normal 12 2 2 8 2" xfId="29262"/>
    <cellStyle name="Normal 12 2 2 9" xfId="15736"/>
    <cellStyle name="Normal 12 2 2 9 2" xfId="35414"/>
    <cellStyle name="Normal 12 2 3" xfId="171"/>
    <cellStyle name="Normal 12 2 3 2" xfId="2519"/>
    <cellStyle name="Normal 12 2 3 2 2" xfId="4056"/>
    <cellStyle name="Normal 12 2 3 2 2 2" xfId="5681"/>
    <cellStyle name="Normal 12 2 3 2 2 2 2" xfId="8767"/>
    <cellStyle name="Normal 12 2 3 2 2 2 2 2" xfId="14960"/>
    <cellStyle name="Normal 12 2 3 2 2 2 2 2 2" xfId="34638"/>
    <cellStyle name="Normal 12 2 3 2 2 2 2 3" xfId="21112"/>
    <cellStyle name="Normal 12 2 3 2 2 2 2 3 2" xfId="40790"/>
    <cellStyle name="Normal 12 2 3 2 2 2 2 4" xfId="28474"/>
    <cellStyle name="Normal 12 2 3 2 2 2 3" xfId="11894"/>
    <cellStyle name="Normal 12 2 3 2 2 2 3 2" xfId="31572"/>
    <cellStyle name="Normal 12 2 3 2 2 2 4" xfId="18046"/>
    <cellStyle name="Normal 12 2 3 2 2 2 4 2" xfId="37724"/>
    <cellStyle name="Normal 12 2 3 2 2 2 5" xfId="25408"/>
    <cellStyle name="Normal 12 2 3 2 2 3" xfId="7232"/>
    <cellStyle name="Normal 12 2 3 2 2 3 2" xfId="13426"/>
    <cellStyle name="Normal 12 2 3 2 2 3 2 2" xfId="33104"/>
    <cellStyle name="Normal 12 2 3 2 2 3 3" xfId="19578"/>
    <cellStyle name="Normal 12 2 3 2 2 3 3 2" xfId="39256"/>
    <cellStyle name="Normal 12 2 3 2 2 3 4" xfId="26940"/>
    <cellStyle name="Normal 12 2 3 2 2 4" xfId="10360"/>
    <cellStyle name="Normal 12 2 3 2 2 4 2" xfId="30038"/>
    <cellStyle name="Normal 12 2 3 2 2 5" xfId="16512"/>
    <cellStyle name="Normal 12 2 3 2 2 5 2" xfId="36190"/>
    <cellStyle name="Normal 12 2 3 2 2 6" xfId="23874"/>
    <cellStyle name="Normal 12 2 3 2 3" xfId="4898"/>
    <cellStyle name="Normal 12 2 3 2 3 2" xfId="7998"/>
    <cellStyle name="Normal 12 2 3 2 3 2 2" xfId="14191"/>
    <cellStyle name="Normal 12 2 3 2 3 2 2 2" xfId="33869"/>
    <cellStyle name="Normal 12 2 3 2 3 2 3" xfId="20343"/>
    <cellStyle name="Normal 12 2 3 2 3 2 3 2" xfId="40021"/>
    <cellStyle name="Normal 12 2 3 2 3 2 4" xfId="27705"/>
    <cellStyle name="Normal 12 2 3 2 3 3" xfId="11125"/>
    <cellStyle name="Normal 12 2 3 2 3 3 2" xfId="30803"/>
    <cellStyle name="Normal 12 2 3 2 3 4" xfId="17277"/>
    <cellStyle name="Normal 12 2 3 2 3 4 2" xfId="36955"/>
    <cellStyle name="Normal 12 2 3 2 3 5" xfId="24639"/>
    <cellStyle name="Normal 12 2 3 2 4" xfId="6463"/>
    <cellStyle name="Normal 12 2 3 2 4 2" xfId="12657"/>
    <cellStyle name="Normal 12 2 3 2 4 2 2" xfId="32335"/>
    <cellStyle name="Normal 12 2 3 2 4 3" xfId="18809"/>
    <cellStyle name="Normal 12 2 3 2 4 3 2" xfId="38487"/>
    <cellStyle name="Normal 12 2 3 2 4 4" xfId="26171"/>
    <cellStyle name="Normal 12 2 3 2 5" xfId="9591"/>
    <cellStyle name="Normal 12 2 3 2 5 2" xfId="29269"/>
    <cellStyle name="Normal 12 2 3 2 6" xfId="15743"/>
    <cellStyle name="Normal 12 2 3 2 6 2" xfId="35421"/>
    <cellStyle name="Normal 12 2 3 2 7" xfId="23042"/>
    <cellStyle name="Normal 12 2 3 3" xfId="4055"/>
    <cellStyle name="Normal 12 2 3 3 2" xfId="5680"/>
    <cellStyle name="Normal 12 2 3 3 2 2" xfId="8766"/>
    <cellStyle name="Normal 12 2 3 3 2 2 2" xfId="14959"/>
    <cellStyle name="Normal 12 2 3 3 2 2 2 2" xfId="34637"/>
    <cellStyle name="Normal 12 2 3 3 2 2 3" xfId="21111"/>
    <cellStyle name="Normal 12 2 3 3 2 2 3 2" xfId="40789"/>
    <cellStyle name="Normal 12 2 3 3 2 2 4" xfId="28473"/>
    <cellStyle name="Normal 12 2 3 3 2 3" xfId="11893"/>
    <cellStyle name="Normal 12 2 3 3 2 3 2" xfId="31571"/>
    <cellStyle name="Normal 12 2 3 3 2 4" xfId="18045"/>
    <cellStyle name="Normal 12 2 3 3 2 4 2" xfId="37723"/>
    <cellStyle name="Normal 12 2 3 3 2 5" xfId="25407"/>
    <cellStyle name="Normal 12 2 3 3 3" xfId="7231"/>
    <cellStyle name="Normal 12 2 3 3 3 2" xfId="13425"/>
    <cellStyle name="Normal 12 2 3 3 3 2 2" xfId="33103"/>
    <cellStyle name="Normal 12 2 3 3 3 3" xfId="19577"/>
    <cellStyle name="Normal 12 2 3 3 3 3 2" xfId="39255"/>
    <cellStyle name="Normal 12 2 3 3 3 4" xfId="26939"/>
    <cellStyle name="Normal 12 2 3 3 4" xfId="10359"/>
    <cellStyle name="Normal 12 2 3 3 4 2" xfId="30037"/>
    <cellStyle name="Normal 12 2 3 3 5" xfId="16511"/>
    <cellStyle name="Normal 12 2 3 3 5 2" xfId="36189"/>
    <cellStyle name="Normal 12 2 3 3 6" xfId="23873"/>
    <cellStyle name="Normal 12 2 3 4" xfId="4897"/>
    <cellStyle name="Normal 12 2 3 4 2" xfId="7997"/>
    <cellStyle name="Normal 12 2 3 4 2 2" xfId="14190"/>
    <cellStyle name="Normal 12 2 3 4 2 2 2" xfId="33868"/>
    <cellStyle name="Normal 12 2 3 4 2 3" xfId="20342"/>
    <cellStyle name="Normal 12 2 3 4 2 3 2" xfId="40020"/>
    <cellStyle name="Normal 12 2 3 4 2 4" xfId="27704"/>
    <cellStyle name="Normal 12 2 3 4 3" xfId="11124"/>
    <cellStyle name="Normal 12 2 3 4 3 2" xfId="30802"/>
    <cellStyle name="Normal 12 2 3 4 4" xfId="17276"/>
    <cellStyle name="Normal 12 2 3 4 4 2" xfId="36954"/>
    <cellStyle name="Normal 12 2 3 4 5" xfId="24638"/>
    <cellStyle name="Normal 12 2 3 5" xfId="6462"/>
    <cellStyle name="Normal 12 2 3 5 2" xfId="12656"/>
    <cellStyle name="Normal 12 2 3 5 2 2" xfId="32334"/>
    <cellStyle name="Normal 12 2 3 5 3" xfId="18808"/>
    <cellStyle name="Normal 12 2 3 5 3 2" xfId="38486"/>
    <cellStyle name="Normal 12 2 3 5 4" xfId="26170"/>
    <cellStyle name="Normal 12 2 3 6" xfId="9590"/>
    <cellStyle name="Normal 12 2 3 6 2" xfId="29268"/>
    <cellStyle name="Normal 12 2 3 7" xfId="15742"/>
    <cellStyle name="Normal 12 2 3 7 2" xfId="35420"/>
    <cellStyle name="Normal 12 2 3 8" xfId="2518"/>
    <cellStyle name="Normal 12 2 3 9" xfId="23041"/>
    <cellStyle name="Normal 12 2 4" xfId="2520"/>
    <cellStyle name="Normal 12 2 4 2" xfId="2521"/>
    <cellStyle name="Normal 12 2 4 2 2" xfId="4058"/>
    <cellStyle name="Normal 12 2 4 2 2 2" xfId="5683"/>
    <cellStyle name="Normal 12 2 4 2 2 2 2" xfId="8769"/>
    <cellStyle name="Normal 12 2 4 2 2 2 2 2" xfId="14962"/>
    <cellStyle name="Normal 12 2 4 2 2 2 2 2 2" xfId="34640"/>
    <cellStyle name="Normal 12 2 4 2 2 2 2 3" xfId="21114"/>
    <cellStyle name="Normal 12 2 4 2 2 2 2 3 2" xfId="40792"/>
    <cellStyle name="Normal 12 2 4 2 2 2 2 4" xfId="28476"/>
    <cellStyle name="Normal 12 2 4 2 2 2 3" xfId="11896"/>
    <cellStyle name="Normal 12 2 4 2 2 2 3 2" xfId="31574"/>
    <cellStyle name="Normal 12 2 4 2 2 2 4" xfId="18048"/>
    <cellStyle name="Normal 12 2 4 2 2 2 4 2" xfId="37726"/>
    <cellStyle name="Normal 12 2 4 2 2 2 5" xfId="25410"/>
    <cellStyle name="Normal 12 2 4 2 2 3" xfId="7234"/>
    <cellStyle name="Normal 12 2 4 2 2 3 2" xfId="13428"/>
    <cellStyle name="Normal 12 2 4 2 2 3 2 2" xfId="33106"/>
    <cellStyle name="Normal 12 2 4 2 2 3 3" xfId="19580"/>
    <cellStyle name="Normal 12 2 4 2 2 3 3 2" xfId="39258"/>
    <cellStyle name="Normal 12 2 4 2 2 3 4" xfId="26942"/>
    <cellStyle name="Normal 12 2 4 2 2 4" xfId="10362"/>
    <cellStyle name="Normal 12 2 4 2 2 4 2" xfId="30040"/>
    <cellStyle name="Normal 12 2 4 2 2 5" xfId="16514"/>
    <cellStyle name="Normal 12 2 4 2 2 5 2" xfId="36192"/>
    <cellStyle name="Normal 12 2 4 2 2 6" xfId="23876"/>
    <cellStyle name="Normal 12 2 4 2 3" xfId="4900"/>
    <cellStyle name="Normal 12 2 4 2 3 2" xfId="8000"/>
    <cellStyle name="Normal 12 2 4 2 3 2 2" xfId="14193"/>
    <cellStyle name="Normal 12 2 4 2 3 2 2 2" xfId="33871"/>
    <cellStyle name="Normal 12 2 4 2 3 2 3" xfId="20345"/>
    <cellStyle name="Normal 12 2 4 2 3 2 3 2" xfId="40023"/>
    <cellStyle name="Normal 12 2 4 2 3 2 4" xfId="27707"/>
    <cellStyle name="Normal 12 2 4 2 3 3" xfId="11127"/>
    <cellStyle name="Normal 12 2 4 2 3 3 2" xfId="30805"/>
    <cellStyle name="Normal 12 2 4 2 3 4" xfId="17279"/>
    <cellStyle name="Normal 12 2 4 2 3 4 2" xfId="36957"/>
    <cellStyle name="Normal 12 2 4 2 3 5" xfId="24641"/>
    <cellStyle name="Normal 12 2 4 2 4" xfId="6465"/>
    <cellStyle name="Normal 12 2 4 2 4 2" xfId="12659"/>
    <cellStyle name="Normal 12 2 4 2 4 2 2" xfId="32337"/>
    <cellStyle name="Normal 12 2 4 2 4 3" xfId="18811"/>
    <cellStyle name="Normal 12 2 4 2 4 3 2" xfId="38489"/>
    <cellStyle name="Normal 12 2 4 2 4 4" xfId="26173"/>
    <cellStyle name="Normal 12 2 4 2 5" xfId="9593"/>
    <cellStyle name="Normal 12 2 4 2 5 2" xfId="29271"/>
    <cellStyle name="Normal 12 2 4 2 6" xfId="15745"/>
    <cellStyle name="Normal 12 2 4 2 6 2" xfId="35423"/>
    <cellStyle name="Normal 12 2 4 2 7" xfId="23044"/>
    <cellStyle name="Normal 12 2 4 3" xfId="4057"/>
    <cellStyle name="Normal 12 2 4 3 2" xfId="5682"/>
    <cellStyle name="Normal 12 2 4 3 2 2" xfId="8768"/>
    <cellStyle name="Normal 12 2 4 3 2 2 2" xfId="14961"/>
    <cellStyle name="Normal 12 2 4 3 2 2 2 2" xfId="34639"/>
    <cellStyle name="Normal 12 2 4 3 2 2 3" xfId="21113"/>
    <cellStyle name="Normal 12 2 4 3 2 2 3 2" xfId="40791"/>
    <cellStyle name="Normal 12 2 4 3 2 2 4" xfId="28475"/>
    <cellStyle name="Normal 12 2 4 3 2 3" xfId="11895"/>
    <cellStyle name="Normal 12 2 4 3 2 3 2" xfId="31573"/>
    <cellStyle name="Normal 12 2 4 3 2 4" xfId="18047"/>
    <cellStyle name="Normal 12 2 4 3 2 4 2" xfId="37725"/>
    <cellStyle name="Normal 12 2 4 3 2 5" xfId="25409"/>
    <cellStyle name="Normal 12 2 4 3 3" xfId="7233"/>
    <cellStyle name="Normal 12 2 4 3 3 2" xfId="13427"/>
    <cellStyle name="Normal 12 2 4 3 3 2 2" xfId="33105"/>
    <cellStyle name="Normal 12 2 4 3 3 3" xfId="19579"/>
    <cellStyle name="Normal 12 2 4 3 3 3 2" xfId="39257"/>
    <cellStyle name="Normal 12 2 4 3 3 4" xfId="26941"/>
    <cellStyle name="Normal 12 2 4 3 4" xfId="10361"/>
    <cellStyle name="Normal 12 2 4 3 4 2" xfId="30039"/>
    <cellStyle name="Normal 12 2 4 3 5" xfId="16513"/>
    <cellStyle name="Normal 12 2 4 3 5 2" xfId="36191"/>
    <cellStyle name="Normal 12 2 4 3 6" xfId="23875"/>
    <cellStyle name="Normal 12 2 4 4" xfId="4899"/>
    <cellStyle name="Normal 12 2 4 4 2" xfId="7999"/>
    <cellStyle name="Normal 12 2 4 4 2 2" xfId="14192"/>
    <cellStyle name="Normal 12 2 4 4 2 2 2" xfId="33870"/>
    <cellStyle name="Normal 12 2 4 4 2 3" xfId="20344"/>
    <cellStyle name="Normal 12 2 4 4 2 3 2" xfId="40022"/>
    <cellStyle name="Normal 12 2 4 4 2 4" xfId="27706"/>
    <cellStyle name="Normal 12 2 4 4 3" xfId="11126"/>
    <cellStyle name="Normal 12 2 4 4 3 2" xfId="30804"/>
    <cellStyle name="Normal 12 2 4 4 4" xfId="17278"/>
    <cellStyle name="Normal 12 2 4 4 4 2" xfId="36956"/>
    <cellStyle name="Normal 12 2 4 4 5" xfId="24640"/>
    <cellStyle name="Normal 12 2 4 5" xfId="6464"/>
    <cellStyle name="Normal 12 2 4 5 2" xfId="12658"/>
    <cellStyle name="Normal 12 2 4 5 2 2" xfId="32336"/>
    <cellStyle name="Normal 12 2 4 5 3" xfId="18810"/>
    <cellStyle name="Normal 12 2 4 5 3 2" xfId="38488"/>
    <cellStyle name="Normal 12 2 4 5 4" xfId="26172"/>
    <cellStyle name="Normal 12 2 4 6" xfId="9592"/>
    <cellStyle name="Normal 12 2 4 6 2" xfId="29270"/>
    <cellStyle name="Normal 12 2 4 7" xfId="15744"/>
    <cellStyle name="Normal 12 2 4 7 2" xfId="35422"/>
    <cellStyle name="Normal 12 2 4 8" xfId="23043"/>
    <cellStyle name="Normal 12 2 5" xfId="2522"/>
    <cellStyle name="Normal 12 2 5 2" xfId="2523"/>
    <cellStyle name="Normal 12 2 5 2 2" xfId="4059"/>
    <cellStyle name="Normal 12 2 5 2 2 2" xfId="5684"/>
    <cellStyle name="Normal 12 2 5 2 2 2 2" xfId="8770"/>
    <cellStyle name="Normal 12 2 5 2 2 2 2 2" xfId="14963"/>
    <cellStyle name="Normal 12 2 5 2 2 2 2 2 2" xfId="34641"/>
    <cellStyle name="Normal 12 2 5 2 2 2 2 3" xfId="21115"/>
    <cellStyle name="Normal 12 2 5 2 2 2 2 3 2" xfId="40793"/>
    <cellStyle name="Normal 12 2 5 2 2 2 2 4" xfId="28477"/>
    <cellStyle name="Normal 12 2 5 2 2 2 3" xfId="11897"/>
    <cellStyle name="Normal 12 2 5 2 2 2 3 2" xfId="31575"/>
    <cellStyle name="Normal 12 2 5 2 2 2 4" xfId="18049"/>
    <cellStyle name="Normal 12 2 5 2 2 2 4 2" xfId="37727"/>
    <cellStyle name="Normal 12 2 5 2 2 2 5" xfId="25411"/>
    <cellStyle name="Normal 12 2 5 2 2 3" xfId="7235"/>
    <cellStyle name="Normal 12 2 5 2 2 3 2" xfId="13429"/>
    <cellStyle name="Normal 12 2 5 2 2 3 2 2" xfId="33107"/>
    <cellStyle name="Normal 12 2 5 2 2 3 3" xfId="19581"/>
    <cellStyle name="Normal 12 2 5 2 2 3 3 2" xfId="39259"/>
    <cellStyle name="Normal 12 2 5 2 2 3 4" xfId="26943"/>
    <cellStyle name="Normal 12 2 5 2 2 4" xfId="10363"/>
    <cellStyle name="Normal 12 2 5 2 2 4 2" xfId="30041"/>
    <cellStyle name="Normal 12 2 5 2 2 5" xfId="16515"/>
    <cellStyle name="Normal 12 2 5 2 2 5 2" xfId="36193"/>
    <cellStyle name="Normal 12 2 5 2 2 6" xfId="23877"/>
    <cellStyle name="Normal 12 2 5 2 3" xfId="4901"/>
    <cellStyle name="Normal 12 2 5 2 3 2" xfId="8001"/>
    <cellStyle name="Normal 12 2 5 2 3 2 2" xfId="14194"/>
    <cellStyle name="Normal 12 2 5 2 3 2 2 2" xfId="33872"/>
    <cellStyle name="Normal 12 2 5 2 3 2 3" xfId="20346"/>
    <cellStyle name="Normal 12 2 5 2 3 2 3 2" xfId="40024"/>
    <cellStyle name="Normal 12 2 5 2 3 2 4" xfId="27708"/>
    <cellStyle name="Normal 12 2 5 2 3 3" xfId="11128"/>
    <cellStyle name="Normal 12 2 5 2 3 3 2" xfId="30806"/>
    <cellStyle name="Normal 12 2 5 2 3 4" xfId="17280"/>
    <cellStyle name="Normal 12 2 5 2 3 4 2" xfId="36958"/>
    <cellStyle name="Normal 12 2 5 2 3 5" xfId="24642"/>
    <cellStyle name="Normal 12 2 5 2 4" xfId="6466"/>
    <cellStyle name="Normal 12 2 5 2 4 2" xfId="12660"/>
    <cellStyle name="Normal 12 2 5 2 4 2 2" xfId="32338"/>
    <cellStyle name="Normal 12 2 5 2 4 3" xfId="18812"/>
    <cellStyle name="Normal 12 2 5 2 4 3 2" xfId="38490"/>
    <cellStyle name="Normal 12 2 5 2 4 4" xfId="26174"/>
    <cellStyle name="Normal 12 2 5 2 5" xfId="9594"/>
    <cellStyle name="Normal 12 2 5 2 5 2" xfId="29272"/>
    <cellStyle name="Normal 12 2 5 2 6" xfId="15746"/>
    <cellStyle name="Normal 12 2 5 2 6 2" xfId="35424"/>
    <cellStyle name="Normal 12 2 5 2 7" xfId="23045"/>
    <cellStyle name="Normal 12 2 6" xfId="2524"/>
    <cellStyle name="Normal 12 2 6 2" xfId="4060"/>
    <cellStyle name="Normal 12 2 6 2 2" xfId="5685"/>
    <cellStyle name="Normal 12 2 6 2 2 2" xfId="8771"/>
    <cellStyle name="Normal 12 2 6 2 2 2 2" xfId="14964"/>
    <cellStyle name="Normal 12 2 6 2 2 2 2 2" xfId="34642"/>
    <cellStyle name="Normal 12 2 6 2 2 2 3" xfId="21116"/>
    <cellStyle name="Normal 12 2 6 2 2 2 3 2" xfId="40794"/>
    <cellStyle name="Normal 12 2 6 2 2 2 4" xfId="28478"/>
    <cellStyle name="Normal 12 2 6 2 2 3" xfId="11898"/>
    <cellStyle name="Normal 12 2 6 2 2 3 2" xfId="31576"/>
    <cellStyle name="Normal 12 2 6 2 2 4" xfId="18050"/>
    <cellStyle name="Normal 12 2 6 2 2 4 2" xfId="37728"/>
    <cellStyle name="Normal 12 2 6 2 2 5" xfId="25412"/>
    <cellStyle name="Normal 12 2 6 2 3" xfId="7236"/>
    <cellStyle name="Normal 12 2 6 2 3 2" xfId="13430"/>
    <cellStyle name="Normal 12 2 6 2 3 2 2" xfId="33108"/>
    <cellStyle name="Normal 12 2 6 2 3 3" xfId="19582"/>
    <cellStyle name="Normal 12 2 6 2 3 3 2" xfId="39260"/>
    <cellStyle name="Normal 12 2 6 2 3 4" xfId="26944"/>
    <cellStyle name="Normal 12 2 6 2 4" xfId="10364"/>
    <cellStyle name="Normal 12 2 6 2 4 2" xfId="30042"/>
    <cellStyle name="Normal 12 2 6 2 5" xfId="16516"/>
    <cellStyle name="Normal 12 2 6 2 5 2" xfId="36194"/>
    <cellStyle name="Normal 12 2 6 2 6" xfId="23878"/>
    <cellStyle name="Normal 12 2 6 3" xfId="4902"/>
    <cellStyle name="Normal 12 2 6 3 2" xfId="8002"/>
    <cellStyle name="Normal 12 2 6 3 2 2" xfId="14195"/>
    <cellStyle name="Normal 12 2 6 3 2 2 2" xfId="33873"/>
    <cellStyle name="Normal 12 2 6 3 2 3" xfId="20347"/>
    <cellStyle name="Normal 12 2 6 3 2 3 2" xfId="40025"/>
    <cellStyle name="Normal 12 2 6 3 2 4" xfId="27709"/>
    <cellStyle name="Normal 12 2 6 3 3" xfId="11129"/>
    <cellStyle name="Normal 12 2 6 3 3 2" xfId="30807"/>
    <cellStyle name="Normal 12 2 6 3 4" xfId="17281"/>
    <cellStyle name="Normal 12 2 6 3 4 2" xfId="36959"/>
    <cellStyle name="Normal 12 2 6 3 5" xfId="24643"/>
    <cellStyle name="Normal 12 2 6 4" xfId="6467"/>
    <cellStyle name="Normal 12 2 6 4 2" xfId="12661"/>
    <cellStyle name="Normal 12 2 6 4 2 2" xfId="32339"/>
    <cellStyle name="Normal 12 2 6 4 3" xfId="18813"/>
    <cellStyle name="Normal 12 2 6 4 3 2" xfId="38491"/>
    <cellStyle name="Normal 12 2 6 4 4" xfId="26175"/>
    <cellStyle name="Normal 12 2 6 5" xfId="9595"/>
    <cellStyle name="Normal 12 2 6 5 2" xfId="29273"/>
    <cellStyle name="Normal 12 2 6 6" xfId="15747"/>
    <cellStyle name="Normal 12 2 6 6 2" xfId="35425"/>
    <cellStyle name="Normal 12 2 6 7" xfId="23046"/>
    <cellStyle name="Normal 12 2 7" xfId="2511"/>
    <cellStyle name="Normal 12 2 8" xfId="41960"/>
    <cellStyle name="Normal 12 2 9" xfId="21707"/>
    <cellStyle name="Normal 12 3" xfId="91"/>
    <cellStyle name="Normal 12 3 10" xfId="2525"/>
    <cellStyle name="Normal 12 3 10 2" xfId="23047"/>
    <cellStyle name="Normal 12 3 11" xfId="41961"/>
    <cellStyle name="Normal 12 3 12" xfId="21732"/>
    <cellStyle name="Normal 12 3 2" xfId="196"/>
    <cellStyle name="Normal 12 3 2 2" xfId="2527"/>
    <cellStyle name="Normal 12 3 2 2 2" xfId="4063"/>
    <cellStyle name="Normal 12 3 2 2 2 2" xfId="5688"/>
    <cellStyle name="Normal 12 3 2 2 2 2 2" xfId="8774"/>
    <cellStyle name="Normal 12 3 2 2 2 2 2 2" xfId="14967"/>
    <cellStyle name="Normal 12 3 2 2 2 2 2 2 2" xfId="34645"/>
    <cellStyle name="Normal 12 3 2 2 2 2 2 3" xfId="21119"/>
    <cellStyle name="Normal 12 3 2 2 2 2 2 3 2" xfId="40797"/>
    <cellStyle name="Normal 12 3 2 2 2 2 2 4" xfId="28481"/>
    <cellStyle name="Normal 12 3 2 2 2 2 3" xfId="11901"/>
    <cellStyle name="Normal 12 3 2 2 2 2 3 2" xfId="31579"/>
    <cellStyle name="Normal 12 3 2 2 2 2 4" xfId="18053"/>
    <cellStyle name="Normal 12 3 2 2 2 2 4 2" xfId="37731"/>
    <cellStyle name="Normal 12 3 2 2 2 2 5" xfId="25415"/>
    <cellStyle name="Normal 12 3 2 2 2 3" xfId="7239"/>
    <cellStyle name="Normal 12 3 2 2 2 3 2" xfId="13433"/>
    <cellStyle name="Normal 12 3 2 2 2 3 2 2" xfId="33111"/>
    <cellStyle name="Normal 12 3 2 2 2 3 3" xfId="19585"/>
    <cellStyle name="Normal 12 3 2 2 2 3 3 2" xfId="39263"/>
    <cellStyle name="Normal 12 3 2 2 2 3 4" xfId="26947"/>
    <cellStyle name="Normal 12 3 2 2 2 4" xfId="10367"/>
    <cellStyle name="Normal 12 3 2 2 2 4 2" xfId="30045"/>
    <cellStyle name="Normal 12 3 2 2 2 5" xfId="16519"/>
    <cellStyle name="Normal 12 3 2 2 2 5 2" xfId="36197"/>
    <cellStyle name="Normal 12 3 2 2 2 6" xfId="23881"/>
    <cellStyle name="Normal 12 3 2 2 3" xfId="4905"/>
    <cellStyle name="Normal 12 3 2 2 3 2" xfId="8005"/>
    <cellStyle name="Normal 12 3 2 2 3 2 2" xfId="14198"/>
    <cellStyle name="Normal 12 3 2 2 3 2 2 2" xfId="33876"/>
    <cellStyle name="Normal 12 3 2 2 3 2 3" xfId="20350"/>
    <cellStyle name="Normal 12 3 2 2 3 2 3 2" xfId="40028"/>
    <cellStyle name="Normal 12 3 2 2 3 2 4" xfId="27712"/>
    <cellStyle name="Normal 12 3 2 2 3 3" xfId="11132"/>
    <cellStyle name="Normal 12 3 2 2 3 3 2" xfId="30810"/>
    <cellStyle name="Normal 12 3 2 2 3 4" xfId="17284"/>
    <cellStyle name="Normal 12 3 2 2 3 4 2" xfId="36962"/>
    <cellStyle name="Normal 12 3 2 2 3 5" xfId="24646"/>
    <cellStyle name="Normal 12 3 2 2 4" xfId="6470"/>
    <cellStyle name="Normal 12 3 2 2 4 2" xfId="12664"/>
    <cellStyle name="Normal 12 3 2 2 4 2 2" xfId="32342"/>
    <cellStyle name="Normal 12 3 2 2 4 3" xfId="18816"/>
    <cellStyle name="Normal 12 3 2 2 4 3 2" xfId="38494"/>
    <cellStyle name="Normal 12 3 2 2 4 4" xfId="26178"/>
    <cellStyle name="Normal 12 3 2 2 5" xfId="9598"/>
    <cellStyle name="Normal 12 3 2 2 5 2" xfId="29276"/>
    <cellStyle name="Normal 12 3 2 2 6" xfId="15750"/>
    <cellStyle name="Normal 12 3 2 2 6 2" xfId="35428"/>
    <cellStyle name="Normal 12 3 2 2 7" xfId="23049"/>
    <cellStyle name="Normal 12 3 2 3" xfId="4062"/>
    <cellStyle name="Normal 12 3 2 3 2" xfId="5687"/>
    <cellStyle name="Normal 12 3 2 3 2 2" xfId="8773"/>
    <cellStyle name="Normal 12 3 2 3 2 2 2" xfId="14966"/>
    <cellStyle name="Normal 12 3 2 3 2 2 2 2" xfId="34644"/>
    <cellStyle name="Normal 12 3 2 3 2 2 3" xfId="21118"/>
    <cellStyle name="Normal 12 3 2 3 2 2 3 2" xfId="40796"/>
    <cellStyle name="Normal 12 3 2 3 2 2 4" xfId="28480"/>
    <cellStyle name="Normal 12 3 2 3 2 3" xfId="11900"/>
    <cellStyle name="Normal 12 3 2 3 2 3 2" xfId="31578"/>
    <cellStyle name="Normal 12 3 2 3 2 4" xfId="18052"/>
    <cellStyle name="Normal 12 3 2 3 2 4 2" xfId="37730"/>
    <cellStyle name="Normal 12 3 2 3 2 5" xfId="25414"/>
    <cellStyle name="Normal 12 3 2 3 3" xfId="7238"/>
    <cellStyle name="Normal 12 3 2 3 3 2" xfId="13432"/>
    <cellStyle name="Normal 12 3 2 3 3 2 2" xfId="33110"/>
    <cellStyle name="Normal 12 3 2 3 3 3" xfId="19584"/>
    <cellStyle name="Normal 12 3 2 3 3 3 2" xfId="39262"/>
    <cellStyle name="Normal 12 3 2 3 3 4" xfId="26946"/>
    <cellStyle name="Normal 12 3 2 3 4" xfId="10366"/>
    <cellStyle name="Normal 12 3 2 3 4 2" xfId="30044"/>
    <cellStyle name="Normal 12 3 2 3 5" xfId="16518"/>
    <cellStyle name="Normal 12 3 2 3 5 2" xfId="36196"/>
    <cellStyle name="Normal 12 3 2 3 6" xfId="23880"/>
    <cellStyle name="Normal 12 3 2 4" xfId="4904"/>
    <cellStyle name="Normal 12 3 2 4 2" xfId="8004"/>
    <cellStyle name="Normal 12 3 2 4 2 2" xfId="14197"/>
    <cellStyle name="Normal 12 3 2 4 2 2 2" xfId="33875"/>
    <cellStyle name="Normal 12 3 2 4 2 3" xfId="20349"/>
    <cellStyle name="Normal 12 3 2 4 2 3 2" xfId="40027"/>
    <cellStyle name="Normal 12 3 2 4 2 4" xfId="27711"/>
    <cellStyle name="Normal 12 3 2 4 3" xfId="11131"/>
    <cellStyle name="Normal 12 3 2 4 3 2" xfId="30809"/>
    <cellStyle name="Normal 12 3 2 4 4" xfId="17283"/>
    <cellStyle name="Normal 12 3 2 4 4 2" xfId="36961"/>
    <cellStyle name="Normal 12 3 2 4 5" xfId="24645"/>
    <cellStyle name="Normal 12 3 2 5" xfId="6469"/>
    <cellStyle name="Normal 12 3 2 5 2" xfId="12663"/>
    <cellStyle name="Normal 12 3 2 5 2 2" xfId="32341"/>
    <cellStyle name="Normal 12 3 2 5 3" xfId="18815"/>
    <cellStyle name="Normal 12 3 2 5 3 2" xfId="38493"/>
    <cellStyle name="Normal 12 3 2 5 4" xfId="26177"/>
    <cellStyle name="Normal 12 3 2 6" xfId="9597"/>
    <cellStyle name="Normal 12 3 2 6 2" xfId="29275"/>
    <cellStyle name="Normal 12 3 2 7" xfId="15749"/>
    <cellStyle name="Normal 12 3 2 7 2" xfId="35427"/>
    <cellStyle name="Normal 12 3 2 8" xfId="2526"/>
    <cellStyle name="Normal 12 3 2 9" xfId="23048"/>
    <cellStyle name="Normal 12 3 3" xfId="2528"/>
    <cellStyle name="Normal 12 3 3 2" xfId="2529"/>
    <cellStyle name="Normal 12 3 3 2 2" xfId="4065"/>
    <cellStyle name="Normal 12 3 3 2 2 2" xfId="5690"/>
    <cellStyle name="Normal 12 3 3 2 2 2 2" xfId="8776"/>
    <cellStyle name="Normal 12 3 3 2 2 2 2 2" xfId="14969"/>
    <cellStyle name="Normal 12 3 3 2 2 2 2 2 2" xfId="34647"/>
    <cellStyle name="Normal 12 3 3 2 2 2 2 3" xfId="21121"/>
    <cellStyle name="Normal 12 3 3 2 2 2 2 3 2" xfId="40799"/>
    <cellStyle name="Normal 12 3 3 2 2 2 2 4" xfId="28483"/>
    <cellStyle name="Normal 12 3 3 2 2 2 3" xfId="11903"/>
    <cellStyle name="Normal 12 3 3 2 2 2 3 2" xfId="31581"/>
    <cellStyle name="Normal 12 3 3 2 2 2 4" xfId="18055"/>
    <cellStyle name="Normal 12 3 3 2 2 2 4 2" xfId="37733"/>
    <cellStyle name="Normal 12 3 3 2 2 2 5" xfId="25417"/>
    <cellStyle name="Normal 12 3 3 2 2 3" xfId="7241"/>
    <cellStyle name="Normal 12 3 3 2 2 3 2" xfId="13435"/>
    <cellStyle name="Normal 12 3 3 2 2 3 2 2" xfId="33113"/>
    <cellStyle name="Normal 12 3 3 2 2 3 3" xfId="19587"/>
    <cellStyle name="Normal 12 3 3 2 2 3 3 2" xfId="39265"/>
    <cellStyle name="Normal 12 3 3 2 2 3 4" xfId="26949"/>
    <cellStyle name="Normal 12 3 3 2 2 4" xfId="10369"/>
    <cellStyle name="Normal 12 3 3 2 2 4 2" xfId="30047"/>
    <cellStyle name="Normal 12 3 3 2 2 5" xfId="16521"/>
    <cellStyle name="Normal 12 3 3 2 2 5 2" xfId="36199"/>
    <cellStyle name="Normal 12 3 3 2 2 6" xfId="23883"/>
    <cellStyle name="Normal 12 3 3 2 3" xfId="4907"/>
    <cellStyle name="Normal 12 3 3 2 3 2" xfId="8007"/>
    <cellStyle name="Normal 12 3 3 2 3 2 2" xfId="14200"/>
    <cellStyle name="Normal 12 3 3 2 3 2 2 2" xfId="33878"/>
    <cellStyle name="Normal 12 3 3 2 3 2 3" xfId="20352"/>
    <cellStyle name="Normal 12 3 3 2 3 2 3 2" xfId="40030"/>
    <cellStyle name="Normal 12 3 3 2 3 2 4" xfId="27714"/>
    <cellStyle name="Normal 12 3 3 2 3 3" xfId="11134"/>
    <cellStyle name="Normal 12 3 3 2 3 3 2" xfId="30812"/>
    <cellStyle name="Normal 12 3 3 2 3 4" xfId="17286"/>
    <cellStyle name="Normal 12 3 3 2 3 4 2" xfId="36964"/>
    <cellStyle name="Normal 12 3 3 2 3 5" xfId="24648"/>
    <cellStyle name="Normal 12 3 3 2 4" xfId="6472"/>
    <cellStyle name="Normal 12 3 3 2 4 2" xfId="12666"/>
    <cellStyle name="Normal 12 3 3 2 4 2 2" xfId="32344"/>
    <cellStyle name="Normal 12 3 3 2 4 3" xfId="18818"/>
    <cellStyle name="Normal 12 3 3 2 4 3 2" xfId="38496"/>
    <cellStyle name="Normal 12 3 3 2 4 4" xfId="26180"/>
    <cellStyle name="Normal 12 3 3 2 5" xfId="9600"/>
    <cellStyle name="Normal 12 3 3 2 5 2" xfId="29278"/>
    <cellStyle name="Normal 12 3 3 2 6" xfId="15752"/>
    <cellStyle name="Normal 12 3 3 2 6 2" xfId="35430"/>
    <cellStyle name="Normal 12 3 3 2 7" xfId="23051"/>
    <cellStyle name="Normal 12 3 3 3" xfId="4064"/>
    <cellStyle name="Normal 12 3 3 3 2" xfId="5689"/>
    <cellStyle name="Normal 12 3 3 3 2 2" xfId="8775"/>
    <cellStyle name="Normal 12 3 3 3 2 2 2" xfId="14968"/>
    <cellStyle name="Normal 12 3 3 3 2 2 2 2" xfId="34646"/>
    <cellStyle name="Normal 12 3 3 3 2 2 3" xfId="21120"/>
    <cellStyle name="Normal 12 3 3 3 2 2 3 2" xfId="40798"/>
    <cellStyle name="Normal 12 3 3 3 2 2 4" xfId="28482"/>
    <cellStyle name="Normal 12 3 3 3 2 3" xfId="11902"/>
    <cellStyle name="Normal 12 3 3 3 2 3 2" xfId="31580"/>
    <cellStyle name="Normal 12 3 3 3 2 4" xfId="18054"/>
    <cellStyle name="Normal 12 3 3 3 2 4 2" xfId="37732"/>
    <cellStyle name="Normal 12 3 3 3 2 5" xfId="25416"/>
    <cellStyle name="Normal 12 3 3 3 3" xfId="7240"/>
    <cellStyle name="Normal 12 3 3 3 3 2" xfId="13434"/>
    <cellStyle name="Normal 12 3 3 3 3 2 2" xfId="33112"/>
    <cellStyle name="Normal 12 3 3 3 3 3" xfId="19586"/>
    <cellStyle name="Normal 12 3 3 3 3 3 2" xfId="39264"/>
    <cellStyle name="Normal 12 3 3 3 3 4" xfId="26948"/>
    <cellStyle name="Normal 12 3 3 3 4" xfId="10368"/>
    <cellStyle name="Normal 12 3 3 3 4 2" xfId="30046"/>
    <cellStyle name="Normal 12 3 3 3 5" xfId="16520"/>
    <cellStyle name="Normal 12 3 3 3 5 2" xfId="36198"/>
    <cellStyle name="Normal 12 3 3 3 6" xfId="23882"/>
    <cellStyle name="Normal 12 3 3 4" xfId="4906"/>
    <cellStyle name="Normal 12 3 3 4 2" xfId="8006"/>
    <cellStyle name="Normal 12 3 3 4 2 2" xfId="14199"/>
    <cellStyle name="Normal 12 3 3 4 2 2 2" xfId="33877"/>
    <cellStyle name="Normal 12 3 3 4 2 3" xfId="20351"/>
    <cellStyle name="Normal 12 3 3 4 2 3 2" xfId="40029"/>
    <cellStyle name="Normal 12 3 3 4 2 4" xfId="27713"/>
    <cellStyle name="Normal 12 3 3 4 3" xfId="11133"/>
    <cellStyle name="Normal 12 3 3 4 3 2" xfId="30811"/>
    <cellStyle name="Normal 12 3 3 4 4" xfId="17285"/>
    <cellStyle name="Normal 12 3 3 4 4 2" xfId="36963"/>
    <cellStyle name="Normal 12 3 3 4 5" xfId="24647"/>
    <cellStyle name="Normal 12 3 3 5" xfId="6471"/>
    <cellStyle name="Normal 12 3 3 5 2" xfId="12665"/>
    <cellStyle name="Normal 12 3 3 5 2 2" xfId="32343"/>
    <cellStyle name="Normal 12 3 3 5 3" xfId="18817"/>
    <cellStyle name="Normal 12 3 3 5 3 2" xfId="38495"/>
    <cellStyle name="Normal 12 3 3 5 4" xfId="26179"/>
    <cellStyle name="Normal 12 3 3 6" xfId="9599"/>
    <cellStyle name="Normal 12 3 3 6 2" xfId="29277"/>
    <cellStyle name="Normal 12 3 3 7" xfId="15751"/>
    <cellStyle name="Normal 12 3 3 7 2" xfId="35429"/>
    <cellStyle name="Normal 12 3 3 8" xfId="23050"/>
    <cellStyle name="Normal 12 3 4" xfId="2530"/>
    <cellStyle name="Normal 12 3 4 2" xfId="4066"/>
    <cellStyle name="Normal 12 3 4 2 2" xfId="5691"/>
    <cellStyle name="Normal 12 3 4 2 2 2" xfId="8777"/>
    <cellStyle name="Normal 12 3 4 2 2 2 2" xfId="14970"/>
    <cellStyle name="Normal 12 3 4 2 2 2 2 2" xfId="34648"/>
    <cellStyle name="Normal 12 3 4 2 2 2 3" xfId="21122"/>
    <cellStyle name="Normal 12 3 4 2 2 2 3 2" xfId="40800"/>
    <cellStyle name="Normal 12 3 4 2 2 2 4" xfId="28484"/>
    <cellStyle name="Normal 12 3 4 2 2 3" xfId="11904"/>
    <cellStyle name="Normal 12 3 4 2 2 3 2" xfId="31582"/>
    <cellStyle name="Normal 12 3 4 2 2 4" xfId="18056"/>
    <cellStyle name="Normal 12 3 4 2 2 4 2" xfId="37734"/>
    <cellStyle name="Normal 12 3 4 2 2 5" xfId="25418"/>
    <cellStyle name="Normal 12 3 4 2 3" xfId="7242"/>
    <cellStyle name="Normal 12 3 4 2 3 2" xfId="13436"/>
    <cellStyle name="Normal 12 3 4 2 3 2 2" xfId="33114"/>
    <cellStyle name="Normal 12 3 4 2 3 3" xfId="19588"/>
    <cellStyle name="Normal 12 3 4 2 3 3 2" xfId="39266"/>
    <cellStyle name="Normal 12 3 4 2 3 4" xfId="26950"/>
    <cellStyle name="Normal 12 3 4 2 4" xfId="10370"/>
    <cellStyle name="Normal 12 3 4 2 4 2" xfId="30048"/>
    <cellStyle name="Normal 12 3 4 2 5" xfId="16522"/>
    <cellStyle name="Normal 12 3 4 2 5 2" xfId="36200"/>
    <cellStyle name="Normal 12 3 4 2 6" xfId="23884"/>
    <cellStyle name="Normal 12 3 4 3" xfId="4908"/>
    <cellStyle name="Normal 12 3 4 3 2" xfId="8008"/>
    <cellStyle name="Normal 12 3 4 3 2 2" xfId="14201"/>
    <cellStyle name="Normal 12 3 4 3 2 2 2" xfId="33879"/>
    <cellStyle name="Normal 12 3 4 3 2 3" xfId="20353"/>
    <cellStyle name="Normal 12 3 4 3 2 3 2" xfId="40031"/>
    <cellStyle name="Normal 12 3 4 3 2 4" xfId="27715"/>
    <cellStyle name="Normal 12 3 4 3 3" xfId="11135"/>
    <cellStyle name="Normal 12 3 4 3 3 2" xfId="30813"/>
    <cellStyle name="Normal 12 3 4 3 4" xfId="17287"/>
    <cellStyle name="Normal 12 3 4 3 4 2" xfId="36965"/>
    <cellStyle name="Normal 12 3 4 3 5" xfId="24649"/>
    <cellStyle name="Normal 12 3 4 4" xfId="6473"/>
    <cellStyle name="Normal 12 3 4 4 2" xfId="12667"/>
    <cellStyle name="Normal 12 3 4 4 2 2" xfId="32345"/>
    <cellStyle name="Normal 12 3 4 4 3" xfId="18819"/>
    <cellStyle name="Normal 12 3 4 4 3 2" xfId="38497"/>
    <cellStyle name="Normal 12 3 4 4 4" xfId="26181"/>
    <cellStyle name="Normal 12 3 4 5" xfId="9601"/>
    <cellStyle name="Normal 12 3 4 5 2" xfId="29279"/>
    <cellStyle name="Normal 12 3 4 6" xfId="15753"/>
    <cellStyle name="Normal 12 3 4 6 2" xfId="35431"/>
    <cellStyle name="Normal 12 3 4 7" xfId="23052"/>
    <cellStyle name="Normal 12 3 5" xfId="4061"/>
    <cellStyle name="Normal 12 3 5 2" xfId="5686"/>
    <cellStyle name="Normal 12 3 5 2 2" xfId="8772"/>
    <cellStyle name="Normal 12 3 5 2 2 2" xfId="14965"/>
    <cellStyle name="Normal 12 3 5 2 2 2 2" xfId="34643"/>
    <cellStyle name="Normal 12 3 5 2 2 3" xfId="21117"/>
    <cellStyle name="Normal 12 3 5 2 2 3 2" xfId="40795"/>
    <cellStyle name="Normal 12 3 5 2 2 4" xfId="28479"/>
    <cellStyle name="Normal 12 3 5 2 3" xfId="11899"/>
    <cellStyle name="Normal 12 3 5 2 3 2" xfId="31577"/>
    <cellStyle name="Normal 12 3 5 2 4" xfId="18051"/>
    <cellStyle name="Normal 12 3 5 2 4 2" xfId="37729"/>
    <cellStyle name="Normal 12 3 5 2 5" xfId="25413"/>
    <cellStyle name="Normal 12 3 5 3" xfId="7237"/>
    <cellStyle name="Normal 12 3 5 3 2" xfId="13431"/>
    <cellStyle name="Normal 12 3 5 3 2 2" xfId="33109"/>
    <cellStyle name="Normal 12 3 5 3 3" xfId="19583"/>
    <cellStyle name="Normal 12 3 5 3 3 2" xfId="39261"/>
    <cellStyle name="Normal 12 3 5 3 4" xfId="26945"/>
    <cellStyle name="Normal 12 3 5 4" xfId="10365"/>
    <cellStyle name="Normal 12 3 5 4 2" xfId="30043"/>
    <cellStyle name="Normal 12 3 5 5" xfId="16517"/>
    <cellStyle name="Normal 12 3 5 5 2" xfId="36195"/>
    <cellStyle name="Normal 12 3 5 6" xfId="23879"/>
    <cellStyle name="Normal 12 3 6" xfId="4903"/>
    <cellStyle name="Normal 12 3 6 2" xfId="8003"/>
    <cellStyle name="Normal 12 3 6 2 2" xfId="14196"/>
    <cellStyle name="Normal 12 3 6 2 2 2" xfId="33874"/>
    <cellStyle name="Normal 12 3 6 2 3" xfId="20348"/>
    <cellStyle name="Normal 12 3 6 2 3 2" xfId="40026"/>
    <cellStyle name="Normal 12 3 6 2 4" xfId="27710"/>
    <cellStyle name="Normal 12 3 6 3" xfId="11130"/>
    <cellStyle name="Normal 12 3 6 3 2" xfId="30808"/>
    <cellStyle name="Normal 12 3 6 4" xfId="17282"/>
    <cellStyle name="Normal 12 3 6 4 2" xfId="36960"/>
    <cellStyle name="Normal 12 3 6 5" xfId="24644"/>
    <cellStyle name="Normal 12 3 7" xfId="6468"/>
    <cellStyle name="Normal 12 3 7 2" xfId="12662"/>
    <cellStyle name="Normal 12 3 7 2 2" xfId="32340"/>
    <cellStyle name="Normal 12 3 7 3" xfId="18814"/>
    <cellStyle name="Normal 12 3 7 3 2" xfId="38492"/>
    <cellStyle name="Normal 12 3 7 4" xfId="26176"/>
    <cellStyle name="Normal 12 3 8" xfId="9596"/>
    <cellStyle name="Normal 12 3 8 2" xfId="29274"/>
    <cellStyle name="Normal 12 3 9" xfId="15748"/>
    <cellStyle name="Normal 12 3 9 2" xfId="35426"/>
    <cellStyle name="Normal 12 4" xfId="134"/>
    <cellStyle name="Normal 12 4 10" xfId="2531"/>
    <cellStyle name="Normal 12 4 10 2" xfId="23053"/>
    <cellStyle name="Normal 12 4 11" xfId="41962"/>
    <cellStyle name="Normal 12 4 12" xfId="21720"/>
    <cellStyle name="Normal 12 4 2" xfId="184"/>
    <cellStyle name="Normal 12 4 2 2" xfId="2533"/>
    <cellStyle name="Normal 12 4 2 2 2" xfId="4069"/>
    <cellStyle name="Normal 12 4 2 2 2 2" xfId="5694"/>
    <cellStyle name="Normal 12 4 2 2 2 2 2" xfId="8780"/>
    <cellStyle name="Normal 12 4 2 2 2 2 2 2" xfId="14973"/>
    <cellStyle name="Normal 12 4 2 2 2 2 2 2 2" xfId="34651"/>
    <cellStyle name="Normal 12 4 2 2 2 2 2 3" xfId="21125"/>
    <cellStyle name="Normal 12 4 2 2 2 2 2 3 2" xfId="40803"/>
    <cellStyle name="Normal 12 4 2 2 2 2 2 4" xfId="28487"/>
    <cellStyle name="Normal 12 4 2 2 2 2 3" xfId="11907"/>
    <cellStyle name="Normal 12 4 2 2 2 2 3 2" xfId="31585"/>
    <cellStyle name="Normal 12 4 2 2 2 2 4" xfId="18059"/>
    <cellStyle name="Normal 12 4 2 2 2 2 4 2" xfId="37737"/>
    <cellStyle name="Normal 12 4 2 2 2 2 5" xfId="25421"/>
    <cellStyle name="Normal 12 4 2 2 2 3" xfId="7245"/>
    <cellStyle name="Normal 12 4 2 2 2 3 2" xfId="13439"/>
    <cellStyle name="Normal 12 4 2 2 2 3 2 2" xfId="33117"/>
    <cellStyle name="Normal 12 4 2 2 2 3 3" xfId="19591"/>
    <cellStyle name="Normal 12 4 2 2 2 3 3 2" xfId="39269"/>
    <cellStyle name="Normal 12 4 2 2 2 3 4" xfId="26953"/>
    <cellStyle name="Normal 12 4 2 2 2 4" xfId="10373"/>
    <cellStyle name="Normal 12 4 2 2 2 4 2" xfId="30051"/>
    <cellStyle name="Normal 12 4 2 2 2 5" xfId="16525"/>
    <cellStyle name="Normal 12 4 2 2 2 5 2" xfId="36203"/>
    <cellStyle name="Normal 12 4 2 2 2 6" xfId="23887"/>
    <cellStyle name="Normal 12 4 2 2 3" xfId="4911"/>
    <cellStyle name="Normal 12 4 2 2 3 2" xfId="8011"/>
    <cellStyle name="Normal 12 4 2 2 3 2 2" xfId="14204"/>
    <cellStyle name="Normal 12 4 2 2 3 2 2 2" xfId="33882"/>
    <cellStyle name="Normal 12 4 2 2 3 2 3" xfId="20356"/>
    <cellStyle name="Normal 12 4 2 2 3 2 3 2" xfId="40034"/>
    <cellStyle name="Normal 12 4 2 2 3 2 4" xfId="27718"/>
    <cellStyle name="Normal 12 4 2 2 3 3" xfId="11138"/>
    <cellStyle name="Normal 12 4 2 2 3 3 2" xfId="30816"/>
    <cellStyle name="Normal 12 4 2 2 3 4" xfId="17290"/>
    <cellStyle name="Normal 12 4 2 2 3 4 2" xfId="36968"/>
    <cellStyle name="Normal 12 4 2 2 3 5" xfId="24652"/>
    <cellStyle name="Normal 12 4 2 2 4" xfId="6476"/>
    <cellStyle name="Normal 12 4 2 2 4 2" xfId="12670"/>
    <cellStyle name="Normal 12 4 2 2 4 2 2" xfId="32348"/>
    <cellStyle name="Normal 12 4 2 2 4 3" xfId="18822"/>
    <cellStyle name="Normal 12 4 2 2 4 3 2" xfId="38500"/>
    <cellStyle name="Normal 12 4 2 2 4 4" xfId="26184"/>
    <cellStyle name="Normal 12 4 2 2 5" xfId="9604"/>
    <cellStyle name="Normal 12 4 2 2 5 2" xfId="29282"/>
    <cellStyle name="Normal 12 4 2 2 6" xfId="15756"/>
    <cellStyle name="Normal 12 4 2 2 6 2" xfId="35434"/>
    <cellStyle name="Normal 12 4 2 2 7" xfId="23055"/>
    <cellStyle name="Normal 12 4 2 3" xfId="4068"/>
    <cellStyle name="Normal 12 4 2 3 2" xfId="5693"/>
    <cellStyle name="Normal 12 4 2 3 2 2" xfId="8779"/>
    <cellStyle name="Normal 12 4 2 3 2 2 2" xfId="14972"/>
    <cellStyle name="Normal 12 4 2 3 2 2 2 2" xfId="34650"/>
    <cellStyle name="Normal 12 4 2 3 2 2 3" xfId="21124"/>
    <cellStyle name="Normal 12 4 2 3 2 2 3 2" xfId="40802"/>
    <cellStyle name="Normal 12 4 2 3 2 2 4" xfId="28486"/>
    <cellStyle name="Normal 12 4 2 3 2 3" xfId="11906"/>
    <cellStyle name="Normal 12 4 2 3 2 3 2" xfId="31584"/>
    <cellStyle name="Normal 12 4 2 3 2 4" xfId="18058"/>
    <cellStyle name="Normal 12 4 2 3 2 4 2" xfId="37736"/>
    <cellStyle name="Normal 12 4 2 3 2 5" xfId="25420"/>
    <cellStyle name="Normal 12 4 2 3 3" xfId="7244"/>
    <cellStyle name="Normal 12 4 2 3 3 2" xfId="13438"/>
    <cellStyle name="Normal 12 4 2 3 3 2 2" xfId="33116"/>
    <cellStyle name="Normal 12 4 2 3 3 3" xfId="19590"/>
    <cellStyle name="Normal 12 4 2 3 3 3 2" xfId="39268"/>
    <cellStyle name="Normal 12 4 2 3 3 4" xfId="26952"/>
    <cellStyle name="Normal 12 4 2 3 4" xfId="10372"/>
    <cellStyle name="Normal 12 4 2 3 4 2" xfId="30050"/>
    <cellStyle name="Normal 12 4 2 3 5" xfId="16524"/>
    <cellStyle name="Normal 12 4 2 3 5 2" xfId="36202"/>
    <cellStyle name="Normal 12 4 2 3 6" xfId="23886"/>
    <cellStyle name="Normal 12 4 2 4" xfId="4910"/>
    <cellStyle name="Normal 12 4 2 4 2" xfId="8010"/>
    <cellStyle name="Normal 12 4 2 4 2 2" xfId="14203"/>
    <cellStyle name="Normal 12 4 2 4 2 2 2" xfId="33881"/>
    <cellStyle name="Normal 12 4 2 4 2 3" xfId="20355"/>
    <cellStyle name="Normal 12 4 2 4 2 3 2" xfId="40033"/>
    <cellStyle name="Normal 12 4 2 4 2 4" xfId="27717"/>
    <cellStyle name="Normal 12 4 2 4 3" xfId="11137"/>
    <cellStyle name="Normal 12 4 2 4 3 2" xfId="30815"/>
    <cellStyle name="Normal 12 4 2 4 4" xfId="17289"/>
    <cellStyle name="Normal 12 4 2 4 4 2" xfId="36967"/>
    <cellStyle name="Normal 12 4 2 4 5" xfId="24651"/>
    <cellStyle name="Normal 12 4 2 5" xfId="6475"/>
    <cellStyle name="Normal 12 4 2 5 2" xfId="12669"/>
    <cellStyle name="Normal 12 4 2 5 2 2" xfId="32347"/>
    <cellStyle name="Normal 12 4 2 5 3" xfId="18821"/>
    <cellStyle name="Normal 12 4 2 5 3 2" xfId="38499"/>
    <cellStyle name="Normal 12 4 2 5 4" xfId="26183"/>
    <cellStyle name="Normal 12 4 2 6" xfId="9603"/>
    <cellStyle name="Normal 12 4 2 6 2" xfId="29281"/>
    <cellStyle name="Normal 12 4 2 7" xfId="15755"/>
    <cellStyle name="Normal 12 4 2 7 2" xfId="35433"/>
    <cellStyle name="Normal 12 4 2 8" xfId="2532"/>
    <cellStyle name="Normal 12 4 2 9" xfId="23054"/>
    <cellStyle name="Normal 12 4 3" xfId="2534"/>
    <cellStyle name="Normal 12 4 3 2" xfId="2535"/>
    <cellStyle name="Normal 12 4 3 2 2" xfId="4071"/>
    <cellStyle name="Normal 12 4 3 2 2 2" xfId="5696"/>
    <cellStyle name="Normal 12 4 3 2 2 2 2" xfId="8782"/>
    <cellStyle name="Normal 12 4 3 2 2 2 2 2" xfId="14975"/>
    <cellStyle name="Normal 12 4 3 2 2 2 2 2 2" xfId="34653"/>
    <cellStyle name="Normal 12 4 3 2 2 2 2 3" xfId="21127"/>
    <cellStyle name="Normal 12 4 3 2 2 2 2 3 2" xfId="40805"/>
    <cellStyle name="Normal 12 4 3 2 2 2 2 4" xfId="28489"/>
    <cellStyle name="Normal 12 4 3 2 2 2 3" xfId="11909"/>
    <cellStyle name="Normal 12 4 3 2 2 2 3 2" xfId="31587"/>
    <cellStyle name="Normal 12 4 3 2 2 2 4" xfId="18061"/>
    <cellStyle name="Normal 12 4 3 2 2 2 4 2" xfId="37739"/>
    <cellStyle name="Normal 12 4 3 2 2 2 5" xfId="25423"/>
    <cellStyle name="Normal 12 4 3 2 2 3" xfId="7247"/>
    <cellStyle name="Normal 12 4 3 2 2 3 2" xfId="13441"/>
    <cellStyle name="Normal 12 4 3 2 2 3 2 2" xfId="33119"/>
    <cellStyle name="Normal 12 4 3 2 2 3 3" xfId="19593"/>
    <cellStyle name="Normal 12 4 3 2 2 3 3 2" xfId="39271"/>
    <cellStyle name="Normal 12 4 3 2 2 3 4" xfId="26955"/>
    <cellStyle name="Normal 12 4 3 2 2 4" xfId="10375"/>
    <cellStyle name="Normal 12 4 3 2 2 4 2" xfId="30053"/>
    <cellStyle name="Normal 12 4 3 2 2 5" xfId="16527"/>
    <cellStyle name="Normal 12 4 3 2 2 5 2" xfId="36205"/>
    <cellStyle name="Normal 12 4 3 2 2 6" xfId="23889"/>
    <cellStyle name="Normal 12 4 3 2 3" xfId="4913"/>
    <cellStyle name="Normal 12 4 3 2 3 2" xfId="8013"/>
    <cellStyle name="Normal 12 4 3 2 3 2 2" xfId="14206"/>
    <cellStyle name="Normal 12 4 3 2 3 2 2 2" xfId="33884"/>
    <cellStyle name="Normal 12 4 3 2 3 2 3" xfId="20358"/>
    <cellStyle name="Normal 12 4 3 2 3 2 3 2" xfId="40036"/>
    <cellStyle name="Normal 12 4 3 2 3 2 4" xfId="27720"/>
    <cellStyle name="Normal 12 4 3 2 3 3" xfId="11140"/>
    <cellStyle name="Normal 12 4 3 2 3 3 2" xfId="30818"/>
    <cellStyle name="Normal 12 4 3 2 3 4" xfId="17292"/>
    <cellStyle name="Normal 12 4 3 2 3 4 2" xfId="36970"/>
    <cellStyle name="Normal 12 4 3 2 3 5" xfId="24654"/>
    <cellStyle name="Normal 12 4 3 2 4" xfId="6478"/>
    <cellStyle name="Normal 12 4 3 2 4 2" xfId="12672"/>
    <cellStyle name="Normal 12 4 3 2 4 2 2" xfId="32350"/>
    <cellStyle name="Normal 12 4 3 2 4 3" xfId="18824"/>
    <cellStyle name="Normal 12 4 3 2 4 3 2" xfId="38502"/>
    <cellStyle name="Normal 12 4 3 2 4 4" xfId="26186"/>
    <cellStyle name="Normal 12 4 3 2 5" xfId="9606"/>
    <cellStyle name="Normal 12 4 3 2 5 2" xfId="29284"/>
    <cellStyle name="Normal 12 4 3 2 6" xfId="15758"/>
    <cellStyle name="Normal 12 4 3 2 6 2" xfId="35436"/>
    <cellStyle name="Normal 12 4 3 2 7" xfId="23057"/>
    <cellStyle name="Normal 12 4 3 3" xfId="4070"/>
    <cellStyle name="Normal 12 4 3 3 2" xfId="5695"/>
    <cellStyle name="Normal 12 4 3 3 2 2" xfId="8781"/>
    <cellStyle name="Normal 12 4 3 3 2 2 2" xfId="14974"/>
    <cellStyle name="Normal 12 4 3 3 2 2 2 2" xfId="34652"/>
    <cellStyle name="Normal 12 4 3 3 2 2 3" xfId="21126"/>
    <cellStyle name="Normal 12 4 3 3 2 2 3 2" xfId="40804"/>
    <cellStyle name="Normal 12 4 3 3 2 2 4" xfId="28488"/>
    <cellStyle name="Normal 12 4 3 3 2 3" xfId="11908"/>
    <cellStyle name="Normal 12 4 3 3 2 3 2" xfId="31586"/>
    <cellStyle name="Normal 12 4 3 3 2 4" xfId="18060"/>
    <cellStyle name="Normal 12 4 3 3 2 4 2" xfId="37738"/>
    <cellStyle name="Normal 12 4 3 3 2 5" xfId="25422"/>
    <cellStyle name="Normal 12 4 3 3 3" xfId="7246"/>
    <cellStyle name="Normal 12 4 3 3 3 2" xfId="13440"/>
    <cellStyle name="Normal 12 4 3 3 3 2 2" xfId="33118"/>
    <cellStyle name="Normal 12 4 3 3 3 3" xfId="19592"/>
    <cellStyle name="Normal 12 4 3 3 3 3 2" xfId="39270"/>
    <cellStyle name="Normal 12 4 3 3 3 4" xfId="26954"/>
    <cellStyle name="Normal 12 4 3 3 4" xfId="10374"/>
    <cellStyle name="Normal 12 4 3 3 4 2" xfId="30052"/>
    <cellStyle name="Normal 12 4 3 3 5" xfId="16526"/>
    <cellStyle name="Normal 12 4 3 3 5 2" xfId="36204"/>
    <cellStyle name="Normal 12 4 3 3 6" xfId="23888"/>
    <cellStyle name="Normal 12 4 3 4" xfId="4912"/>
    <cellStyle name="Normal 12 4 3 4 2" xfId="8012"/>
    <cellStyle name="Normal 12 4 3 4 2 2" xfId="14205"/>
    <cellStyle name="Normal 12 4 3 4 2 2 2" xfId="33883"/>
    <cellStyle name="Normal 12 4 3 4 2 3" xfId="20357"/>
    <cellStyle name="Normal 12 4 3 4 2 3 2" xfId="40035"/>
    <cellStyle name="Normal 12 4 3 4 2 4" xfId="27719"/>
    <cellStyle name="Normal 12 4 3 4 3" xfId="11139"/>
    <cellStyle name="Normal 12 4 3 4 3 2" xfId="30817"/>
    <cellStyle name="Normal 12 4 3 4 4" xfId="17291"/>
    <cellStyle name="Normal 12 4 3 4 4 2" xfId="36969"/>
    <cellStyle name="Normal 12 4 3 4 5" xfId="24653"/>
    <cellStyle name="Normal 12 4 3 5" xfId="6477"/>
    <cellStyle name="Normal 12 4 3 5 2" xfId="12671"/>
    <cellStyle name="Normal 12 4 3 5 2 2" xfId="32349"/>
    <cellStyle name="Normal 12 4 3 5 3" xfId="18823"/>
    <cellStyle name="Normal 12 4 3 5 3 2" xfId="38501"/>
    <cellStyle name="Normal 12 4 3 5 4" xfId="26185"/>
    <cellStyle name="Normal 12 4 3 6" xfId="9605"/>
    <cellStyle name="Normal 12 4 3 6 2" xfId="29283"/>
    <cellStyle name="Normal 12 4 3 7" xfId="15757"/>
    <cellStyle name="Normal 12 4 3 7 2" xfId="35435"/>
    <cellStyle name="Normal 12 4 3 8" xfId="23056"/>
    <cellStyle name="Normal 12 4 4" xfId="2536"/>
    <cellStyle name="Normal 12 4 4 2" xfId="4072"/>
    <cellStyle name="Normal 12 4 4 2 2" xfId="5697"/>
    <cellStyle name="Normal 12 4 4 2 2 2" xfId="8783"/>
    <cellStyle name="Normal 12 4 4 2 2 2 2" xfId="14976"/>
    <cellStyle name="Normal 12 4 4 2 2 2 2 2" xfId="34654"/>
    <cellStyle name="Normal 12 4 4 2 2 2 3" xfId="21128"/>
    <cellStyle name="Normal 12 4 4 2 2 2 3 2" xfId="40806"/>
    <cellStyle name="Normal 12 4 4 2 2 2 4" xfId="28490"/>
    <cellStyle name="Normal 12 4 4 2 2 3" xfId="11910"/>
    <cellStyle name="Normal 12 4 4 2 2 3 2" xfId="31588"/>
    <cellStyle name="Normal 12 4 4 2 2 4" xfId="18062"/>
    <cellStyle name="Normal 12 4 4 2 2 4 2" xfId="37740"/>
    <cellStyle name="Normal 12 4 4 2 2 5" xfId="25424"/>
    <cellStyle name="Normal 12 4 4 2 3" xfId="7248"/>
    <cellStyle name="Normal 12 4 4 2 3 2" xfId="13442"/>
    <cellStyle name="Normal 12 4 4 2 3 2 2" xfId="33120"/>
    <cellStyle name="Normal 12 4 4 2 3 3" xfId="19594"/>
    <cellStyle name="Normal 12 4 4 2 3 3 2" xfId="39272"/>
    <cellStyle name="Normal 12 4 4 2 3 4" xfId="26956"/>
    <cellStyle name="Normal 12 4 4 2 4" xfId="10376"/>
    <cellStyle name="Normal 12 4 4 2 4 2" xfId="30054"/>
    <cellStyle name="Normal 12 4 4 2 5" xfId="16528"/>
    <cellStyle name="Normal 12 4 4 2 5 2" xfId="36206"/>
    <cellStyle name="Normal 12 4 4 2 6" xfId="23890"/>
    <cellStyle name="Normal 12 4 4 3" xfId="4914"/>
    <cellStyle name="Normal 12 4 4 3 2" xfId="8014"/>
    <cellStyle name="Normal 12 4 4 3 2 2" xfId="14207"/>
    <cellStyle name="Normal 12 4 4 3 2 2 2" xfId="33885"/>
    <cellStyle name="Normal 12 4 4 3 2 3" xfId="20359"/>
    <cellStyle name="Normal 12 4 4 3 2 3 2" xfId="40037"/>
    <cellStyle name="Normal 12 4 4 3 2 4" xfId="27721"/>
    <cellStyle name="Normal 12 4 4 3 3" xfId="11141"/>
    <cellStyle name="Normal 12 4 4 3 3 2" xfId="30819"/>
    <cellStyle name="Normal 12 4 4 3 4" xfId="17293"/>
    <cellStyle name="Normal 12 4 4 3 4 2" xfId="36971"/>
    <cellStyle name="Normal 12 4 4 3 5" xfId="24655"/>
    <cellStyle name="Normal 12 4 4 4" xfId="6479"/>
    <cellStyle name="Normal 12 4 4 4 2" xfId="12673"/>
    <cellStyle name="Normal 12 4 4 4 2 2" xfId="32351"/>
    <cellStyle name="Normal 12 4 4 4 3" xfId="18825"/>
    <cellStyle name="Normal 12 4 4 4 3 2" xfId="38503"/>
    <cellStyle name="Normal 12 4 4 4 4" xfId="26187"/>
    <cellStyle name="Normal 12 4 4 5" xfId="9607"/>
    <cellStyle name="Normal 12 4 4 5 2" xfId="29285"/>
    <cellStyle name="Normal 12 4 4 6" xfId="15759"/>
    <cellStyle name="Normal 12 4 4 6 2" xfId="35437"/>
    <cellStyle name="Normal 12 4 4 7" xfId="23058"/>
    <cellStyle name="Normal 12 4 5" xfId="4067"/>
    <cellStyle name="Normal 12 4 5 2" xfId="5692"/>
    <cellStyle name="Normal 12 4 5 2 2" xfId="8778"/>
    <cellStyle name="Normal 12 4 5 2 2 2" xfId="14971"/>
    <cellStyle name="Normal 12 4 5 2 2 2 2" xfId="34649"/>
    <cellStyle name="Normal 12 4 5 2 2 3" xfId="21123"/>
    <cellStyle name="Normal 12 4 5 2 2 3 2" xfId="40801"/>
    <cellStyle name="Normal 12 4 5 2 2 4" xfId="28485"/>
    <cellStyle name="Normal 12 4 5 2 3" xfId="11905"/>
    <cellStyle name="Normal 12 4 5 2 3 2" xfId="31583"/>
    <cellStyle name="Normal 12 4 5 2 4" xfId="18057"/>
    <cellStyle name="Normal 12 4 5 2 4 2" xfId="37735"/>
    <cellStyle name="Normal 12 4 5 2 5" xfId="25419"/>
    <cellStyle name="Normal 12 4 5 3" xfId="7243"/>
    <cellStyle name="Normal 12 4 5 3 2" xfId="13437"/>
    <cellStyle name="Normal 12 4 5 3 2 2" xfId="33115"/>
    <cellStyle name="Normal 12 4 5 3 3" xfId="19589"/>
    <cellStyle name="Normal 12 4 5 3 3 2" xfId="39267"/>
    <cellStyle name="Normal 12 4 5 3 4" xfId="26951"/>
    <cellStyle name="Normal 12 4 5 4" xfId="10371"/>
    <cellStyle name="Normal 12 4 5 4 2" xfId="30049"/>
    <cellStyle name="Normal 12 4 5 5" xfId="16523"/>
    <cellStyle name="Normal 12 4 5 5 2" xfId="36201"/>
    <cellStyle name="Normal 12 4 5 6" xfId="23885"/>
    <cellStyle name="Normal 12 4 6" xfId="4909"/>
    <cellStyle name="Normal 12 4 6 2" xfId="8009"/>
    <cellStyle name="Normal 12 4 6 2 2" xfId="14202"/>
    <cellStyle name="Normal 12 4 6 2 2 2" xfId="33880"/>
    <cellStyle name="Normal 12 4 6 2 3" xfId="20354"/>
    <cellStyle name="Normal 12 4 6 2 3 2" xfId="40032"/>
    <cellStyle name="Normal 12 4 6 2 4" xfId="27716"/>
    <cellStyle name="Normal 12 4 6 3" xfId="11136"/>
    <cellStyle name="Normal 12 4 6 3 2" xfId="30814"/>
    <cellStyle name="Normal 12 4 6 4" xfId="17288"/>
    <cellStyle name="Normal 12 4 6 4 2" xfId="36966"/>
    <cellStyle name="Normal 12 4 6 5" xfId="24650"/>
    <cellStyle name="Normal 12 4 7" xfId="6474"/>
    <cellStyle name="Normal 12 4 7 2" xfId="12668"/>
    <cellStyle name="Normal 12 4 7 2 2" xfId="32346"/>
    <cellStyle name="Normal 12 4 7 3" xfId="18820"/>
    <cellStyle name="Normal 12 4 7 3 2" xfId="38498"/>
    <cellStyle name="Normal 12 4 7 4" xfId="26182"/>
    <cellStyle name="Normal 12 4 8" xfId="9602"/>
    <cellStyle name="Normal 12 4 8 2" xfId="29280"/>
    <cellStyle name="Normal 12 4 9" xfId="15754"/>
    <cellStyle name="Normal 12 4 9 2" xfId="35432"/>
    <cellStyle name="Normal 12 5" xfId="158"/>
    <cellStyle name="Normal 12 5 2" xfId="2538"/>
    <cellStyle name="Normal 12 5 2 2" xfId="4074"/>
    <cellStyle name="Normal 12 5 2 2 2" xfId="5699"/>
    <cellStyle name="Normal 12 5 2 2 2 2" xfId="8785"/>
    <cellStyle name="Normal 12 5 2 2 2 2 2" xfId="14978"/>
    <cellStyle name="Normal 12 5 2 2 2 2 2 2" xfId="34656"/>
    <cellStyle name="Normal 12 5 2 2 2 2 3" xfId="21130"/>
    <cellStyle name="Normal 12 5 2 2 2 2 3 2" xfId="40808"/>
    <cellStyle name="Normal 12 5 2 2 2 2 4" xfId="28492"/>
    <cellStyle name="Normal 12 5 2 2 2 3" xfId="11912"/>
    <cellStyle name="Normal 12 5 2 2 2 3 2" xfId="31590"/>
    <cellStyle name="Normal 12 5 2 2 2 4" xfId="18064"/>
    <cellStyle name="Normal 12 5 2 2 2 4 2" xfId="37742"/>
    <cellStyle name="Normal 12 5 2 2 2 5" xfId="25426"/>
    <cellStyle name="Normal 12 5 2 2 3" xfId="7250"/>
    <cellStyle name="Normal 12 5 2 2 3 2" xfId="13444"/>
    <cellStyle name="Normal 12 5 2 2 3 2 2" xfId="33122"/>
    <cellStyle name="Normal 12 5 2 2 3 3" xfId="19596"/>
    <cellStyle name="Normal 12 5 2 2 3 3 2" xfId="39274"/>
    <cellStyle name="Normal 12 5 2 2 3 4" xfId="26958"/>
    <cellStyle name="Normal 12 5 2 2 4" xfId="10378"/>
    <cellStyle name="Normal 12 5 2 2 4 2" xfId="30056"/>
    <cellStyle name="Normal 12 5 2 2 5" xfId="16530"/>
    <cellStyle name="Normal 12 5 2 2 5 2" xfId="36208"/>
    <cellStyle name="Normal 12 5 2 2 6" xfId="23892"/>
    <cellStyle name="Normal 12 5 2 3" xfId="4916"/>
    <cellStyle name="Normal 12 5 2 3 2" xfId="8016"/>
    <cellStyle name="Normal 12 5 2 3 2 2" xfId="14209"/>
    <cellStyle name="Normal 12 5 2 3 2 2 2" xfId="33887"/>
    <cellStyle name="Normal 12 5 2 3 2 3" xfId="20361"/>
    <cellStyle name="Normal 12 5 2 3 2 3 2" xfId="40039"/>
    <cellStyle name="Normal 12 5 2 3 2 4" xfId="27723"/>
    <cellStyle name="Normal 12 5 2 3 3" xfId="11143"/>
    <cellStyle name="Normal 12 5 2 3 3 2" xfId="30821"/>
    <cellStyle name="Normal 12 5 2 3 4" xfId="17295"/>
    <cellStyle name="Normal 12 5 2 3 4 2" xfId="36973"/>
    <cellStyle name="Normal 12 5 2 3 5" xfId="24657"/>
    <cellStyle name="Normal 12 5 2 4" xfId="6481"/>
    <cellStyle name="Normal 12 5 2 4 2" xfId="12675"/>
    <cellStyle name="Normal 12 5 2 4 2 2" xfId="32353"/>
    <cellStyle name="Normal 12 5 2 4 3" xfId="18827"/>
    <cellStyle name="Normal 12 5 2 4 3 2" xfId="38505"/>
    <cellStyle name="Normal 12 5 2 4 4" xfId="26189"/>
    <cellStyle name="Normal 12 5 2 5" xfId="9609"/>
    <cellStyle name="Normal 12 5 2 5 2" xfId="29287"/>
    <cellStyle name="Normal 12 5 2 6" xfId="15761"/>
    <cellStyle name="Normal 12 5 2 6 2" xfId="35439"/>
    <cellStyle name="Normal 12 5 2 7" xfId="23060"/>
    <cellStyle name="Normal 12 5 3" xfId="4073"/>
    <cellStyle name="Normal 12 5 3 2" xfId="5698"/>
    <cellStyle name="Normal 12 5 3 2 2" xfId="8784"/>
    <cellStyle name="Normal 12 5 3 2 2 2" xfId="14977"/>
    <cellStyle name="Normal 12 5 3 2 2 2 2" xfId="34655"/>
    <cellStyle name="Normal 12 5 3 2 2 3" xfId="21129"/>
    <cellStyle name="Normal 12 5 3 2 2 3 2" xfId="40807"/>
    <cellStyle name="Normal 12 5 3 2 2 4" xfId="28491"/>
    <cellStyle name="Normal 12 5 3 2 3" xfId="11911"/>
    <cellStyle name="Normal 12 5 3 2 3 2" xfId="31589"/>
    <cellStyle name="Normal 12 5 3 2 4" xfId="18063"/>
    <cellStyle name="Normal 12 5 3 2 4 2" xfId="37741"/>
    <cellStyle name="Normal 12 5 3 2 5" xfId="25425"/>
    <cellStyle name="Normal 12 5 3 3" xfId="7249"/>
    <cellStyle name="Normal 12 5 3 3 2" xfId="13443"/>
    <cellStyle name="Normal 12 5 3 3 2 2" xfId="33121"/>
    <cellStyle name="Normal 12 5 3 3 3" xfId="19595"/>
    <cellStyle name="Normal 12 5 3 3 3 2" xfId="39273"/>
    <cellStyle name="Normal 12 5 3 3 4" xfId="26957"/>
    <cellStyle name="Normal 12 5 3 4" xfId="10377"/>
    <cellStyle name="Normal 12 5 3 4 2" xfId="30055"/>
    <cellStyle name="Normal 12 5 3 5" xfId="16529"/>
    <cellStyle name="Normal 12 5 3 5 2" xfId="36207"/>
    <cellStyle name="Normal 12 5 3 6" xfId="23891"/>
    <cellStyle name="Normal 12 5 4" xfId="4915"/>
    <cellStyle name="Normal 12 5 4 2" xfId="8015"/>
    <cellStyle name="Normal 12 5 4 2 2" xfId="14208"/>
    <cellStyle name="Normal 12 5 4 2 2 2" xfId="33886"/>
    <cellStyle name="Normal 12 5 4 2 3" xfId="20360"/>
    <cellStyle name="Normal 12 5 4 2 3 2" xfId="40038"/>
    <cellStyle name="Normal 12 5 4 2 4" xfId="27722"/>
    <cellStyle name="Normal 12 5 4 3" xfId="11142"/>
    <cellStyle name="Normal 12 5 4 3 2" xfId="30820"/>
    <cellStyle name="Normal 12 5 4 4" xfId="17294"/>
    <cellStyle name="Normal 12 5 4 4 2" xfId="36972"/>
    <cellStyle name="Normal 12 5 4 5" xfId="24656"/>
    <cellStyle name="Normal 12 5 5" xfId="6480"/>
    <cellStyle name="Normal 12 5 5 2" xfId="12674"/>
    <cellStyle name="Normal 12 5 5 2 2" xfId="32352"/>
    <cellStyle name="Normal 12 5 5 3" xfId="18826"/>
    <cellStyle name="Normal 12 5 5 3 2" xfId="38504"/>
    <cellStyle name="Normal 12 5 5 4" xfId="26188"/>
    <cellStyle name="Normal 12 5 6" xfId="9608"/>
    <cellStyle name="Normal 12 5 6 2" xfId="29286"/>
    <cellStyle name="Normal 12 5 7" xfId="15760"/>
    <cellStyle name="Normal 12 5 7 2" xfId="35438"/>
    <cellStyle name="Normal 12 5 8" xfId="2537"/>
    <cellStyle name="Normal 12 5 8 2" xfId="41963"/>
    <cellStyle name="Normal 12 5 9" xfId="23059"/>
    <cellStyle name="Normal 12 6" xfId="2539"/>
    <cellStyle name="Normal 12 6 2" xfId="2540"/>
    <cellStyle name="Normal 12 6 2 2" xfId="4076"/>
    <cellStyle name="Normal 12 6 2 2 2" xfId="5701"/>
    <cellStyle name="Normal 12 6 2 2 2 2" xfId="8787"/>
    <cellStyle name="Normal 12 6 2 2 2 2 2" xfId="14980"/>
    <cellStyle name="Normal 12 6 2 2 2 2 2 2" xfId="34658"/>
    <cellStyle name="Normal 12 6 2 2 2 2 3" xfId="21132"/>
    <cellStyle name="Normal 12 6 2 2 2 2 3 2" xfId="40810"/>
    <cellStyle name="Normal 12 6 2 2 2 2 4" xfId="28494"/>
    <cellStyle name="Normal 12 6 2 2 2 3" xfId="11914"/>
    <cellStyle name="Normal 12 6 2 2 2 3 2" xfId="31592"/>
    <cellStyle name="Normal 12 6 2 2 2 4" xfId="18066"/>
    <cellStyle name="Normal 12 6 2 2 2 4 2" xfId="37744"/>
    <cellStyle name="Normal 12 6 2 2 2 5" xfId="25428"/>
    <cellStyle name="Normal 12 6 2 2 3" xfId="7252"/>
    <cellStyle name="Normal 12 6 2 2 3 2" xfId="13446"/>
    <cellStyle name="Normal 12 6 2 2 3 2 2" xfId="33124"/>
    <cellStyle name="Normal 12 6 2 2 3 3" xfId="19598"/>
    <cellStyle name="Normal 12 6 2 2 3 3 2" xfId="39276"/>
    <cellStyle name="Normal 12 6 2 2 3 4" xfId="26960"/>
    <cellStyle name="Normal 12 6 2 2 4" xfId="10380"/>
    <cellStyle name="Normal 12 6 2 2 4 2" xfId="30058"/>
    <cellStyle name="Normal 12 6 2 2 5" xfId="16532"/>
    <cellStyle name="Normal 12 6 2 2 5 2" xfId="36210"/>
    <cellStyle name="Normal 12 6 2 2 6" xfId="23894"/>
    <cellStyle name="Normal 12 6 2 3" xfId="4918"/>
    <cellStyle name="Normal 12 6 2 3 2" xfId="8018"/>
    <cellStyle name="Normal 12 6 2 3 2 2" xfId="14211"/>
    <cellStyle name="Normal 12 6 2 3 2 2 2" xfId="33889"/>
    <cellStyle name="Normal 12 6 2 3 2 3" xfId="20363"/>
    <cellStyle name="Normal 12 6 2 3 2 3 2" xfId="40041"/>
    <cellStyle name="Normal 12 6 2 3 2 4" xfId="27725"/>
    <cellStyle name="Normal 12 6 2 3 3" xfId="11145"/>
    <cellStyle name="Normal 12 6 2 3 3 2" xfId="30823"/>
    <cellStyle name="Normal 12 6 2 3 4" xfId="17297"/>
    <cellStyle name="Normal 12 6 2 3 4 2" xfId="36975"/>
    <cellStyle name="Normal 12 6 2 3 5" xfId="24659"/>
    <cellStyle name="Normal 12 6 2 4" xfId="6483"/>
    <cellStyle name="Normal 12 6 2 4 2" xfId="12677"/>
    <cellStyle name="Normal 12 6 2 4 2 2" xfId="32355"/>
    <cellStyle name="Normal 12 6 2 4 3" xfId="18829"/>
    <cellStyle name="Normal 12 6 2 4 3 2" xfId="38507"/>
    <cellStyle name="Normal 12 6 2 4 4" xfId="26191"/>
    <cellStyle name="Normal 12 6 2 5" xfId="9611"/>
    <cellStyle name="Normal 12 6 2 5 2" xfId="29289"/>
    <cellStyle name="Normal 12 6 2 6" xfId="15763"/>
    <cellStyle name="Normal 12 6 2 6 2" xfId="35441"/>
    <cellStyle name="Normal 12 6 2 7" xfId="23062"/>
    <cellStyle name="Normal 12 6 3" xfId="4075"/>
    <cellStyle name="Normal 12 6 3 2" xfId="5700"/>
    <cellStyle name="Normal 12 6 3 2 2" xfId="8786"/>
    <cellStyle name="Normal 12 6 3 2 2 2" xfId="14979"/>
    <cellStyle name="Normal 12 6 3 2 2 2 2" xfId="34657"/>
    <cellStyle name="Normal 12 6 3 2 2 3" xfId="21131"/>
    <cellStyle name="Normal 12 6 3 2 2 3 2" xfId="40809"/>
    <cellStyle name="Normal 12 6 3 2 2 4" xfId="28493"/>
    <cellStyle name="Normal 12 6 3 2 3" xfId="11913"/>
    <cellStyle name="Normal 12 6 3 2 3 2" xfId="31591"/>
    <cellStyle name="Normal 12 6 3 2 4" xfId="18065"/>
    <cellStyle name="Normal 12 6 3 2 4 2" xfId="37743"/>
    <cellStyle name="Normal 12 6 3 2 5" xfId="25427"/>
    <cellStyle name="Normal 12 6 3 3" xfId="7251"/>
    <cellStyle name="Normal 12 6 3 3 2" xfId="13445"/>
    <cellStyle name="Normal 12 6 3 3 2 2" xfId="33123"/>
    <cellStyle name="Normal 12 6 3 3 3" xfId="19597"/>
    <cellStyle name="Normal 12 6 3 3 3 2" xfId="39275"/>
    <cellStyle name="Normal 12 6 3 3 4" xfId="26959"/>
    <cellStyle name="Normal 12 6 3 4" xfId="10379"/>
    <cellStyle name="Normal 12 6 3 4 2" xfId="30057"/>
    <cellStyle name="Normal 12 6 3 5" xfId="16531"/>
    <cellStyle name="Normal 12 6 3 5 2" xfId="36209"/>
    <cellStyle name="Normal 12 6 3 6" xfId="23893"/>
    <cellStyle name="Normal 12 6 4" xfId="4917"/>
    <cellStyle name="Normal 12 6 4 2" xfId="8017"/>
    <cellStyle name="Normal 12 6 4 2 2" xfId="14210"/>
    <cellStyle name="Normal 12 6 4 2 2 2" xfId="33888"/>
    <cellStyle name="Normal 12 6 4 2 3" xfId="20362"/>
    <cellStyle name="Normal 12 6 4 2 3 2" xfId="40040"/>
    <cellStyle name="Normal 12 6 4 2 4" xfId="27724"/>
    <cellStyle name="Normal 12 6 4 3" xfId="11144"/>
    <cellStyle name="Normal 12 6 4 3 2" xfId="30822"/>
    <cellStyle name="Normal 12 6 4 4" xfId="17296"/>
    <cellStyle name="Normal 12 6 4 4 2" xfId="36974"/>
    <cellStyle name="Normal 12 6 4 5" xfId="24658"/>
    <cellStyle name="Normal 12 6 5" xfId="6482"/>
    <cellStyle name="Normal 12 6 5 2" xfId="12676"/>
    <cellStyle name="Normal 12 6 5 2 2" xfId="32354"/>
    <cellStyle name="Normal 12 6 5 3" xfId="18828"/>
    <cellStyle name="Normal 12 6 5 3 2" xfId="38506"/>
    <cellStyle name="Normal 12 6 5 4" xfId="26190"/>
    <cellStyle name="Normal 12 6 6" xfId="9610"/>
    <cellStyle name="Normal 12 6 6 2" xfId="29288"/>
    <cellStyle name="Normal 12 6 7" xfId="15762"/>
    <cellStyle name="Normal 12 6 7 2" xfId="35440"/>
    <cellStyle name="Normal 12 6 8" xfId="23061"/>
    <cellStyle name="Normal 12 7" xfId="2541"/>
    <cellStyle name="Normal 12 7 2" xfId="4077"/>
    <cellStyle name="Normal 12 7 2 2" xfId="5702"/>
    <cellStyle name="Normal 12 7 2 2 2" xfId="8788"/>
    <cellStyle name="Normal 12 7 2 2 2 2" xfId="14981"/>
    <cellStyle name="Normal 12 7 2 2 2 2 2" xfId="34659"/>
    <cellStyle name="Normal 12 7 2 2 2 3" xfId="21133"/>
    <cellStyle name="Normal 12 7 2 2 2 3 2" xfId="40811"/>
    <cellStyle name="Normal 12 7 2 2 2 4" xfId="28495"/>
    <cellStyle name="Normal 12 7 2 2 3" xfId="11915"/>
    <cellStyle name="Normal 12 7 2 2 3 2" xfId="31593"/>
    <cellStyle name="Normal 12 7 2 2 4" xfId="18067"/>
    <cellStyle name="Normal 12 7 2 2 4 2" xfId="37745"/>
    <cellStyle name="Normal 12 7 2 2 5" xfId="25429"/>
    <cellStyle name="Normal 12 7 2 3" xfId="7253"/>
    <cellStyle name="Normal 12 7 2 3 2" xfId="13447"/>
    <cellStyle name="Normal 12 7 2 3 2 2" xfId="33125"/>
    <cellStyle name="Normal 12 7 2 3 3" xfId="19599"/>
    <cellStyle name="Normal 12 7 2 3 3 2" xfId="39277"/>
    <cellStyle name="Normal 12 7 2 3 4" xfId="26961"/>
    <cellStyle name="Normal 12 7 2 4" xfId="10381"/>
    <cellStyle name="Normal 12 7 2 4 2" xfId="30059"/>
    <cellStyle name="Normal 12 7 2 5" xfId="16533"/>
    <cellStyle name="Normal 12 7 2 5 2" xfId="36211"/>
    <cellStyle name="Normal 12 7 2 6" xfId="23895"/>
    <cellStyle name="Normal 12 7 3" xfId="4919"/>
    <cellStyle name="Normal 12 7 3 2" xfId="8019"/>
    <cellStyle name="Normal 12 7 3 2 2" xfId="14212"/>
    <cellStyle name="Normal 12 7 3 2 2 2" xfId="33890"/>
    <cellStyle name="Normal 12 7 3 2 3" xfId="20364"/>
    <cellStyle name="Normal 12 7 3 2 3 2" xfId="40042"/>
    <cellStyle name="Normal 12 7 3 2 4" xfId="27726"/>
    <cellStyle name="Normal 12 7 3 3" xfId="11146"/>
    <cellStyle name="Normal 12 7 3 3 2" xfId="30824"/>
    <cellStyle name="Normal 12 7 3 4" xfId="17298"/>
    <cellStyle name="Normal 12 7 3 4 2" xfId="36976"/>
    <cellStyle name="Normal 12 7 3 5" xfId="24660"/>
    <cellStyle name="Normal 12 7 4" xfId="6484"/>
    <cellStyle name="Normal 12 7 4 2" xfId="12678"/>
    <cellStyle name="Normal 12 7 4 2 2" xfId="32356"/>
    <cellStyle name="Normal 12 7 4 3" xfId="18830"/>
    <cellStyle name="Normal 12 7 4 3 2" xfId="38508"/>
    <cellStyle name="Normal 12 7 4 4" xfId="26192"/>
    <cellStyle name="Normal 12 7 5" xfId="9612"/>
    <cellStyle name="Normal 12 7 5 2" xfId="29290"/>
    <cellStyle name="Normal 12 7 6" xfId="15764"/>
    <cellStyle name="Normal 12 7 6 2" xfId="35442"/>
    <cellStyle name="Normal 12 7 7" xfId="23063"/>
    <cellStyle name="Normal 12 8" xfId="4048"/>
    <cellStyle name="Normal 12 8 2" xfId="5673"/>
    <cellStyle name="Normal 12 8 2 2" xfId="8759"/>
    <cellStyle name="Normal 12 8 2 2 2" xfId="14952"/>
    <cellStyle name="Normal 12 8 2 2 2 2" xfId="34630"/>
    <cellStyle name="Normal 12 8 2 2 3" xfId="21104"/>
    <cellStyle name="Normal 12 8 2 2 3 2" xfId="40782"/>
    <cellStyle name="Normal 12 8 2 2 4" xfId="28466"/>
    <cellStyle name="Normal 12 8 2 3" xfId="11886"/>
    <cellStyle name="Normal 12 8 2 3 2" xfId="31564"/>
    <cellStyle name="Normal 12 8 2 4" xfId="18038"/>
    <cellStyle name="Normal 12 8 2 4 2" xfId="37716"/>
    <cellStyle name="Normal 12 8 2 5" xfId="25400"/>
    <cellStyle name="Normal 12 8 3" xfId="7224"/>
    <cellStyle name="Normal 12 8 3 2" xfId="13418"/>
    <cellStyle name="Normal 12 8 3 2 2" xfId="33096"/>
    <cellStyle name="Normal 12 8 3 3" xfId="19570"/>
    <cellStyle name="Normal 12 8 3 3 2" xfId="39248"/>
    <cellStyle name="Normal 12 8 3 4" xfId="26932"/>
    <cellStyle name="Normal 12 8 4" xfId="10352"/>
    <cellStyle name="Normal 12 8 4 2" xfId="30030"/>
    <cellStyle name="Normal 12 8 5" xfId="16504"/>
    <cellStyle name="Normal 12 8 5 2" xfId="36182"/>
    <cellStyle name="Normal 12 8 6" xfId="23866"/>
    <cellStyle name="Normal 12 9" xfId="4890"/>
    <cellStyle name="Normal 12 9 2" xfId="7990"/>
    <cellStyle name="Normal 12 9 2 2" xfId="14183"/>
    <cellStyle name="Normal 12 9 2 2 2" xfId="33861"/>
    <cellStyle name="Normal 12 9 2 3" xfId="20335"/>
    <cellStyle name="Normal 12 9 2 3 2" xfId="40013"/>
    <cellStyle name="Normal 12 9 2 4" xfId="27697"/>
    <cellStyle name="Normal 12 9 3" xfId="11117"/>
    <cellStyle name="Normal 12 9 3 2" xfId="30795"/>
    <cellStyle name="Normal 12 9 4" xfId="17269"/>
    <cellStyle name="Normal 12 9 4 2" xfId="36947"/>
    <cellStyle name="Normal 12 9 5" xfId="24631"/>
    <cellStyle name="Normal 13" xfId="2542"/>
    <cellStyle name="Normal 13 2" xfId="41965"/>
    <cellStyle name="Normal 13 3" xfId="41966"/>
    <cellStyle name="Normal 13 4" xfId="41967"/>
    <cellStyle name="Normal 13 5" xfId="41964"/>
    <cellStyle name="Normal 13 6" xfId="42076"/>
    <cellStyle name="Normal 14" xfId="2543"/>
    <cellStyle name="Normal 14 2" xfId="2544"/>
    <cellStyle name="Normal 14 3" xfId="41968"/>
    <cellStyle name="Normal 15" xfId="2545"/>
    <cellStyle name="Normal 15 10" xfId="15765"/>
    <cellStyle name="Normal 15 10 2" xfId="35443"/>
    <cellStyle name="Normal 15 11" xfId="23064"/>
    <cellStyle name="Normal 15 12" xfId="41969"/>
    <cellStyle name="Normal 15 2" xfId="2546"/>
    <cellStyle name="Normal 15 3" xfId="2547"/>
    <cellStyle name="Normal 15 3 2" xfId="4079"/>
    <cellStyle name="Normal 15 3 2 2" xfId="5704"/>
    <cellStyle name="Normal 15 3 2 2 2" xfId="8790"/>
    <cellStyle name="Normal 15 3 2 2 2 2" xfId="14983"/>
    <cellStyle name="Normal 15 3 2 2 2 2 2" xfId="34661"/>
    <cellStyle name="Normal 15 3 2 2 2 3" xfId="21135"/>
    <cellStyle name="Normal 15 3 2 2 2 3 2" xfId="40813"/>
    <cellStyle name="Normal 15 3 2 2 2 4" xfId="28497"/>
    <cellStyle name="Normal 15 3 2 2 3" xfId="11917"/>
    <cellStyle name="Normal 15 3 2 2 3 2" xfId="31595"/>
    <cellStyle name="Normal 15 3 2 2 4" xfId="18069"/>
    <cellStyle name="Normal 15 3 2 2 4 2" xfId="37747"/>
    <cellStyle name="Normal 15 3 2 2 5" xfId="25431"/>
    <cellStyle name="Normal 15 3 2 3" xfId="7255"/>
    <cellStyle name="Normal 15 3 2 3 2" xfId="13449"/>
    <cellStyle name="Normal 15 3 2 3 2 2" xfId="33127"/>
    <cellStyle name="Normal 15 3 2 3 3" xfId="19601"/>
    <cellStyle name="Normal 15 3 2 3 3 2" xfId="39279"/>
    <cellStyle name="Normal 15 3 2 3 4" xfId="26963"/>
    <cellStyle name="Normal 15 3 2 4" xfId="10383"/>
    <cellStyle name="Normal 15 3 2 4 2" xfId="30061"/>
    <cellStyle name="Normal 15 3 2 5" xfId="16535"/>
    <cellStyle name="Normal 15 3 2 5 2" xfId="36213"/>
    <cellStyle name="Normal 15 3 2 6" xfId="23897"/>
    <cellStyle name="Normal 15 3 3" xfId="4921"/>
    <cellStyle name="Normal 15 3 3 2" xfId="8021"/>
    <cellStyle name="Normal 15 3 3 2 2" xfId="14214"/>
    <cellStyle name="Normal 15 3 3 2 2 2" xfId="33892"/>
    <cellStyle name="Normal 15 3 3 2 3" xfId="20366"/>
    <cellStyle name="Normal 15 3 3 2 3 2" xfId="40044"/>
    <cellStyle name="Normal 15 3 3 2 4" xfId="27728"/>
    <cellStyle name="Normal 15 3 3 3" xfId="11148"/>
    <cellStyle name="Normal 15 3 3 3 2" xfId="30826"/>
    <cellStyle name="Normal 15 3 3 4" xfId="17300"/>
    <cellStyle name="Normal 15 3 3 4 2" xfId="36978"/>
    <cellStyle name="Normal 15 3 3 5" xfId="24662"/>
    <cellStyle name="Normal 15 3 4" xfId="6486"/>
    <cellStyle name="Normal 15 3 4 2" xfId="12680"/>
    <cellStyle name="Normal 15 3 4 2 2" xfId="32358"/>
    <cellStyle name="Normal 15 3 4 3" xfId="18832"/>
    <cellStyle name="Normal 15 3 4 3 2" xfId="38510"/>
    <cellStyle name="Normal 15 3 4 4" xfId="26194"/>
    <cellStyle name="Normal 15 3 5" xfId="9614"/>
    <cellStyle name="Normal 15 3 5 2" xfId="29292"/>
    <cellStyle name="Normal 15 3 6" xfId="15766"/>
    <cellStyle name="Normal 15 3 6 2" xfId="35444"/>
    <cellStyle name="Normal 15 3 7" xfId="23065"/>
    <cellStyle name="Normal 15 4" xfId="2548"/>
    <cellStyle name="Normal 15 4 2" xfId="2549"/>
    <cellStyle name="Normal 15 5" xfId="2550"/>
    <cellStyle name="Normal 15 5 2" xfId="2551"/>
    <cellStyle name="Normal 15 6" xfId="4078"/>
    <cellStyle name="Normal 15 6 2" xfId="5703"/>
    <cellStyle name="Normal 15 6 2 2" xfId="8789"/>
    <cellStyle name="Normal 15 6 2 2 2" xfId="14982"/>
    <cellStyle name="Normal 15 6 2 2 2 2" xfId="34660"/>
    <cellStyle name="Normal 15 6 2 2 3" xfId="21134"/>
    <cellStyle name="Normal 15 6 2 2 3 2" xfId="40812"/>
    <cellStyle name="Normal 15 6 2 2 4" xfId="28496"/>
    <cellStyle name="Normal 15 6 2 3" xfId="11916"/>
    <cellStyle name="Normal 15 6 2 3 2" xfId="31594"/>
    <cellStyle name="Normal 15 6 2 4" xfId="18068"/>
    <cellStyle name="Normal 15 6 2 4 2" xfId="37746"/>
    <cellStyle name="Normal 15 6 2 5" xfId="25430"/>
    <cellStyle name="Normal 15 6 3" xfId="7254"/>
    <cellStyle name="Normal 15 6 3 2" xfId="13448"/>
    <cellStyle name="Normal 15 6 3 2 2" xfId="33126"/>
    <cellStyle name="Normal 15 6 3 3" xfId="19600"/>
    <cellStyle name="Normal 15 6 3 3 2" xfId="39278"/>
    <cellStyle name="Normal 15 6 3 4" xfId="26962"/>
    <cellStyle name="Normal 15 6 4" xfId="10382"/>
    <cellStyle name="Normal 15 6 4 2" xfId="30060"/>
    <cellStyle name="Normal 15 6 5" xfId="16534"/>
    <cellStyle name="Normal 15 6 5 2" xfId="36212"/>
    <cellStyle name="Normal 15 6 6" xfId="23896"/>
    <cellStyle name="Normal 15 7" xfId="4920"/>
    <cellStyle name="Normal 15 7 2" xfId="8020"/>
    <cellStyle name="Normal 15 7 2 2" xfId="14213"/>
    <cellStyle name="Normal 15 7 2 2 2" xfId="33891"/>
    <cellStyle name="Normal 15 7 2 3" xfId="20365"/>
    <cellStyle name="Normal 15 7 2 3 2" xfId="40043"/>
    <cellStyle name="Normal 15 7 2 4" xfId="27727"/>
    <cellStyle name="Normal 15 7 3" xfId="11147"/>
    <cellStyle name="Normal 15 7 3 2" xfId="30825"/>
    <cellStyle name="Normal 15 7 4" xfId="17299"/>
    <cellStyle name="Normal 15 7 4 2" xfId="36977"/>
    <cellStyle name="Normal 15 7 5" xfId="24661"/>
    <cellStyle name="Normal 15 8" xfId="6485"/>
    <cellStyle name="Normal 15 8 2" xfId="12679"/>
    <cellStyle name="Normal 15 8 2 2" xfId="32357"/>
    <cellStyle name="Normal 15 8 3" xfId="18831"/>
    <cellStyle name="Normal 15 8 3 2" xfId="38509"/>
    <cellStyle name="Normal 15 8 4" xfId="26193"/>
    <cellStyle name="Normal 15 9" xfId="9613"/>
    <cellStyle name="Normal 15 9 2" xfId="29291"/>
    <cellStyle name="Normal 16" xfId="2552"/>
    <cellStyle name="Normal 16 2" xfId="2553"/>
    <cellStyle name="Normal 16 2 10" xfId="41971"/>
    <cellStyle name="Normal 16 2 11" xfId="23066"/>
    <cellStyle name="Normal 16 2 2" xfId="2554"/>
    <cellStyle name="Normal 16 2 2 2" xfId="2555"/>
    <cellStyle name="Normal 16 2 2 2 2" xfId="4082"/>
    <cellStyle name="Normal 16 2 2 2 2 2" xfId="5707"/>
    <cellStyle name="Normal 16 2 2 2 2 2 2" xfId="8793"/>
    <cellStyle name="Normal 16 2 2 2 2 2 2 2" xfId="14986"/>
    <cellStyle name="Normal 16 2 2 2 2 2 2 2 2" xfId="34664"/>
    <cellStyle name="Normal 16 2 2 2 2 2 2 3" xfId="21138"/>
    <cellStyle name="Normal 16 2 2 2 2 2 2 3 2" xfId="40816"/>
    <cellStyle name="Normal 16 2 2 2 2 2 2 4" xfId="28500"/>
    <cellStyle name="Normal 16 2 2 2 2 2 3" xfId="11920"/>
    <cellStyle name="Normal 16 2 2 2 2 2 3 2" xfId="31598"/>
    <cellStyle name="Normal 16 2 2 2 2 2 4" xfId="18072"/>
    <cellStyle name="Normal 16 2 2 2 2 2 4 2" xfId="37750"/>
    <cellStyle name="Normal 16 2 2 2 2 2 5" xfId="25434"/>
    <cellStyle name="Normal 16 2 2 2 2 3" xfId="7258"/>
    <cellStyle name="Normal 16 2 2 2 2 3 2" xfId="13452"/>
    <cellStyle name="Normal 16 2 2 2 2 3 2 2" xfId="33130"/>
    <cellStyle name="Normal 16 2 2 2 2 3 3" xfId="19604"/>
    <cellStyle name="Normal 16 2 2 2 2 3 3 2" xfId="39282"/>
    <cellStyle name="Normal 16 2 2 2 2 3 4" xfId="26966"/>
    <cellStyle name="Normal 16 2 2 2 2 4" xfId="10386"/>
    <cellStyle name="Normal 16 2 2 2 2 4 2" xfId="30064"/>
    <cellStyle name="Normal 16 2 2 2 2 5" xfId="16538"/>
    <cellStyle name="Normal 16 2 2 2 2 5 2" xfId="36216"/>
    <cellStyle name="Normal 16 2 2 2 2 6" xfId="23900"/>
    <cellStyle name="Normal 16 2 2 2 3" xfId="4924"/>
    <cellStyle name="Normal 16 2 2 2 3 2" xfId="8024"/>
    <cellStyle name="Normal 16 2 2 2 3 2 2" xfId="14217"/>
    <cellStyle name="Normal 16 2 2 2 3 2 2 2" xfId="33895"/>
    <cellStyle name="Normal 16 2 2 2 3 2 3" xfId="20369"/>
    <cellStyle name="Normal 16 2 2 2 3 2 3 2" xfId="40047"/>
    <cellStyle name="Normal 16 2 2 2 3 2 4" xfId="27731"/>
    <cellStyle name="Normal 16 2 2 2 3 3" xfId="11151"/>
    <cellStyle name="Normal 16 2 2 2 3 3 2" xfId="30829"/>
    <cellStyle name="Normal 16 2 2 2 3 4" xfId="17303"/>
    <cellStyle name="Normal 16 2 2 2 3 4 2" xfId="36981"/>
    <cellStyle name="Normal 16 2 2 2 3 5" xfId="24665"/>
    <cellStyle name="Normal 16 2 2 2 4" xfId="6489"/>
    <cellStyle name="Normal 16 2 2 2 4 2" xfId="12683"/>
    <cellStyle name="Normal 16 2 2 2 4 2 2" xfId="32361"/>
    <cellStyle name="Normal 16 2 2 2 4 3" xfId="18835"/>
    <cellStyle name="Normal 16 2 2 2 4 3 2" xfId="38513"/>
    <cellStyle name="Normal 16 2 2 2 4 4" xfId="26197"/>
    <cellStyle name="Normal 16 2 2 2 5" xfId="9617"/>
    <cellStyle name="Normal 16 2 2 2 5 2" xfId="29295"/>
    <cellStyle name="Normal 16 2 2 2 6" xfId="15769"/>
    <cellStyle name="Normal 16 2 2 2 6 2" xfId="35447"/>
    <cellStyle name="Normal 16 2 2 2 7" xfId="23068"/>
    <cellStyle name="Normal 16 2 2 3" xfId="4081"/>
    <cellStyle name="Normal 16 2 2 3 2" xfId="5706"/>
    <cellStyle name="Normal 16 2 2 3 2 2" xfId="8792"/>
    <cellStyle name="Normal 16 2 2 3 2 2 2" xfId="14985"/>
    <cellStyle name="Normal 16 2 2 3 2 2 2 2" xfId="34663"/>
    <cellStyle name="Normal 16 2 2 3 2 2 3" xfId="21137"/>
    <cellStyle name="Normal 16 2 2 3 2 2 3 2" xfId="40815"/>
    <cellStyle name="Normal 16 2 2 3 2 2 4" xfId="28499"/>
    <cellStyle name="Normal 16 2 2 3 2 3" xfId="11919"/>
    <cellStyle name="Normal 16 2 2 3 2 3 2" xfId="31597"/>
    <cellStyle name="Normal 16 2 2 3 2 4" xfId="18071"/>
    <cellStyle name="Normal 16 2 2 3 2 4 2" xfId="37749"/>
    <cellStyle name="Normal 16 2 2 3 2 5" xfId="25433"/>
    <cellStyle name="Normal 16 2 2 3 3" xfId="7257"/>
    <cellStyle name="Normal 16 2 2 3 3 2" xfId="13451"/>
    <cellStyle name="Normal 16 2 2 3 3 2 2" xfId="33129"/>
    <cellStyle name="Normal 16 2 2 3 3 3" xfId="19603"/>
    <cellStyle name="Normal 16 2 2 3 3 3 2" xfId="39281"/>
    <cellStyle name="Normal 16 2 2 3 3 4" xfId="26965"/>
    <cellStyle name="Normal 16 2 2 3 4" xfId="10385"/>
    <cellStyle name="Normal 16 2 2 3 4 2" xfId="30063"/>
    <cellStyle name="Normal 16 2 2 3 5" xfId="16537"/>
    <cellStyle name="Normal 16 2 2 3 5 2" xfId="36215"/>
    <cellStyle name="Normal 16 2 2 3 6" xfId="23899"/>
    <cellStyle name="Normal 16 2 2 4" xfId="4923"/>
    <cellStyle name="Normal 16 2 2 4 2" xfId="8023"/>
    <cellStyle name="Normal 16 2 2 4 2 2" xfId="14216"/>
    <cellStyle name="Normal 16 2 2 4 2 2 2" xfId="33894"/>
    <cellStyle name="Normal 16 2 2 4 2 3" xfId="20368"/>
    <cellStyle name="Normal 16 2 2 4 2 3 2" xfId="40046"/>
    <cellStyle name="Normal 16 2 2 4 2 4" xfId="27730"/>
    <cellStyle name="Normal 16 2 2 4 3" xfId="11150"/>
    <cellStyle name="Normal 16 2 2 4 3 2" xfId="30828"/>
    <cellStyle name="Normal 16 2 2 4 4" xfId="17302"/>
    <cellStyle name="Normal 16 2 2 4 4 2" xfId="36980"/>
    <cellStyle name="Normal 16 2 2 4 5" xfId="24664"/>
    <cellStyle name="Normal 16 2 2 5" xfId="6488"/>
    <cellStyle name="Normal 16 2 2 5 2" xfId="12682"/>
    <cellStyle name="Normal 16 2 2 5 2 2" xfId="32360"/>
    <cellStyle name="Normal 16 2 2 5 3" xfId="18834"/>
    <cellStyle name="Normal 16 2 2 5 3 2" xfId="38512"/>
    <cellStyle name="Normal 16 2 2 5 4" xfId="26196"/>
    <cellStyle name="Normal 16 2 2 6" xfId="9616"/>
    <cellStyle name="Normal 16 2 2 6 2" xfId="29294"/>
    <cellStyle name="Normal 16 2 2 7" xfId="15768"/>
    <cellStyle name="Normal 16 2 2 7 2" xfId="35446"/>
    <cellStyle name="Normal 16 2 2 8" xfId="23067"/>
    <cellStyle name="Normal 16 2 3" xfId="2556"/>
    <cellStyle name="Normal 16 2 3 2" xfId="2557"/>
    <cellStyle name="Normal 16 2 3 2 2" xfId="4084"/>
    <cellStyle name="Normal 16 2 3 2 2 2" xfId="5709"/>
    <cellStyle name="Normal 16 2 3 2 2 2 2" xfId="8795"/>
    <cellStyle name="Normal 16 2 3 2 2 2 2 2" xfId="14988"/>
    <cellStyle name="Normal 16 2 3 2 2 2 2 2 2" xfId="34666"/>
    <cellStyle name="Normal 16 2 3 2 2 2 2 3" xfId="21140"/>
    <cellStyle name="Normal 16 2 3 2 2 2 2 3 2" xfId="40818"/>
    <cellStyle name="Normal 16 2 3 2 2 2 2 4" xfId="28502"/>
    <cellStyle name="Normal 16 2 3 2 2 2 3" xfId="11922"/>
    <cellStyle name="Normal 16 2 3 2 2 2 3 2" xfId="31600"/>
    <cellStyle name="Normal 16 2 3 2 2 2 4" xfId="18074"/>
    <cellStyle name="Normal 16 2 3 2 2 2 4 2" xfId="37752"/>
    <cellStyle name="Normal 16 2 3 2 2 2 5" xfId="25436"/>
    <cellStyle name="Normal 16 2 3 2 2 3" xfId="7260"/>
    <cellStyle name="Normal 16 2 3 2 2 3 2" xfId="13454"/>
    <cellStyle name="Normal 16 2 3 2 2 3 2 2" xfId="33132"/>
    <cellStyle name="Normal 16 2 3 2 2 3 3" xfId="19606"/>
    <cellStyle name="Normal 16 2 3 2 2 3 3 2" xfId="39284"/>
    <cellStyle name="Normal 16 2 3 2 2 3 4" xfId="26968"/>
    <cellStyle name="Normal 16 2 3 2 2 4" xfId="10388"/>
    <cellStyle name="Normal 16 2 3 2 2 4 2" xfId="30066"/>
    <cellStyle name="Normal 16 2 3 2 2 5" xfId="16540"/>
    <cellStyle name="Normal 16 2 3 2 2 5 2" xfId="36218"/>
    <cellStyle name="Normal 16 2 3 2 2 6" xfId="23902"/>
    <cellStyle name="Normal 16 2 3 2 3" xfId="4926"/>
    <cellStyle name="Normal 16 2 3 2 3 2" xfId="8026"/>
    <cellStyle name="Normal 16 2 3 2 3 2 2" xfId="14219"/>
    <cellStyle name="Normal 16 2 3 2 3 2 2 2" xfId="33897"/>
    <cellStyle name="Normal 16 2 3 2 3 2 3" xfId="20371"/>
    <cellStyle name="Normal 16 2 3 2 3 2 3 2" xfId="40049"/>
    <cellStyle name="Normal 16 2 3 2 3 2 4" xfId="27733"/>
    <cellStyle name="Normal 16 2 3 2 3 3" xfId="11153"/>
    <cellStyle name="Normal 16 2 3 2 3 3 2" xfId="30831"/>
    <cellStyle name="Normal 16 2 3 2 3 4" xfId="17305"/>
    <cellStyle name="Normal 16 2 3 2 3 4 2" xfId="36983"/>
    <cellStyle name="Normal 16 2 3 2 3 5" xfId="24667"/>
    <cellStyle name="Normal 16 2 3 2 4" xfId="6491"/>
    <cellStyle name="Normal 16 2 3 2 4 2" xfId="12685"/>
    <cellStyle name="Normal 16 2 3 2 4 2 2" xfId="32363"/>
    <cellStyle name="Normal 16 2 3 2 4 3" xfId="18837"/>
    <cellStyle name="Normal 16 2 3 2 4 3 2" xfId="38515"/>
    <cellStyle name="Normal 16 2 3 2 4 4" xfId="26199"/>
    <cellStyle name="Normal 16 2 3 2 5" xfId="9619"/>
    <cellStyle name="Normal 16 2 3 2 5 2" xfId="29297"/>
    <cellStyle name="Normal 16 2 3 2 6" xfId="15771"/>
    <cellStyle name="Normal 16 2 3 2 6 2" xfId="35449"/>
    <cellStyle name="Normal 16 2 3 2 7" xfId="23070"/>
    <cellStyle name="Normal 16 2 3 3" xfId="4083"/>
    <cellStyle name="Normal 16 2 3 3 2" xfId="5708"/>
    <cellStyle name="Normal 16 2 3 3 2 2" xfId="8794"/>
    <cellStyle name="Normal 16 2 3 3 2 2 2" xfId="14987"/>
    <cellStyle name="Normal 16 2 3 3 2 2 2 2" xfId="34665"/>
    <cellStyle name="Normal 16 2 3 3 2 2 3" xfId="21139"/>
    <cellStyle name="Normal 16 2 3 3 2 2 3 2" xfId="40817"/>
    <cellStyle name="Normal 16 2 3 3 2 2 4" xfId="28501"/>
    <cellStyle name="Normal 16 2 3 3 2 3" xfId="11921"/>
    <cellStyle name="Normal 16 2 3 3 2 3 2" xfId="31599"/>
    <cellStyle name="Normal 16 2 3 3 2 4" xfId="18073"/>
    <cellStyle name="Normal 16 2 3 3 2 4 2" xfId="37751"/>
    <cellStyle name="Normal 16 2 3 3 2 5" xfId="25435"/>
    <cellStyle name="Normal 16 2 3 3 3" xfId="7259"/>
    <cellStyle name="Normal 16 2 3 3 3 2" xfId="13453"/>
    <cellStyle name="Normal 16 2 3 3 3 2 2" xfId="33131"/>
    <cellStyle name="Normal 16 2 3 3 3 3" xfId="19605"/>
    <cellStyle name="Normal 16 2 3 3 3 3 2" xfId="39283"/>
    <cellStyle name="Normal 16 2 3 3 3 4" xfId="26967"/>
    <cellStyle name="Normal 16 2 3 3 4" xfId="10387"/>
    <cellStyle name="Normal 16 2 3 3 4 2" xfId="30065"/>
    <cellStyle name="Normal 16 2 3 3 5" xfId="16539"/>
    <cellStyle name="Normal 16 2 3 3 5 2" xfId="36217"/>
    <cellStyle name="Normal 16 2 3 3 6" xfId="23901"/>
    <cellStyle name="Normal 16 2 3 4" xfId="4925"/>
    <cellStyle name="Normal 16 2 3 4 2" xfId="8025"/>
    <cellStyle name="Normal 16 2 3 4 2 2" xfId="14218"/>
    <cellStyle name="Normal 16 2 3 4 2 2 2" xfId="33896"/>
    <cellStyle name="Normal 16 2 3 4 2 3" xfId="20370"/>
    <cellStyle name="Normal 16 2 3 4 2 3 2" xfId="40048"/>
    <cellStyle name="Normal 16 2 3 4 2 4" xfId="27732"/>
    <cellStyle name="Normal 16 2 3 4 3" xfId="11152"/>
    <cellStyle name="Normal 16 2 3 4 3 2" xfId="30830"/>
    <cellStyle name="Normal 16 2 3 4 4" xfId="17304"/>
    <cellStyle name="Normal 16 2 3 4 4 2" xfId="36982"/>
    <cellStyle name="Normal 16 2 3 4 5" xfId="24666"/>
    <cellStyle name="Normal 16 2 3 5" xfId="6490"/>
    <cellStyle name="Normal 16 2 3 5 2" xfId="12684"/>
    <cellStyle name="Normal 16 2 3 5 2 2" xfId="32362"/>
    <cellStyle name="Normal 16 2 3 5 3" xfId="18836"/>
    <cellStyle name="Normal 16 2 3 5 3 2" xfId="38514"/>
    <cellStyle name="Normal 16 2 3 5 4" xfId="26198"/>
    <cellStyle name="Normal 16 2 3 6" xfId="9618"/>
    <cellStyle name="Normal 16 2 3 6 2" xfId="29296"/>
    <cellStyle name="Normal 16 2 3 7" xfId="15770"/>
    <cellStyle name="Normal 16 2 3 7 2" xfId="35448"/>
    <cellStyle name="Normal 16 2 3 8" xfId="23069"/>
    <cellStyle name="Normal 16 2 4" xfId="2558"/>
    <cellStyle name="Normal 16 2 4 2" xfId="4085"/>
    <cellStyle name="Normal 16 2 4 2 2" xfId="5710"/>
    <cellStyle name="Normal 16 2 4 2 2 2" xfId="8796"/>
    <cellStyle name="Normal 16 2 4 2 2 2 2" xfId="14989"/>
    <cellStyle name="Normal 16 2 4 2 2 2 2 2" xfId="34667"/>
    <cellStyle name="Normal 16 2 4 2 2 2 3" xfId="21141"/>
    <cellStyle name="Normal 16 2 4 2 2 2 3 2" xfId="40819"/>
    <cellStyle name="Normal 16 2 4 2 2 2 4" xfId="28503"/>
    <cellStyle name="Normal 16 2 4 2 2 3" xfId="11923"/>
    <cellStyle name="Normal 16 2 4 2 2 3 2" xfId="31601"/>
    <cellStyle name="Normal 16 2 4 2 2 4" xfId="18075"/>
    <cellStyle name="Normal 16 2 4 2 2 4 2" xfId="37753"/>
    <cellStyle name="Normal 16 2 4 2 2 5" xfId="25437"/>
    <cellStyle name="Normal 16 2 4 2 3" xfId="7261"/>
    <cellStyle name="Normal 16 2 4 2 3 2" xfId="13455"/>
    <cellStyle name="Normal 16 2 4 2 3 2 2" xfId="33133"/>
    <cellStyle name="Normal 16 2 4 2 3 3" xfId="19607"/>
    <cellStyle name="Normal 16 2 4 2 3 3 2" xfId="39285"/>
    <cellStyle name="Normal 16 2 4 2 3 4" xfId="26969"/>
    <cellStyle name="Normal 16 2 4 2 4" xfId="10389"/>
    <cellStyle name="Normal 16 2 4 2 4 2" xfId="30067"/>
    <cellStyle name="Normal 16 2 4 2 5" xfId="16541"/>
    <cellStyle name="Normal 16 2 4 2 5 2" xfId="36219"/>
    <cellStyle name="Normal 16 2 4 2 6" xfId="23903"/>
    <cellStyle name="Normal 16 2 4 3" xfId="4927"/>
    <cellStyle name="Normal 16 2 4 3 2" xfId="8027"/>
    <cellStyle name="Normal 16 2 4 3 2 2" xfId="14220"/>
    <cellStyle name="Normal 16 2 4 3 2 2 2" xfId="33898"/>
    <cellStyle name="Normal 16 2 4 3 2 3" xfId="20372"/>
    <cellStyle name="Normal 16 2 4 3 2 3 2" xfId="40050"/>
    <cellStyle name="Normal 16 2 4 3 2 4" xfId="27734"/>
    <cellStyle name="Normal 16 2 4 3 3" xfId="11154"/>
    <cellStyle name="Normal 16 2 4 3 3 2" xfId="30832"/>
    <cellStyle name="Normal 16 2 4 3 4" xfId="17306"/>
    <cellStyle name="Normal 16 2 4 3 4 2" xfId="36984"/>
    <cellStyle name="Normal 16 2 4 3 5" xfId="24668"/>
    <cellStyle name="Normal 16 2 4 4" xfId="6492"/>
    <cellStyle name="Normal 16 2 4 4 2" xfId="12686"/>
    <cellStyle name="Normal 16 2 4 4 2 2" xfId="32364"/>
    <cellStyle name="Normal 16 2 4 4 3" xfId="18838"/>
    <cellStyle name="Normal 16 2 4 4 3 2" xfId="38516"/>
    <cellStyle name="Normal 16 2 4 4 4" xfId="26200"/>
    <cellStyle name="Normal 16 2 4 5" xfId="9620"/>
    <cellStyle name="Normal 16 2 4 5 2" xfId="29298"/>
    <cellStyle name="Normal 16 2 4 6" xfId="15772"/>
    <cellStyle name="Normal 16 2 4 6 2" xfId="35450"/>
    <cellStyle name="Normal 16 2 4 7" xfId="23071"/>
    <cellStyle name="Normal 16 2 5" xfId="4080"/>
    <cellStyle name="Normal 16 2 5 2" xfId="5705"/>
    <cellStyle name="Normal 16 2 5 2 2" xfId="8791"/>
    <cellStyle name="Normal 16 2 5 2 2 2" xfId="14984"/>
    <cellStyle name="Normal 16 2 5 2 2 2 2" xfId="34662"/>
    <cellStyle name="Normal 16 2 5 2 2 3" xfId="21136"/>
    <cellStyle name="Normal 16 2 5 2 2 3 2" xfId="40814"/>
    <cellStyle name="Normal 16 2 5 2 2 4" xfId="28498"/>
    <cellStyle name="Normal 16 2 5 2 3" xfId="11918"/>
    <cellStyle name="Normal 16 2 5 2 3 2" xfId="31596"/>
    <cellStyle name="Normal 16 2 5 2 4" xfId="18070"/>
    <cellStyle name="Normal 16 2 5 2 4 2" xfId="37748"/>
    <cellStyle name="Normal 16 2 5 2 5" xfId="25432"/>
    <cellStyle name="Normal 16 2 5 3" xfId="7256"/>
    <cellStyle name="Normal 16 2 5 3 2" xfId="13450"/>
    <cellStyle name="Normal 16 2 5 3 2 2" xfId="33128"/>
    <cellStyle name="Normal 16 2 5 3 3" xfId="19602"/>
    <cellStyle name="Normal 16 2 5 3 3 2" xfId="39280"/>
    <cellStyle name="Normal 16 2 5 3 4" xfId="26964"/>
    <cellStyle name="Normal 16 2 5 4" xfId="10384"/>
    <cellStyle name="Normal 16 2 5 4 2" xfId="30062"/>
    <cellStyle name="Normal 16 2 5 5" xfId="16536"/>
    <cellStyle name="Normal 16 2 5 5 2" xfId="36214"/>
    <cellStyle name="Normal 16 2 5 6" xfId="23898"/>
    <cellStyle name="Normal 16 2 6" xfId="4922"/>
    <cellStyle name="Normal 16 2 6 2" xfId="8022"/>
    <cellStyle name="Normal 16 2 6 2 2" xfId="14215"/>
    <cellStyle name="Normal 16 2 6 2 2 2" xfId="33893"/>
    <cellStyle name="Normal 16 2 6 2 3" xfId="20367"/>
    <cellStyle name="Normal 16 2 6 2 3 2" xfId="40045"/>
    <cellStyle name="Normal 16 2 6 2 4" xfId="27729"/>
    <cellStyle name="Normal 16 2 6 3" xfId="11149"/>
    <cellStyle name="Normal 16 2 6 3 2" xfId="30827"/>
    <cellStyle name="Normal 16 2 6 4" xfId="17301"/>
    <cellStyle name="Normal 16 2 6 4 2" xfId="36979"/>
    <cellStyle name="Normal 16 2 6 5" xfId="24663"/>
    <cellStyle name="Normal 16 2 7" xfId="6487"/>
    <cellStyle name="Normal 16 2 7 2" xfId="12681"/>
    <cellStyle name="Normal 16 2 7 2 2" xfId="32359"/>
    <cellStyle name="Normal 16 2 7 3" xfId="18833"/>
    <cellStyle name="Normal 16 2 7 3 2" xfId="38511"/>
    <cellStyle name="Normal 16 2 7 4" xfId="26195"/>
    <cellStyle name="Normal 16 2 8" xfId="9615"/>
    <cellStyle name="Normal 16 2 8 2" xfId="29293"/>
    <cellStyle name="Normal 16 2 9" xfId="15767"/>
    <cellStyle name="Normal 16 2 9 2" xfId="35445"/>
    <cellStyle name="Normal 16 3" xfId="2559"/>
    <cellStyle name="Normal 16 3 2" xfId="2560"/>
    <cellStyle name="Normal 16 3 2 2" xfId="4087"/>
    <cellStyle name="Normal 16 3 2 2 2" xfId="5712"/>
    <cellStyle name="Normal 16 3 2 2 2 2" xfId="8798"/>
    <cellStyle name="Normal 16 3 2 2 2 2 2" xfId="14991"/>
    <cellStyle name="Normal 16 3 2 2 2 2 2 2" xfId="34669"/>
    <cellStyle name="Normal 16 3 2 2 2 2 3" xfId="21143"/>
    <cellStyle name="Normal 16 3 2 2 2 2 3 2" xfId="40821"/>
    <cellStyle name="Normal 16 3 2 2 2 2 4" xfId="28505"/>
    <cellStyle name="Normal 16 3 2 2 2 3" xfId="11925"/>
    <cellStyle name="Normal 16 3 2 2 2 3 2" xfId="31603"/>
    <cellStyle name="Normal 16 3 2 2 2 4" xfId="18077"/>
    <cellStyle name="Normal 16 3 2 2 2 4 2" xfId="37755"/>
    <cellStyle name="Normal 16 3 2 2 2 5" xfId="25439"/>
    <cellStyle name="Normal 16 3 2 2 3" xfId="7263"/>
    <cellStyle name="Normal 16 3 2 2 3 2" xfId="13457"/>
    <cellStyle name="Normal 16 3 2 2 3 2 2" xfId="33135"/>
    <cellStyle name="Normal 16 3 2 2 3 3" xfId="19609"/>
    <cellStyle name="Normal 16 3 2 2 3 3 2" xfId="39287"/>
    <cellStyle name="Normal 16 3 2 2 3 4" xfId="26971"/>
    <cellStyle name="Normal 16 3 2 2 4" xfId="10391"/>
    <cellStyle name="Normal 16 3 2 2 4 2" xfId="30069"/>
    <cellStyle name="Normal 16 3 2 2 5" xfId="16543"/>
    <cellStyle name="Normal 16 3 2 2 5 2" xfId="36221"/>
    <cellStyle name="Normal 16 3 2 2 6" xfId="23905"/>
    <cellStyle name="Normal 16 3 2 3" xfId="4929"/>
    <cellStyle name="Normal 16 3 2 3 2" xfId="8029"/>
    <cellStyle name="Normal 16 3 2 3 2 2" xfId="14222"/>
    <cellStyle name="Normal 16 3 2 3 2 2 2" xfId="33900"/>
    <cellStyle name="Normal 16 3 2 3 2 3" xfId="20374"/>
    <cellStyle name="Normal 16 3 2 3 2 3 2" xfId="40052"/>
    <cellStyle name="Normal 16 3 2 3 2 4" xfId="27736"/>
    <cellStyle name="Normal 16 3 2 3 3" xfId="11156"/>
    <cellStyle name="Normal 16 3 2 3 3 2" xfId="30834"/>
    <cellStyle name="Normal 16 3 2 3 4" xfId="17308"/>
    <cellStyle name="Normal 16 3 2 3 4 2" xfId="36986"/>
    <cellStyle name="Normal 16 3 2 3 5" xfId="24670"/>
    <cellStyle name="Normal 16 3 2 4" xfId="6494"/>
    <cellStyle name="Normal 16 3 2 4 2" xfId="12688"/>
    <cellStyle name="Normal 16 3 2 4 2 2" xfId="32366"/>
    <cellStyle name="Normal 16 3 2 4 3" xfId="18840"/>
    <cellStyle name="Normal 16 3 2 4 3 2" xfId="38518"/>
    <cellStyle name="Normal 16 3 2 4 4" xfId="26202"/>
    <cellStyle name="Normal 16 3 2 5" xfId="9622"/>
    <cellStyle name="Normal 16 3 2 5 2" xfId="29300"/>
    <cellStyle name="Normal 16 3 2 6" xfId="15774"/>
    <cellStyle name="Normal 16 3 2 6 2" xfId="35452"/>
    <cellStyle name="Normal 16 3 2 7" xfId="23073"/>
    <cellStyle name="Normal 16 3 3" xfId="4086"/>
    <cellStyle name="Normal 16 3 3 2" xfId="5711"/>
    <cellStyle name="Normal 16 3 3 2 2" xfId="8797"/>
    <cellStyle name="Normal 16 3 3 2 2 2" xfId="14990"/>
    <cellStyle name="Normal 16 3 3 2 2 2 2" xfId="34668"/>
    <cellStyle name="Normal 16 3 3 2 2 3" xfId="21142"/>
    <cellStyle name="Normal 16 3 3 2 2 3 2" xfId="40820"/>
    <cellStyle name="Normal 16 3 3 2 2 4" xfId="28504"/>
    <cellStyle name="Normal 16 3 3 2 3" xfId="11924"/>
    <cellStyle name="Normal 16 3 3 2 3 2" xfId="31602"/>
    <cellStyle name="Normal 16 3 3 2 4" xfId="18076"/>
    <cellStyle name="Normal 16 3 3 2 4 2" xfId="37754"/>
    <cellStyle name="Normal 16 3 3 2 5" xfId="25438"/>
    <cellStyle name="Normal 16 3 3 3" xfId="7262"/>
    <cellStyle name="Normal 16 3 3 3 2" xfId="13456"/>
    <cellStyle name="Normal 16 3 3 3 2 2" xfId="33134"/>
    <cellStyle name="Normal 16 3 3 3 3" xfId="19608"/>
    <cellStyle name="Normal 16 3 3 3 3 2" xfId="39286"/>
    <cellStyle name="Normal 16 3 3 3 4" xfId="26970"/>
    <cellStyle name="Normal 16 3 3 4" xfId="10390"/>
    <cellStyle name="Normal 16 3 3 4 2" xfId="30068"/>
    <cellStyle name="Normal 16 3 3 5" xfId="16542"/>
    <cellStyle name="Normal 16 3 3 5 2" xfId="36220"/>
    <cellStyle name="Normal 16 3 3 6" xfId="23904"/>
    <cellStyle name="Normal 16 3 4" xfId="4928"/>
    <cellStyle name="Normal 16 3 4 2" xfId="8028"/>
    <cellStyle name="Normal 16 3 4 2 2" xfId="14221"/>
    <cellStyle name="Normal 16 3 4 2 2 2" xfId="33899"/>
    <cellStyle name="Normal 16 3 4 2 3" xfId="20373"/>
    <cellStyle name="Normal 16 3 4 2 3 2" xfId="40051"/>
    <cellStyle name="Normal 16 3 4 2 4" xfId="27735"/>
    <cellStyle name="Normal 16 3 4 3" xfId="11155"/>
    <cellStyle name="Normal 16 3 4 3 2" xfId="30833"/>
    <cellStyle name="Normal 16 3 4 4" xfId="17307"/>
    <cellStyle name="Normal 16 3 4 4 2" xfId="36985"/>
    <cellStyle name="Normal 16 3 4 5" xfId="24669"/>
    <cellStyle name="Normal 16 3 5" xfId="6493"/>
    <cellStyle name="Normal 16 3 5 2" xfId="12687"/>
    <cellStyle name="Normal 16 3 5 2 2" xfId="32365"/>
    <cellStyle name="Normal 16 3 5 3" xfId="18839"/>
    <cellStyle name="Normal 16 3 5 3 2" xfId="38517"/>
    <cellStyle name="Normal 16 3 5 4" xfId="26201"/>
    <cellStyle name="Normal 16 3 6" xfId="9621"/>
    <cellStyle name="Normal 16 3 6 2" xfId="29299"/>
    <cellStyle name="Normal 16 3 7" xfId="15773"/>
    <cellStyle name="Normal 16 3 7 2" xfId="35451"/>
    <cellStyle name="Normal 16 3 8" xfId="23072"/>
    <cellStyle name="Normal 16 4" xfId="2561"/>
    <cellStyle name="Normal 16 4 2" xfId="2562"/>
    <cellStyle name="Normal 16 4 2 2" xfId="4089"/>
    <cellStyle name="Normal 16 4 2 2 2" xfId="5714"/>
    <cellStyle name="Normal 16 4 2 2 2 2" xfId="8800"/>
    <cellStyle name="Normal 16 4 2 2 2 2 2" xfId="14993"/>
    <cellStyle name="Normal 16 4 2 2 2 2 2 2" xfId="34671"/>
    <cellStyle name="Normal 16 4 2 2 2 2 3" xfId="21145"/>
    <cellStyle name="Normal 16 4 2 2 2 2 3 2" xfId="40823"/>
    <cellStyle name="Normal 16 4 2 2 2 2 4" xfId="28507"/>
    <cellStyle name="Normal 16 4 2 2 2 3" xfId="11927"/>
    <cellStyle name="Normal 16 4 2 2 2 3 2" xfId="31605"/>
    <cellStyle name="Normal 16 4 2 2 2 4" xfId="18079"/>
    <cellStyle name="Normal 16 4 2 2 2 4 2" xfId="37757"/>
    <cellStyle name="Normal 16 4 2 2 2 5" xfId="25441"/>
    <cellStyle name="Normal 16 4 2 2 3" xfId="7265"/>
    <cellStyle name="Normal 16 4 2 2 3 2" xfId="13459"/>
    <cellStyle name="Normal 16 4 2 2 3 2 2" xfId="33137"/>
    <cellStyle name="Normal 16 4 2 2 3 3" xfId="19611"/>
    <cellStyle name="Normal 16 4 2 2 3 3 2" xfId="39289"/>
    <cellStyle name="Normal 16 4 2 2 3 4" xfId="26973"/>
    <cellStyle name="Normal 16 4 2 2 4" xfId="10393"/>
    <cellStyle name="Normal 16 4 2 2 4 2" xfId="30071"/>
    <cellStyle name="Normal 16 4 2 2 5" xfId="16545"/>
    <cellStyle name="Normal 16 4 2 2 5 2" xfId="36223"/>
    <cellStyle name="Normal 16 4 2 2 6" xfId="23907"/>
    <cellStyle name="Normal 16 4 2 3" xfId="4931"/>
    <cellStyle name="Normal 16 4 2 3 2" xfId="8031"/>
    <cellStyle name="Normal 16 4 2 3 2 2" xfId="14224"/>
    <cellStyle name="Normal 16 4 2 3 2 2 2" xfId="33902"/>
    <cellStyle name="Normal 16 4 2 3 2 3" xfId="20376"/>
    <cellStyle name="Normal 16 4 2 3 2 3 2" xfId="40054"/>
    <cellStyle name="Normal 16 4 2 3 2 4" xfId="27738"/>
    <cellStyle name="Normal 16 4 2 3 3" xfId="11158"/>
    <cellStyle name="Normal 16 4 2 3 3 2" xfId="30836"/>
    <cellStyle name="Normal 16 4 2 3 4" xfId="17310"/>
    <cellStyle name="Normal 16 4 2 3 4 2" xfId="36988"/>
    <cellStyle name="Normal 16 4 2 3 5" xfId="24672"/>
    <cellStyle name="Normal 16 4 2 4" xfId="6496"/>
    <cellStyle name="Normal 16 4 2 4 2" xfId="12690"/>
    <cellStyle name="Normal 16 4 2 4 2 2" xfId="32368"/>
    <cellStyle name="Normal 16 4 2 4 3" xfId="18842"/>
    <cellStyle name="Normal 16 4 2 4 3 2" xfId="38520"/>
    <cellStyle name="Normal 16 4 2 4 4" xfId="26204"/>
    <cellStyle name="Normal 16 4 2 5" xfId="9624"/>
    <cellStyle name="Normal 16 4 2 5 2" xfId="29302"/>
    <cellStyle name="Normal 16 4 2 6" xfId="15776"/>
    <cellStyle name="Normal 16 4 2 6 2" xfId="35454"/>
    <cellStyle name="Normal 16 4 2 7" xfId="23075"/>
    <cellStyle name="Normal 16 4 3" xfId="4088"/>
    <cellStyle name="Normal 16 4 3 2" xfId="5713"/>
    <cellStyle name="Normal 16 4 3 2 2" xfId="8799"/>
    <cellStyle name="Normal 16 4 3 2 2 2" xfId="14992"/>
    <cellStyle name="Normal 16 4 3 2 2 2 2" xfId="34670"/>
    <cellStyle name="Normal 16 4 3 2 2 3" xfId="21144"/>
    <cellStyle name="Normal 16 4 3 2 2 3 2" xfId="40822"/>
    <cellStyle name="Normal 16 4 3 2 2 4" xfId="28506"/>
    <cellStyle name="Normal 16 4 3 2 3" xfId="11926"/>
    <cellStyle name="Normal 16 4 3 2 3 2" xfId="31604"/>
    <cellStyle name="Normal 16 4 3 2 4" xfId="18078"/>
    <cellStyle name="Normal 16 4 3 2 4 2" xfId="37756"/>
    <cellStyle name="Normal 16 4 3 2 5" xfId="25440"/>
    <cellStyle name="Normal 16 4 3 3" xfId="7264"/>
    <cellStyle name="Normal 16 4 3 3 2" xfId="13458"/>
    <cellStyle name="Normal 16 4 3 3 2 2" xfId="33136"/>
    <cellStyle name="Normal 16 4 3 3 3" xfId="19610"/>
    <cellStyle name="Normal 16 4 3 3 3 2" xfId="39288"/>
    <cellStyle name="Normal 16 4 3 3 4" xfId="26972"/>
    <cellStyle name="Normal 16 4 3 4" xfId="10392"/>
    <cellStyle name="Normal 16 4 3 4 2" xfId="30070"/>
    <cellStyle name="Normal 16 4 3 5" xfId="16544"/>
    <cellStyle name="Normal 16 4 3 5 2" xfId="36222"/>
    <cellStyle name="Normal 16 4 3 6" xfId="23906"/>
    <cellStyle name="Normal 16 4 4" xfId="4930"/>
    <cellStyle name="Normal 16 4 4 2" xfId="8030"/>
    <cellStyle name="Normal 16 4 4 2 2" xfId="14223"/>
    <cellStyle name="Normal 16 4 4 2 2 2" xfId="33901"/>
    <cellStyle name="Normal 16 4 4 2 3" xfId="20375"/>
    <cellStyle name="Normal 16 4 4 2 3 2" xfId="40053"/>
    <cellStyle name="Normal 16 4 4 2 4" xfId="27737"/>
    <cellStyle name="Normal 16 4 4 3" xfId="11157"/>
    <cellStyle name="Normal 16 4 4 3 2" xfId="30835"/>
    <cellStyle name="Normal 16 4 4 4" xfId="17309"/>
    <cellStyle name="Normal 16 4 4 4 2" xfId="36987"/>
    <cellStyle name="Normal 16 4 4 5" xfId="24671"/>
    <cellStyle name="Normal 16 4 5" xfId="6495"/>
    <cellStyle name="Normal 16 4 5 2" xfId="12689"/>
    <cellStyle name="Normal 16 4 5 2 2" xfId="32367"/>
    <cellStyle name="Normal 16 4 5 3" xfId="18841"/>
    <cellStyle name="Normal 16 4 5 3 2" xfId="38519"/>
    <cellStyle name="Normal 16 4 5 4" xfId="26203"/>
    <cellStyle name="Normal 16 4 6" xfId="9623"/>
    <cellStyle name="Normal 16 4 6 2" xfId="29301"/>
    <cellStyle name="Normal 16 4 7" xfId="15775"/>
    <cellStyle name="Normal 16 4 7 2" xfId="35453"/>
    <cellStyle name="Normal 16 4 8" xfId="23074"/>
    <cellStyle name="Normal 16 5" xfId="2563"/>
    <cellStyle name="Normal 16 5 2" xfId="2564"/>
    <cellStyle name="Normal 16 5 2 2" xfId="4090"/>
    <cellStyle name="Normal 16 5 2 2 2" xfId="5715"/>
    <cellStyle name="Normal 16 5 2 2 2 2" xfId="8801"/>
    <cellStyle name="Normal 16 5 2 2 2 2 2" xfId="14994"/>
    <cellStyle name="Normal 16 5 2 2 2 2 2 2" xfId="34672"/>
    <cellStyle name="Normal 16 5 2 2 2 2 3" xfId="21146"/>
    <cellStyle name="Normal 16 5 2 2 2 2 3 2" xfId="40824"/>
    <cellStyle name="Normal 16 5 2 2 2 2 4" xfId="28508"/>
    <cellStyle name="Normal 16 5 2 2 2 3" xfId="11928"/>
    <cellStyle name="Normal 16 5 2 2 2 3 2" xfId="31606"/>
    <cellStyle name="Normal 16 5 2 2 2 4" xfId="18080"/>
    <cellStyle name="Normal 16 5 2 2 2 4 2" xfId="37758"/>
    <cellStyle name="Normal 16 5 2 2 2 5" xfId="25442"/>
    <cellStyle name="Normal 16 5 2 2 3" xfId="7266"/>
    <cellStyle name="Normal 16 5 2 2 3 2" xfId="13460"/>
    <cellStyle name="Normal 16 5 2 2 3 2 2" xfId="33138"/>
    <cellStyle name="Normal 16 5 2 2 3 3" xfId="19612"/>
    <cellStyle name="Normal 16 5 2 2 3 3 2" xfId="39290"/>
    <cellStyle name="Normal 16 5 2 2 3 4" xfId="26974"/>
    <cellStyle name="Normal 16 5 2 2 4" xfId="10394"/>
    <cellStyle name="Normal 16 5 2 2 4 2" xfId="30072"/>
    <cellStyle name="Normal 16 5 2 2 5" xfId="16546"/>
    <cellStyle name="Normal 16 5 2 2 5 2" xfId="36224"/>
    <cellStyle name="Normal 16 5 2 2 6" xfId="23908"/>
    <cellStyle name="Normal 16 5 2 3" xfId="4932"/>
    <cellStyle name="Normal 16 5 2 3 2" xfId="8032"/>
    <cellStyle name="Normal 16 5 2 3 2 2" xfId="14225"/>
    <cellStyle name="Normal 16 5 2 3 2 2 2" xfId="33903"/>
    <cellStyle name="Normal 16 5 2 3 2 3" xfId="20377"/>
    <cellStyle name="Normal 16 5 2 3 2 3 2" xfId="40055"/>
    <cellStyle name="Normal 16 5 2 3 2 4" xfId="27739"/>
    <cellStyle name="Normal 16 5 2 3 3" xfId="11159"/>
    <cellStyle name="Normal 16 5 2 3 3 2" xfId="30837"/>
    <cellStyle name="Normal 16 5 2 3 4" xfId="17311"/>
    <cellStyle name="Normal 16 5 2 3 4 2" xfId="36989"/>
    <cellStyle name="Normal 16 5 2 3 5" xfId="24673"/>
    <cellStyle name="Normal 16 5 2 4" xfId="6497"/>
    <cellStyle name="Normal 16 5 2 4 2" xfId="12691"/>
    <cellStyle name="Normal 16 5 2 4 2 2" xfId="32369"/>
    <cellStyle name="Normal 16 5 2 4 3" xfId="18843"/>
    <cellStyle name="Normal 16 5 2 4 3 2" xfId="38521"/>
    <cellStyle name="Normal 16 5 2 4 4" xfId="26205"/>
    <cellStyle name="Normal 16 5 2 5" xfId="9625"/>
    <cellStyle name="Normal 16 5 2 5 2" xfId="29303"/>
    <cellStyle name="Normal 16 5 2 6" xfId="15777"/>
    <cellStyle name="Normal 16 5 2 6 2" xfId="35455"/>
    <cellStyle name="Normal 16 5 2 7" xfId="23076"/>
    <cellStyle name="Normal 16 6" xfId="2565"/>
    <cellStyle name="Normal 16 6 2" xfId="4091"/>
    <cellStyle name="Normal 16 6 2 2" xfId="5716"/>
    <cellStyle name="Normal 16 6 2 2 2" xfId="8802"/>
    <cellStyle name="Normal 16 6 2 2 2 2" xfId="14995"/>
    <cellStyle name="Normal 16 6 2 2 2 2 2" xfId="34673"/>
    <cellStyle name="Normal 16 6 2 2 2 3" xfId="21147"/>
    <cellStyle name="Normal 16 6 2 2 2 3 2" xfId="40825"/>
    <cellStyle name="Normal 16 6 2 2 2 4" xfId="28509"/>
    <cellStyle name="Normal 16 6 2 2 3" xfId="11929"/>
    <cellStyle name="Normal 16 6 2 2 3 2" xfId="31607"/>
    <cellStyle name="Normal 16 6 2 2 4" xfId="18081"/>
    <cellStyle name="Normal 16 6 2 2 4 2" xfId="37759"/>
    <cellStyle name="Normal 16 6 2 2 5" xfId="25443"/>
    <cellStyle name="Normal 16 6 2 3" xfId="7267"/>
    <cellStyle name="Normal 16 6 2 3 2" xfId="13461"/>
    <cellStyle name="Normal 16 6 2 3 2 2" xfId="33139"/>
    <cellStyle name="Normal 16 6 2 3 3" xfId="19613"/>
    <cellStyle name="Normal 16 6 2 3 3 2" xfId="39291"/>
    <cellStyle name="Normal 16 6 2 3 4" xfId="26975"/>
    <cellStyle name="Normal 16 6 2 4" xfId="10395"/>
    <cellStyle name="Normal 16 6 2 4 2" xfId="30073"/>
    <cellStyle name="Normal 16 6 2 5" xfId="16547"/>
    <cellStyle name="Normal 16 6 2 5 2" xfId="36225"/>
    <cellStyle name="Normal 16 6 2 6" xfId="23909"/>
    <cellStyle name="Normal 16 6 3" xfId="4933"/>
    <cellStyle name="Normal 16 6 3 2" xfId="8033"/>
    <cellStyle name="Normal 16 6 3 2 2" xfId="14226"/>
    <cellStyle name="Normal 16 6 3 2 2 2" xfId="33904"/>
    <cellStyle name="Normal 16 6 3 2 3" xfId="20378"/>
    <cellStyle name="Normal 16 6 3 2 3 2" xfId="40056"/>
    <cellStyle name="Normal 16 6 3 2 4" xfId="27740"/>
    <cellStyle name="Normal 16 6 3 3" xfId="11160"/>
    <cellStyle name="Normal 16 6 3 3 2" xfId="30838"/>
    <cellStyle name="Normal 16 6 3 4" xfId="17312"/>
    <cellStyle name="Normal 16 6 3 4 2" xfId="36990"/>
    <cellStyle name="Normal 16 6 3 5" xfId="24674"/>
    <cellStyle name="Normal 16 6 4" xfId="6498"/>
    <cellStyle name="Normal 16 6 4 2" xfId="12692"/>
    <cellStyle name="Normal 16 6 4 2 2" xfId="32370"/>
    <cellStyle name="Normal 16 6 4 3" xfId="18844"/>
    <cellStyle name="Normal 16 6 4 3 2" xfId="38522"/>
    <cellStyle name="Normal 16 6 4 4" xfId="26206"/>
    <cellStyle name="Normal 16 6 5" xfId="9626"/>
    <cellStyle name="Normal 16 6 5 2" xfId="29304"/>
    <cellStyle name="Normal 16 6 6" xfId="15778"/>
    <cellStyle name="Normal 16 6 6 2" xfId="35456"/>
    <cellStyle name="Normal 16 6 7" xfId="23077"/>
    <cellStyle name="Normal 16 7" xfId="41970"/>
    <cellStyle name="Normal 17" xfId="2566"/>
    <cellStyle name="Normal 17 2" xfId="2567"/>
    <cellStyle name="Normal 17 2 10" xfId="41972"/>
    <cellStyle name="Normal 17 2 11" xfId="23078"/>
    <cellStyle name="Normal 17 2 2" xfId="2568"/>
    <cellStyle name="Normal 17 2 2 2" xfId="2569"/>
    <cellStyle name="Normal 17 2 2 2 2" xfId="4094"/>
    <cellStyle name="Normal 17 2 2 2 2 2" xfId="5719"/>
    <cellStyle name="Normal 17 2 2 2 2 2 2" xfId="8805"/>
    <cellStyle name="Normal 17 2 2 2 2 2 2 2" xfId="14998"/>
    <cellStyle name="Normal 17 2 2 2 2 2 2 2 2" xfId="34676"/>
    <cellStyle name="Normal 17 2 2 2 2 2 2 3" xfId="21150"/>
    <cellStyle name="Normal 17 2 2 2 2 2 2 3 2" xfId="40828"/>
    <cellStyle name="Normal 17 2 2 2 2 2 2 4" xfId="28512"/>
    <cellStyle name="Normal 17 2 2 2 2 2 3" xfId="11932"/>
    <cellStyle name="Normal 17 2 2 2 2 2 3 2" xfId="31610"/>
    <cellStyle name="Normal 17 2 2 2 2 2 4" xfId="18084"/>
    <cellStyle name="Normal 17 2 2 2 2 2 4 2" xfId="37762"/>
    <cellStyle name="Normal 17 2 2 2 2 2 5" xfId="25446"/>
    <cellStyle name="Normal 17 2 2 2 2 3" xfId="7270"/>
    <cellStyle name="Normal 17 2 2 2 2 3 2" xfId="13464"/>
    <cellStyle name="Normal 17 2 2 2 2 3 2 2" xfId="33142"/>
    <cellStyle name="Normal 17 2 2 2 2 3 3" xfId="19616"/>
    <cellStyle name="Normal 17 2 2 2 2 3 3 2" xfId="39294"/>
    <cellStyle name="Normal 17 2 2 2 2 3 4" xfId="26978"/>
    <cellStyle name="Normal 17 2 2 2 2 4" xfId="10398"/>
    <cellStyle name="Normal 17 2 2 2 2 4 2" xfId="30076"/>
    <cellStyle name="Normal 17 2 2 2 2 5" xfId="16550"/>
    <cellStyle name="Normal 17 2 2 2 2 5 2" xfId="36228"/>
    <cellStyle name="Normal 17 2 2 2 2 6" xfId="23912"/>
    <cellStyle name="Normal 17 2 2 2 3" xfId="4936"/>
    <cellStyle name="Normal 17 2 2 2 3 2" xfId="8036"/>
    <cellStyle name="Normal 17 2 2 2 3 2 2" xfId="14229"/>
    <cellStyle name="Normal 17 2 2 2 3 2 2 2" xfId="33907"/>
    <cellStyle name="Normal 17 2 2 2 3 2 3" xfId="20381"/>
    <cellStyle name="Normal 17 2 2 2 3 2 3 2" xfId="40059"/>
    <cellStyle name="Normal 17 2 2 2 3 2 4" xfId="27743"/>
    <cellStyle name="Normal 17 2 2 2 3 3" xfId="11163"/>
    <cellStyle name="Normal 17 2 2 2 3 3 2" xfId="30841"/>
    <cellStyle name="Normal 17 2 2 2 3 4" xfId="17315"/>
    <cellStyle name="Normal 17 2 2 2 3 4 2" xfId="36993"/>
    <cellStyle name="Normal 17 2 2 2 3 5" xfId="24677"/>
    <cellStyle name="Normal 17 2 2 2 4" xfId="6501"/>
    <cellStyle name="Normal 17 2 2 2 4 2" xfId="12695"/>
    <cellStyle name="Normal 17 2 2 2 4 2 2" xfId="32373"/>
    <cellStyle name="Normal 17 2 2 2 4 3" xfId="18847"/>
    <cellStyle name="Normal 17 2 2 2 4 3 2" xfId="38525"/>
    <cellStyle name="Normal 17 2 2 2 4 4" xfId="26209"/>
    <cellStyle name="Normal 17 2 2 2 5" xfId="9629"/>
    <cellStyle name="Normal 17 2 2 2 5 2" xfId="29307"/>
    <cellStyle name="Normal 17 2 2 2 6" xfId="15781"/>
    <cellStyle name="Normal 17 2 2 2 6 2" xfId="35459"/>
    <cellStyle name="Normal 17 2 2 2 7" xfId="23080"/>
    <cellStyle name="Normal 17 2 2 3" xfId="4093"/>
    <cellStyle name="Normal 17 2 2 3 2" xfId="5718"/>
    <cellStyle name="Normal 17 2 2 3 2 2" xfId="8804"/>
    <cellStyle name="Normal 17 2 2 3 2 2 2" xfId="14997"/>
    <cellStyle name="Normal 17 2 2 3 2 2 2 2" xfId="34675"/>
    <cellStyle name="Normal 17 2 2 3 2 2 3" xfId="21149"/>
    <cellStyle name="Normal 17 2 2 3 2 2 3 2" xfId="40827"/>
    <cellStyle name="Normal 17 2 2 3 2 2 4" xfId="28511"/>
    <cellStyle name="Normal 17 2 2 3 2 3" xfId="11931"/>
    <cellStyle name="Normal 17 2 2 3 2 3 2" xfId="31609"/>
    <cellStyle name="Normal 17 2 2 3 2 4" xfId="18083"/>
    <cellStyle name="Normal 17 2 2 3 2 4 2" xfId="37761"/>
    <cellStyle name="Normal 17 2 2 3 2 5" xfId="25445"/>
    <cellStyle name="Normal 17 2 2 3 3" xfId="7269"/>
    <cellStyle name="Normal 17 2 2 3 3 2" xfId="13463"/>
    <cellStyle name="Normal 17 2 2 3 3 2 2" xfId="33141"/>
    <cellStyle name="Normal 17 2 2 3 3 3" xfId="19615"/>
    <cellStyle name="Normal 17 2 2 3 3 3 2" xfId="39293"/>
    <cellStyle name="Normal 17 2 2 3 3 4" xfId="26977"/>
    <cellStyle name="Normal 17 2 2 3 4" xfId="10397"/>
    <cellStyle name="Normal 17 2 2 3 4 2" xfId="30075"/>
    <cellStyle name="Normal 17 2 2 3 5" xfId="16549"/>
    <cellStyle name="Normal 17 2 2 3 5 2" xfId="36227"/>
    <cellStyle name="Normal 17 2 2 3 6" xfId="23911"/>
    <cellStyle name="Normal 17 2 2 4" xfId="4935"/>
    <cellStyle name="Normal 17 2 2 4 2" xfId="8035"/>
    <cellStyle name="Normal 17 2 2 4 2 2" xfId="14228"/>
    <cellStyle name="Normal 17 2 2 4 2 2 2" xfId="33906"/>
    <cellStyle name="Normal 17 2 2 4 2 3" xfId="20380"/>
    <cellStyle name="Normal 17 2 2 4 2 3 2" xfId="40058"/>
    <cellStyle name="Normal 17 2 2 4 2 4" xfId="27742"/>
    <cellStyle name="Normal 17 2 2 4 3" xfId="11162"/>
    <cellStyle name="Normal 17 2 2 4 3 2" xfId="30840"/>
    <cellStyle name="Normal 17 2 2 4 4" xfId="17314"/>
    <cellStyle name="Normal 17 2 2 4 4 2" xfId="36992"/>
    <cellStyle name="Normal 17 2 2 4 5" xfId="24676"/>
    <cellStyle name="Normal 17 2 2 5" xfId="6500"/>
    <cellStyle name="Normal 17 2 2 5 2" xfId="12694"/>
    <cellStyle name="Normal 17 2 2 5 2 2" xfId="32372"/>
    <cellStyle name="Normal 17 2 2 5 3" xfId="18846"/>
    <cellStyle name="Normal 17 2 2 5 3 2" xfId="38524"/>
    <cellStyle name="Normal 17 2 2 5 4" xfId="26208"/>
    <cellStyle name="Normal 17 2 2 6" xfId="9628"/>
    <cellStyle name="Normal 17 2 2 6 2" xfId="29306"/>
    <cellStyle name="Normal 17 2 2 7" xfId="15780"/>
    <cellStyle name="Normal 17 2 2 7 2" xfId="35458"/>
    <cellStyle name="Normal 17 2 2 8" xfId="23079"/>
    <cellStyle name="Normal 17 2 3" xfId="2570"/>
    <cellStyle name="Normal 17 2 3 2" xfId="2571"/>
    <cellStyle name="Normal 17 2 3 2 2" xfId="4096"/>
    <cellStyle name="Normal 17 2 3 2 2 2" xfId="5721"/>
    <cellStyle name="Normal 17 2 3 2 2 2 2" xfId="8807"/>
    <cellStyle name="Normal 17 2 3 2 2 2 2 2" xfId="15000"/>
    <cellStyle name="Normal 17 2 3 2 2 2 2 2 2" xfId="34678"/>
    <cellStyle name="Normal 17 2 3 2 2 2 2 3" xfId="21152"/>
    <cellStyle name="Normal 17 2 3 2 2 2 2 3 2" xfId="40830"/>
    <cellStyle name="Normal 17 2 3 2 2 2 2 4" xfId="28514"/>
    <cellStyle name="Normal 17 2 3 2 2 2 3" xfId="11934"/>
    <cellStyle name="Normal 17 2 3 2 2 2 3 2" xfId="31612"/>
    <cellStyle name="Normal 17 2 3 2 2 2 4" xfId="18086"/>
    <cellStyle name="Normal 17 2 3 2 2 2 4 2" xfId="37764"/>
    <cellStyle name="Normal 17 2 3 2 2 2 5" xfId="25448"/>
    <cellStyle name="Normal 17 2 3 2 2 3" xfId="7272"/>
    <cellStyle name="Normal 17 2 3 2 2 3 2" xfId="13466"/>
    <cellStyle name="Normal 17 2 3 2 2 3 2 2" xfId="33144"/>
    <cellStyle name="Normal 17 2 3 2 2 3 3" xfId="19618"/>
    <cellStyle name="Normal 17 2 3 2 2 3 3 2" xfId="39296"/>
    <cellStyle name="Normal 17 2 3 2 2 3 4" xfId="26980"/>
    <cellStyle name="Normal 17 2 3 2 2 4" xfId="10400"/>
    <cellStyle name="Normal 17 2 3 2 2 4 2" xfId="30078"/>
    <cellStyle name="Normal 17 2 3 2 2 5" xfId="16552"/>
    <cellStyle name="Normal 17 2 3 2 2 5 2" xfId="36230"/>
    <cellStyle name="Normal 17 2 3 2 2 6" xfId="23914"/>
    <cellStyle name="Normal 17 2 3 2 3" xfId="4938"/>
    <cellStyle name="Normal 17 2 3 2 3 2" xfId="8038"/>
    <cellStyle name="Normal 17 2 3 2 3 2 2" xfId="14231"/>
    <cellStyle name="Normal 17 2 3 2 3 2 2 2" xfId="33909"/>
    <cellStyle name="Normal 17 2 3 2 3 2 3" xfId="20383"/>
    <cellStyle name="Normal 17 2 3 2 3 2 3 2" xfId="40061"/>
    <cellStyle name="Normal 17 2 3 2 3 2 4" xfId="27745"/>
    <cellStyle name="Normal 17 2 3 2 3 3" xfId="11165"/>
    <cellStyle name="Normal 17 2 3 2 3 3 2" xfId="30843"/>
    <cellStyle name="Normal 17 2 3 2 3 4" xfId="17317"/>
    <cellStyle name="Normal 17 2 3 2 3 4 2" xfId="36995"/>
    <cellStyle name="Normal 17 2 3 2 3 5" xfId="24679"/>
    <cellStyle name="Normal 17 2 3 2 4" xfId="6503"/>
    <cellStyle name="Normal 17 2 3 2 4 2" xfId="12697"/>
    <cellStyle name="Normal 17 2 3 2 4 2 2" xfId="32375"/>
    <cellStyle name="Normal 17 2 3 2 4 3" xfId="18849"/>
    <cellStyle name="Normal 17 2 3 2 4 3 2" xfId="38527"/>
    <cellStyle name="Normal 17 2 3 2 4 4" xfId="26211"/>
    <cellStyle name="Normal 17 2 3 2 5" xfId="9631"/>
    <cellStyle name="Normal 17 2 3 2 5 2" xfId="29309"/>
    <cellStyle name="Normal 17 2 3 2 6" xfId="15783"/>
    <cellStyle name="Normal 17 2 3 2 6 2" xfId="35461"/>
    <cellStyle name="Normal 17 2 3 2 7" xfId="23082"/>
    <cellStyle name="Normal 17 2 3 3" xfId="4095"/>
    <cellStyle name="Normal 17 2 3 3 2" xfId="5720"/>
    <cellStyle name="Normal 17 2 3 3 2 2" xfId="8806"/>
    <cellStyle name="Normal 17 2 3 3 2 2 2" xfId="14999"/>
    <cellStyle name="Normal 17 2 3 3 2 2 2 2" xfId="34677"/>
    <cellStyle name="Normal 17 2 3 3 2 2 3" xfId="21151"/>
    <cellStyle name="Normal 17 2 3 3 2 2 3 2" xfId="40829"/>
    <cellStyle name="Normal 17 2 3 3 2 2 4" xfId="28513"/>
    <cellStyle name="Normal 17 2 3 3 2 3" xfId="11933"/>
    <cellStyle name="Normal 17 2 3 3 2 3 2" xfId="31611"/>
    <cellStyle name="Normal 17 2 3 3 2 4" xfId="18085"/>
    <cellStyle name="Normal 17 2 3 3 2 4 2" xfId="37763"/>
    <cellStyle name="Normal 17 2 3 3 2 5" xfId="25447"/>
    <cellStyle name="Normal 17 2 3 3 3" xfId="7271"/>
    <cellStyle name="Normal 17 2 3 3 3 2" xfId="13465"/>
    <cellStyle name="Normal 17 2 3 3 3 2 2" xfId="33143"/>
    <cellStyle name="Normal 17 2 3 3 3 3" xfId="19617"/>
    <cellStyle name="Normal 17 2 3 3 3 3 2" xfId="39295"/>
    <cellStyle name="Normal 17 2 3 3 3 4" xfId="26979"/>
    <cellStyle name="Normal 17 2 3 3 4" xfId="10399"/>
    <cellStyle name="Normal 17 2 3 3 4 2" xfId="30077"/>
    <cellStyle name="Normal 17 2 3 3 5" xfId="16551"/>
    <cellStyle name="Normal 17 2 3 3 5 2" xfId="36229"/>
    <cellStyle name="Normal 17 2 3 3 6" xfId="23913"/>
    <cellStyle name="Normal 17 2 3 4" xfId="4937"/>
    <cellStyle name="Normal 17 2 3 4 2" xfId="8037"/>
    <cellStyle name="Normal 17 2 3 4 2 2" xfId="14230"/>
    <cellStyle name="Normal 17 2 3 4 2 2 2" xfId="33908"/>
    <cellStyle name="Normal 17 2 3 4 2 3" xfId="20382"/>
    <cellStyle name="Normal 17 2 3 4 2 3 2" xfId="40060"/>
    <cellStyle name="Normal 17 2 3 4 2 4" xfId="27744"/>
    <cellStyle name="Normal 17 2 3 4 3" xfId="11164"/>
    <cellStyle name="Normal 17 2 3 4 3 2" xfId="30842"/>
    <cellStyle name="Normal 17 2 3 4 4" xfId="17316"/>
    <cellStyle name="Normal 17 2 3 4 4 2" xfId="36994"/>
    <cellStyle name="Normal 17 2 3 4 5" xfId="24678"/>
    <cellStyle name="Normal 17 2 3 5" xfId="6502"/>
    <cellStyle name="Normal 17 2 3 5 2" xfId="12696"/>
    <cellStyle name="Normal 17 2 3 5 2 2" xfId="32374"/>
    <cellStyle name="Normal 17 2 3 5 3" xfId="18848"/>
    <cellStyle name="Normal 17 2 3 5 3 2" xfId="38526"/>
    <cellStyle name="Normal 17 2 3 5 4" xfId="26210"/>
    <cellStyle name="Normal 17 2 3 6" xfId="9630"/>
    <cellStyle name="Normal 17 2 3 6 2" xfId="29308"/>
    <cellStyle name="Normal 17 2 3 7" xfId="15782"/>
    <cellStyle name="Normal 17 2 3 7 2" xfId="35460"/>
    <cellStyle name="Normal 17 2 3 8" xfId="23081"/>
    <cellStyle name="Normal 17 2 4" xfId="2572"/>
    <cellStyle name="Normal 17 2 4 2" xfId="4097"/>
    <cellStyle name="Normal 17 2 4 2 2" xfId="5722"/>
    <cellStyle name="Normal 17 2 4 2 2 2" xfId="8808"/>
    <cellStyle name="Normal 17 2 4 2 2 2 2" xfId="15001"/>
    <cellStyle name="Normal 17 2 4 2 2 2 2 2" xfId="34679"/>
    <cellStyle name="Normal 17 2 4 2 2 2 3" xfId="21153"/>
    <cellStyle name="Normal 17 2 4 2 2 2 3 2" xfId="40831"/>
    <cellStyle name="Normal 17 2 4 2 2 2 4" xfId="28515"/>
    <cellStyle name="Normal 17 2 4 2 2 3" xfId="11935"/>
    <cellStyle name="Normal 17 2 4 2 2 3 2" xfId="31613"/>
    <cellStyle name="Normal 17 2 4 2 2 4" xfId="18087"/>
    <cellStyle name="Normal 17 2 4 2 2 4 2" xfId="37765"/>
    <cellStyle name="Normal 17 2 4 2 2 5" xfId="25449"/>
    <cellStyle name="Normal 17 2 4 2 3" xfId="7273"/>
    <cellStyle name="Normal 17 2 4 2 3 2" xfId="13467"/>
    <cellStyle name="Normal 17 2 4 2 3 2 2" xfId="33145"/>
    <cellStyle name="Normal 17 2 4 2 3 3" xfId="19619"/>
    <cellStyle name="Normal 17 2 4 2 3 3 2" xfId="39297"/>
    <cellStyle name="Normal 17 2 4 2 3 4" xfId="26981"/>
    <cellStyle name="Normal 17 2 4 2 4" xfId="10401"/>
    <cellStyle name="Normal 17 2 4 2 4 2" xfId="30079"/>
    <cellStyle name="Normal 17 2 4 2 5" xfId="16553"/>
    <cellStyle name="Normal 17 2 4 2 5 2" xfId="36231"/>
    <cellStyle name="Normal 17 2 4 2 6" xfId="23915"/>
    <cellStyle name="Normal 17 2 4 3" xfId="4939"/>
    <cellStyle name="Normal 17 2 4 3 2" xfId="8039"/>
    <cellStyle name="Normal 17 2 4 3 2 2" xfId="14232"/>
    <cellStyle name="Normal 17 2 4 3 2 2 2" xfId="33910"/>
    <cellStyle name="Normal 17 2 4 3 2 3" xfId="20384"/>
    <cellStyle name="Normal 17 2 4 3 2 3 2" xfId="40062"/>
    <cellStyle name="Normal 17 2 4 3 2 4" xfId="27746"/>
    <cellStyle name="Normal 17 2 4 3 3" xfId="11166"/>
    <cellStyle name="Normal 17 2 4 3 3 2" xfId="30844"/>
    <cellStyle name="Normal 17 2 4 3 4" xfId="17318"/>
    <cellStyle name="Normal 17 2 4 3 4 2" xfId="36996"/>
    <cellStyle name="Normal 17 2 4 3 5" xfId="24680"/>
    <cellStyle name="Normal 17 2 4 4" xfId="6504"/>
    <cellStyle name="Normal 17 2 4 4 2" xfId="12698"/>
    <cellStyle name="Normal 17 2 4 4 2 2" xfId="32376"/>
    <cellStyle name="Normal 17 2 4 4 3" xfId="18850"/>
    <cellStyle name="Normal 17 2 4 4 3 2" xfId="38528"/>
    <cellStyle name="Normal 17 2 4 4 4" xfId="26212"/>
    <cellStyle name="Normal 17 2 4 5" xfId="9632"/>
    <cellStyle name="Normal 17 2 4 5 2" xfId="29310"/>
    <cellStyle name="Normal 17 2 4 6" xfId="15784"/>
    <cellStyle name="Normal 17 2 4 6 2" xfId="35462"/>
    <cellStyle name="Normal 17 2 4 7" xfId="23083"/>
    <cellStyle name="Normal 17 2 5" xfId="4092"/>
    <cellStyle name="Normal 17 2 5 2" xfId="5717"/>
    <cellStyle name="Normal 17 2 5 2 2" xfId="8803"/>
    <cellStyle name="Normal 17 2 5 2 2 2" xfId="14996"/>
    <cellStyle name="Normal 17 2 5 2 2 2 2" xfId="34674"/>
    <cellStyle name="Normal 17 2 5 2 2 3" xfId="21148"/>
    <cellStyle name="Normal 17 2 5 2 2 3 2" xfId="40826"/>
    <cellStyle name="Normal 17 2 5 2 2 4" xfId="28510"/>
    <cellStyle name="Normal 17 2 5 2 3" xfId="11930"/>
    <cellStyle name="Normal 17 2 5 2 3 2" xfId="31608"/>
    <cellStyle name="Normal 17 2 5 2 4" xfId="18082"/>
    <cellStyle name="Normal 17 2 5 2 4 2" xfId="37760"/>
    <cellStyle name="Normal 17 2 5 2 5" xfId="25444"/>
    <cellStyle name="Normal 17 2 5 3" xfId="7268"/>
    <cellStyle name="Normal 17 2 5 3 2" xfId="13462"/>
    <cellStyle name="Normal 17 2 5 3 2 2" xfId="33140"/>
    <cellStyle name="Normal 17 2 5 3 3" xfId="19614"/>
    <cellStyle name="Normal 17 2 5 3 3 2" xfId="39292"/>
    <cellStyle name="Normal 17 2 5 3 4" xfId="26976"/>
    <cellStyle name="Normal 17 2 5 4" xfId="10396"/>
    <cellStyle name="Normal 17 2 5 4 2" xfId="30074"/>
    <cellStyle name="Normal 17 2 5 5" xfId="16548"/>
    <cellStyle name="Normal 17 2 5 5 2" xfId="36226"/>
    <cellStyle name="Normal 17 2 5 6" xfId="23910"/>
    <cellStyle name="Normal 17 2 6" xfId="4934"/>
    <cellStyle name="Normal 17 2 6 2" xfId="8034"/>
    <cellStyle name="Normal 17 2 6 2 2" xfId="14227"/>
    <cellStyle name="Normal 17 2 6 2 2 2" xfId="33905"/>
    <cellStyle name="Normal 17 2 6 2 3" xfId="20379"/>
    <cellStyle name="Normal 17 2 6 2 3 2" xfId="40057"/>
    <cellStyle name="Normal 17 2 6 2 4" xfId="27741"/>
    <cellStyle name="Normal 17 2 6 3" xfId="11161"/>
    <cellStyle name="Normal 17 2 6 3 2" xfId="30839"/>
    <cellStyle name="Normal 17 2 6 4" xfId="17313"/>
    <cellStyle name="Normal 17 2 6 4 2" xfId="36991"/>
    <cellStyle name="Normal 17 2 6 5" xfId="24675"/>
    <cellStyle name="Normal 17 2 7" xfId="6499"/>
    <cellStyle name="Normal 17 2 7 2" xfId="12693"/>
    <cellStyle name="Normal 17 2 7 2 2" xfId="32371"/>
    <cellStyle name="Normal 17 2 7 3" xfId="18845"/>
    <cellStyle name="Normal 17 2 7 3 2" xfId="38523"/>
    <cellStyle name="Normal 17 2 7 4" xfId="26207"/>
    <cellStyle name="Normal 17 2 8" xfId="9627"/>
    <cellStyle name="Normal 17 2 8 2" xfId="29305"/>
    <cellStyle name="Normal 17 2 9" xfId="15779"/>
    <cellStyle name="Normal 17 2 9 2" xfId="35457"/>
    <cellStyle name="Normal 17 3" xfId="2573"/>
    <cellStyle name="Normal 17 3 2" xfId="2574"/>
    <cellStyle name="Normal 17 3 2 2" xfId="4099"/>
    <cellStyle name="Normal 17 3 2 2 2" xfId="5724"/>
    <cellStyle name="Normal 17 3 2 2 2 2" xfId="8810"/>
    <cellStyle name="Normal 17 3 2 2 2 2 2" xfId="15003"/>
    <cellStyle name="Normal 17 3 2 2 2 2 2 2" xfId="34681"/>
    <cellStyle name="Normal 17 3 2 2 2 2 3" xfId="21155"/>
    <cellStyle name="Normal 17 3 2 2 2 2 3 2" xfId="40833"/>
    <cellStyle name="Normal 17 3 2 2 2 2 4" xfId="28517"/>
    <cellStyle name="Normal 17 3 2 2 2 3" xfId="11937"/>
    <cellStyle name="Normal 17 3 2 2 2 3 2" xfId="31615"/>
    <cellStyle name="Normal 17 3 2 2 2 4" xfId="18089"/>
    <cellStyle name="Normal 17 3 2 2 2 4 2" xfId="37767"/>
    <cellStyle name="Normal 17 3 2 2 2 5" xfId="25451"/>
    <cellStyle name="Normal 17 3 2 2 3" xfId="7275"/>
    <cellStyle name="Normal 17 3 2 2 3 2" xfId="13469"/>
    <cellStyle name="Normal 17 3 2 2 3 2 2" xfId="33147"/>
    <cellStyle name="Normal 17 3 2 2 3 3" xfId="19621"/>
    <cellStyle name="Normal 17 3 2 2 3 3 2" xfId="39299"/>
    <cellStyle name="Normal 17 3 2 2 3 4" xfId="26983"/>
    <cellStyle name="Normal 17 3 2 2 4" xfId="10403"/>
    <cellStyle name="Normal 17 3 2 2 4 2" xfId="30081"/>
    <cellStyle name="Normal 17 3 2 2 5" xfId="16555"/>
    <cellStyle name="Normal 17 3 2 2 5 2" xfId="36233"/>
    <cellStyle name="Normal 17 3 2 2 6" xfId="23917"/>
    <cellStyle name="Normal 17 3 2 3" xfId="4941"/>
    <cellStyle name="Normal 17 3 2 3 2" xfId="8041"/>
    <cellStyle name="Normal 17 3 2 3 2 2" xfId="14234"/>
    <cellStyle name="Normal 17 3 2 3 2 2 2" xfId="33912"/>
    <cellStyle name="Normal 17 3 2 3 2 3" xfId="20386"/>
    <cellStyle name="Normal 17 3 2 3 2 3 2" xfId="40064"/>
    <cellStyle name="Normal 17 3 2 3 2 4" xfId="27748"/>
    <cellStyle name="Normal 17 3 2 3 3" xfId="11168"/>
    <cellStyle name="Normal 17 3 2 3 3 2" xfId="30846"/>
    <cellStyle name="Normal 17 3 2 3 4" xfId="17320"/>
    <cellStyle name="Normal 17 3 2 3 4 2" xfId="36998"/>
    <cellStyle name="Normal 17 3 2 3 5" xfId="24682"/>
    <cellStyle name="Normal 17 3 2 4" xfId="6506"/>
    <cellStyle name="Normal 17 3 2 4 2" xfId="12700"/>
    <cellStyle name="Normal 17 3 2 4 2 2" xfId="32378"/>
    <cellStyle name="Normal 17 3 2 4 3" xfId="18852"/>
    <cellStyle name="Normal 17 3 2 4 3 2" xfId="38530"/>
    <cellStyle name="Normal 17 3 2 4 4" xfId="26214"/>
    <cellStyle name="Normal 17 3 2 5" xfId="9634"/>
    <cellStyle name="Normal 17 3 2 5 2" xfId="29312"/>
    <cellStyle name="Normal 17 3 2 6" xfId="15786"/>
    <cellStyle name="Normal 17 3 2 6 2" xfId="35464"/>
    <cellStyle name="Normal 17 3 2 7" xfId="23085"/>
    <cellStyle name="Normal 17 3 3" xfId="4098"/>
    <cellStyle name="Normal 17 3 3 2" xfId="5723"/>
    <cellStyle name="Normal 17 3 3 2 2" xfId="8809"/>
    <cellStyle name="Normal 17 3 3 2 2 2" xfId="15002"/>
    <cellStyle name="Normal 17 3 3 2 2 2 2" xfId="34680"/>
    <cellStyle name="Normal 17 3 3 2 2 3" xfId="21154"/>
    <cellStyle name="Normal 17 3 3 2 2 3 2" xfId="40832"/>
    <cellStyle name="Normal 17 3 3 2 2 4" xfId="28516"/>
    <cellStyle name="Normal 17 3 3 2 3" xfId="11936"/>
    <cellStyle name="Normal 17 3 3 2 3 2" xfId="31614"/>
    <cellStyle name="Normal 17 3 3 2 4" xfId="18088"/>
    <cellStyle name="Normal 17 3 3 2 4 2" xfId="37766"/>
    <cellStyle name="Normal 17 3 3 2 5" xfId="25450"/>
    <cellStyle name="Normal 17 3 3 3" xfId="7274"/>
    <cellStyle name="Normal 17 3 3 3 2" xfId="13468"/>
    <cellStyle name="Normal 17 3 3 3 2 2" xfId="33146"/>
    <cellStyle name="Normal 17 3 3 3 3" xfId="19620"/>
    <cellStyle name="Normal 17 3 3 3 3 2" xfId="39298"/>
    <cellStyle name="Normal 17 3 3 3 4" xfId="26982"/>
    <cellStyle name="Normal 17 3 3 4" xfId="10402"/>
    <cellStyle name="Normal 17 3 3 4 2" xfId="30080"/>
    <cellStyle name="Normal 17 3 3 5" xfId="16554"/>
    <cellStyle name="Normal 17 3 3 5 2" xfId="36232"/>
    <cellStyle name="Normal 17 3 3 6" xfId="23916"/>
    <cellStyle name="Normal 17 3 4" xfId="4940"/>
    <cellStyle name="Normal 17 3 4 2" xfId="8040"/>
    <cellStyle name="Normal 17 3 4 2 2" xfId="14233"/>
    <cellStyle name="Normal 17 3 4 2 2 2" xfId="33911"/>
    <cellStyle name="Normal 17 3 4 2 3" xfId="20385"/>
    <cellStyle name="Normal 17 3 4 2 3 2" xfId="40063"/>
    <cellStyle name="Normal 17 3 4 2 4" xfId="27747"/>
    <cellStyle name="Normal 17 3 4 3" xfId="11167"/>
    <cellStyle name="Normal 17 3 4 3 2" xfId="30845"/>
    <cellStyle name="Normal 17 3 4 4" xfId="17319"/>
    <cellStyle name="Normal 17 3 4 4 2" xfId="36997"/>
    <cellStyle name="Normal 17 3 4 5" xfId="24681"/>
    <cellStyle name="Normal 17 3 5" xfId="6505"/>
    <cellStyle name="Normal 17 3 5 2" xfId="12699"/>
    <cellStyle name="Normal 17 3 5 2 2" xfId="32377"/>
    <cellStyle name="Normal 17 3 5 3" xfId="18851"/>
    <cellStyle name="Normal 17 3 5 3 2" xfId="38529"/>
    <cellStyle name="Normal 17 3 5 4" xfId="26213"/>
    <cellStyle name="Normal 17 3 6" xfId="9633"/>
    <cellStyle name="Normal 17 3 6 2" xfId="29311"/>
    <cellStyle name="Normal 17 3 7" xfId="15785"/>
    <cellStyle name="Normal 17 3 7 2" xfId="35463"/>
    <cellStyle name="Normal 17 3 8" xfId="23084"/>
    <cellStyle name="Normal 17 4" xfId="2575"/>
    <cellStyle name="Normal 17 4 2" xfId="2576"/>
    <cellStyle name="Normal 17 4 2 2" xfId="4101"/>
    <cellStyle name="Normal 17 4 2 2 2" xfId="5726"/>
    <cellStyle name="Normal 17 4 2 2 2 2" xfId="8812"/>
    <cellStyle name="Normal 17 4 2 2 2 2 2" xfId="15005"/>
    <cellStyle name="Normal 17 4 2 2 2 2 2 2" xfId="34683"/>
    <cellStyle name="Normal 17 4 2 2 2 2 3" xfId="21157"/>
    <cellStyle name="Normal 17 4 2 2 2 2 3 2" xfId="40835"/>
    <cellStyle name="Normal 17 4 2 2 2 2 4" xfId="28519"/>
    <cellStyle name="Normal 17 4 2 2 2 3" xfId="11939"/>
    <cellStyle name="Normal 17 4 2 2 2 3 2" xfId="31617"/>
    <cellStyle name="Normal 17 4 2 2 2 4" xfId="18091"/>
    <cellStyle name="Normal 17 4 2 2 2 4 2" xfId="37769"/>
    <cellStyle name="Normal 17 4 2 2 2 5" xfId="25453"/>
    <cellStyle name="Normal 17 4 2 2 3" xfId="7277"/>
    <cellStyle name="Normal 17 4 2 2 3 2" xfId="13471"/>
    <cellStyle name="Normal 17 4 2 2 3 2 2" xfId="33149"/>
    <cellStyle name="Normal 17 4 2 2 3 3" xfId="19623"/>
    <cellStyle name="Normal 17 4 2 2 3 3 2" xfId="39301"/>
    <cellStyle name="Normal 17 4 2 2 3 4" xfId="26985"/>
    <cellStyle name="Normal 17 4 2 2 4" xfId="10405"/>
    <cellStyle name="Normal 17 4 2 2 4 2" xfId="30083"/>
    <cellStyle name="Normal 17 4 2 2 5" xfId="16557"/>
    <cellStyle name="Normal 17 4 2 2 5 2" xfId="36235"/>
    <cellStyle name="Normal 17 4 2 2 6" xfId="23919"/>
    <cellStyle name="Normal 17 4 2 3" xfId="4943"/>
    <cellStyle name="Normal 17 4 2 3 2" xfId="8043"/>
    <cellStyle name="Normal 17 4 2 3 2 2" xfId="14236"/>
    <cellStyle name="Normal 17 4 2 3 2 2 2" xfId="33914"/>
    <cellStyle name="Normal 17 4 2 3 2 3" xfId="20388"/>
    <cellStyle name="Normal 17 4 2 3 2 3 2" xfId="40066"/>
    <cellStyle name="Normal 17 4 2 3 2 4" xfId="27750"/>
    <cellStyle name="Normal 17 4 2 3 3" xfId="11170"/>
    <cellStyle name="Normal 17 4 2 3 3 2" xfId="30848"/>
    <cellStyle name="Normal 17 4 2 3 4" xfId="17322"/>
    <cellStyle name="Normal 17 4 2 3 4 2" xfId="37000"/>
    <cellStyle name="Normal 17 4 2 3 5" xfId="24684"/>
    <cellStyle name="Normal 17 4 2 4" xfId="6508"/>
    <cellStyle name="Normal 17 4 2 4 2" xfId="12702"/>
    <cellStyle name="Normal 17 4 2 4 2 2" xfId="32380"/>
    <cellStyle name="Normal 17 4 2 4 3" xfId="18854"/>
    <cellStyle name="Normal 17 4 2 4 3 2" xfId="38532"/>
    <cellStyle name="Normal 17 4 2 4 4" xfId="26216"/>
    <cellStyle name="Normal 17 4 2 5" xfId="9636"/>
    <cellStyle name="Normal 17 4 2 5 2" xfId="29314"/>
    <cellStyle name="Normal 17 4 2 6" xfId="15788"/>
    <cellStyle name="Normal 17 4 2 6 2" xfId="35466"/>
    <cellStyle name="Normal 17 4 2 7" xfId="23087"/>
    <cellStyle name="Normal 17 4 3" xfId="4100"/>
    <cellStyle name="Normal 17 4 3 2" xfId="5725"/>
    <cellStyle name="Normal 17 4 3 2 2" xfId="8811"/>
    <cellStyle name="Normal 17 4 3 2 2 2" xfId="15004"/>
    <cellStyle name="Normal 17 4 3 2 2 2 2" xfId="34682"/>
    <cellStyle name="Normal 17 4 3 2 2 3" xfId="21156"/>
    <cellStyle name="Normal 17 4 3 2 2 3 2" xfId="40834"/>
    <cellStyle name="Normal 17 4 3 2 2 4" xfId="28518"/>
    <cellStyle name="Normal 17 4 3 2 3" xfId="11938"/>
    <cellStyle name="Normal 17 4 3 2 3 2" xfId="31616"/>
    <cellStyle name="Normal 17 4 3 2 4" xfId="18090"/>
    <cellStyle name="Normal 17 4 3 2 4 2" xfId="37768"/>
    <cellStyle name="Normal 17 4 3 2 5" xfId="25452"/>
    <cellStyle name="Normal 17 4 3 3" xfId="7276"/>
    <cellStyle name="Normal 17 4 3 3 2" xfId="13470"/>
    <cellStyle name="Normal 17 4 3 3 2 2" xfId="33148"/>
    <cellStyle name="Normal 17 4 3 3 3" xfId="19622"/>
    <cellStyle name="Normal 17 4 3 3 3 2" xfId="39300"/>
    <cellStyle name="Normal 17 4 3 3 4" xfId="26984"/>
    <cellStyle name="Normal 17 4 3 4" xfId="10404"/>
    <cellStyle name="Normal 17 4 3 4 2" xfId="30082"/>
    <cellStyle name="Normal 17 4 3 5" xfId="16556"/>
    <cellStyle name="Normal 17 4 3 5 2" xfId="36234"/>
    <cellStyle name="Normal 17 4 3 6" xfId="23918"/>
    <cellStyle name="Normal 17 4 4" xfId="4942"/>
    <cellStyle name="Normal 17 4 4 2" xfId="8042"/>
    <cellStyle name="Normal 17 4 4 2 2" xfId="14235"/>
    <cellStyle name="Normal 17 4 4 2 2 2" xfId="33913"/>
    <cellStyle name="Normal 17 4 4 2 3" xfId="20387"/>
    <cellStyle name="Normal 17 4 4 2 3 2" xfId="40065"/>
    <cellStyle name="Normal 17 4 4 2 4" xfId="27749"/>
    <cellStyle name="Normal 17 4 4 3" xfId="11169"/>
    <cellStyle name="Normal 17 4 4 3 2" xfId="30847"/>
    <cellStyle name="Normal 17 4 4 4" xfId="17321"/>
    <cellStyle name="Normal 17 4 4 4 2" xfId="36999"/>
    <cellStyle name="Normal 17 4 4 5" xfId="24683"/>
    <cellStyle name="Normal 17 4 5" xfId="6507"/>
    <cellStyle name="Normal 17 4 5 2" xfId="12701"/>
    <cellStyle name="Normal 17 4 5 2 2" xfId="32379"/>
    <cellStyle name="Normal 17 4 5 3" xfId="18853"/>
    <cellStyle name="Normal 17 4 5 3 2" xfId="38531"/>
    <cellStyle name="Normal 17 4 5 4" xfId="26215"/>
    <cellStyle name="Normal 17 4 6" xfId="9635"/>
    <cellStyle name="Normal 17 4 6 2" xfId="29313"/>
    <cellStyle name="Normal 17 4 7" xfId="15787"/>
    <cellStyle name="Normal 17 4 7 2" xfId="35465"/>
    <cellStyle name="Normal 17 4 8" xfId="23086"/>
    <cellStyle name="Normal 17 5" xfId="2577"/>
    <cellStyle name="Normal 17 5 2" xfId="2578"/>
    <cellStyle name="Normal 17 5 2 2" xfId="4102"/>
    <cellStyle name="Normal 17 5 2 2 2" xfId="5727"/>
    <cellStyle name="Normal 17 5 2 2 2 2" xfId="8813"/>
    <cellStyle name="Normal 17 5 2 2 2 2 2" xfId="15006"/>
    <cellStyle name="Normal 17 5 2 2 2 2 2 2" xfId="34684"/>
    <cellStyle name="Normal 17 5 2 2 2 2 3" xfId="21158"/>
    <cellStyle name="Normal 17 5 2 2 2 2 3 2" xfId="40836"/>
    <cellStyle name="Normal 17 5 2 2 2 2 4" xfId="28520"/>
    <cellStyle name="Normal 17 5 2 2 2 3" xfId="11940"/>
    <cellStyle name="Normal 17 5 2 2 2 3 2" xfId="31618"/>
    <cellStyle name="Normal 17 5 2 2 2 4" xfId="18092"/>
    <cellStyle name="Normal 17 5 2 2 2 4 2" xfId="37770"/>
    <cellStyle name="Normal 17 5 2 2 2 5" xfId="25454"/>
    <cellStyle name="Normal 17 5 2 2 3" xfId="7278"/>
    <cellStyle name="Normal 17 5 2 2 3 2" xfId="13472"/>
    <cellStyle name="Normal 17 5 2 2 3 2 2" xfId="33150"/>
    <cellStyle name="Normal 17 5 2 2 3 3" xfId="19624"/>
    <cellStyle name="Normal 17 5 2 2 3 3 2" xfId="39302"/>
    <cellStyle name="Normal 17 5 2 2 3 4" xfId="26986"/>
    <cellStyle name="Normal 17 5 2 2 4" xfId="10406"/>
    <cellStyle name="Normal 17 5 2 2 4 2" xfId="30084"/>
    <cellStyle name="Normal 17 5 2 2 5" xfId="16558"/>
    <cellStyle name="Normal 17 5 2 2 5 2" xfId="36236"/>
    <cellStyle name="Normal 17 5 2 2 6" xfId="23920"/>
    <cellStyle name="Normal 17 5 2 3" xfId="4944"/>
    <cellStyle name="Normal 17 5 2 3 2" xfId="8044"/>
    <cellStyle name="Normal 17 5 2 3 2 2" xfId="14237"/>
    <cellStyle name="Normal 17 5 2 3 2 2 2" xfId="33915"/>
    <cellStyle name="Normal 17 5 2 3 2 3" xfId="20389"/>
    <cellStyle name="Normal 17 5 2 3 2 3 2" xfId="40067"/>
    <cellStyle name="Normal 17 5 2 3 2 4" xfId="27751"/>
    <cellStyle name="Normal 17 5 2 3 3" xfId="11171"/>
    <cellStyle name="Normal 17 5 2 3 3 2" xfId="30849"/>
    <cellStyle name="Normal 17 5 2 3 4" xfId="17323"/>
    <cellStyle name="Normal 17 5 2 3 4 2" xfId="37001"/>
    <cellStyle name="Normal 17 5 2 3 5" xfId="24685"/>
    <cellStyle name="Normal 17 5 2 4" xfId="6509"/>
    <cellStyle name="Normal 17 5 2 4 2" xfId="12703"/>
    <cellStyle name="Normal 17 5 2 4 2 2" xfId="32381"/>
    <cellStyle name="Normal 17 5 2 4 3" xfId="18855"/>
    <cellStyle name="Normal 17 5 2 4 3 2" xfId="38533"/>
    <cellStyle name="Normal 17 5 2 4 4" xfId="26217"/>
    <cellStyle name="Normal 17 5 2 5" xfId="9637"/>
    <cellStyle name="Normal 17 5 2 5 2" xfId="29315"/>
    <cellStyle name="Normal 17 5 2 6" xfId="15789"/>
    <cellStyle name="Normal 17 5 2 6 2" xfId="35467"/>
    <cellStyle name="Normal 17 5 2 7" xfId="23088"/>
    <cellStyle name="Normal 17 6" xfId="2579"/>
    <cellStyle name="Normal 17 6 2" xfId="4103"/>
    <cellStyle name="Normal 17 6 2 2" xfId="5728"/>
    <cellStyle name="Normal 17 6 2 2 2" xfId="8814"/>
    <cellStyle name="Normal 17 6 2 2 2 2" xfId="15007"/>
    <cellStyle name="Normal 17 6 2 2 2 2 2" xfId="34685"/>
    <cellStyle name="Normal 17 6 2 2 2 3" xfId="21159"/>
    <cellStyle name="Normal 17 6 2 2 2 3 2" xfId="40837"/>
    <cellStyle name="Normal 17 6 2 2 2 4" xfId="28521"/>
    <cellStyle name="Normal 17 6 2 2 3" xfId="11941"/>
    <cellStyle name="Normal 17 6 2 2 3 2" xfId="31619"/>
    <cellStyle name="Normal 17 6 2 2 4" xfId="18093"/>
    <cellStyle name="Normal 17 6 2 2 4 2" xfId="37771"/>
    <cellStyle name="Normal 17 6 2 2 5" xfId="25455"/>
    <cellStyle name="Normal 17 6 2 3" xfId="7279"/>
    <cellStyle name="Normal 17 6 2 3 2" xfId="13473"/>
    <cellStyle name="Normal 17 6 2 3 2 2" xfId="33151"/>
    <cellStyle name="Normal 17 6 2 3 3" xfId="19625"/>
    <cellStyle name="Normal 17 6 2 3 3 2" xfId="39303"/>
    <cellStyle name="Normal 17 6 2 3 4" xfId="26987"/>
    <cellStyle name="Normal 17 6 2 4" xfId="10407"/>
    <cellStyle name="Normal 17 6 2 4 2" xfId="30085"/>
    <cellStyle name="Normal 17 6 2 5" xfId="16559"/>
    <cellStyle name="Normal 17 6 2 5 2" xfId="36237"/>
    <cellStyle name="Normal 17 6 2 6" xfId="23921"/>
    <cellStyle name="Normal 17 6 3" xfId="4945"/>
    <cellStyle name="Normal 17 6 3 2" xfId="8045"/>
    <cellStyle name="Normal 17 6 3 2 2" xfId="14238"/>
    <cellStyle name="Normal 17 6 3 2 2 2" xfId="33916"/>
    <cellStyle name="Normal 17 6 3 2 3" xfId="20390"/>
    <cellStyle name="Normal 17 6 3 2 3 2" xfId="40068"/>
    <cellStyle name="Normal 17 6 3 2 4" xfId="27752"/>
    <cellStyle name="Normal 17 6 3 3" xfId="11172"/>
    <cellStyle name="Normal 17 6 3 3 2" xfId="30850"/>
    <cellStyle name="Normal 17 6 3 4" xfId="17324"/>
    <cellStyle name="Normal 17 6 3 4 2" xfId="37002"/>
    <cellStyle name="Normal 17 6 3 5" xfId="24686"/>
    <cellStyle name="Normal 17 6 4" xfId="6510"/>
    <cellStyle name="Normal 17 6 4 2" xfId="12704"/>
    <cellStyle name="Normal 17 6 4 2 2" xfId="32382"/>
    <cellStyle name="Normal 17 6 4 3" xfId="18856"/>
    <cellStyle name="Normal 17 6 4 3 2" xfId="38534"/>
    <cellStyle name="Normal 17 6 4 4" xfId="26218"/>
    <cellStyle name="Normal 17 6 5" xfId="9638"/>
    <cellStyle name="Normal 17 6 5 2" xfId="29316"/>
    <cellStyle name="Normal 17 6 6" xfId="15790"/>
    <cellStyle name="Normal 17 6 6 2" xfId="35468"/>
    <cellStyle name="Normal 17 6 7" xfId="23089"/>
    <cellStyle name="Normal 18" xfId="2580"/>
    <cellStyle name="Normal 18 2" xfId="2581"/>
    <cellStyle name="Normal 19" xfId="2582"/>
    <cellStyle name="Normal 19 2" xfId="2583"/>
    <cellStyle name="Normal 19 2 2" xfId="2584"/>
    <cellStyle name="Normal 19 2 2 2" xfId="2585"/>
    <cellStyle name="Normal 19 2 3" xfId="2586"/>
    <cellStyle name="Normal 19 2 4" xfId="41974"/>
    <cellStyle name="Normal 19 3" xfId="2587"/>
    <cellStyle name="Normal 2" xfId="10"/>
    <cellStyle name="Normal 2 10" xfId="284"/>
    <cellStyle name="Normal 2 10 2" xfId="3728"/>
    <cellStyle name="Normal 2 10 3" xfId="2588"/>
    <cellStyle name="Normal 2 10 3 2" xfId="4104"/>
    <cellStyle name="Normal 2 10 3 2 2" xfId="5729"/>
    <cellStyle name="Normal 2 10 3 2 2 2" xfId="8815"/>
    <cellStyle name="Normal 2 10 3 2 2 2 2" xfId="15008"/>
    <cellStyle name="Normal 2 10 3 2 2 2 2 2" xfId="34686"/>
    <cellStyle name="Normal 2 10 3 2 2 2 3" xfId="21160"/>
    <cellStyle name="Normal 2 10 3 2 2 2 3 2" xfId="40838"/>
    <cellStyle name="Normal 2 10 3 2 2 2 4" xfId="28522"/>
    <cellStyle name="Normal 2 10 3 2 2 3" xfId="11942"/>
    <cellStyle name="Normal 2 10 3 2 2 3 2" xfId="31620"/>
    <cellStyle name="Normal 2 10 3 2 2 4" xfId="18094"/>
    <cellStyle name="Normal 2 10 3 2 2 4 2" xfId="37772"/>
    <cellStyle name="Normal 2 10 3 2 2 5" xfId="25456"/>
    <cellStyle name="Normal 2 10 3 2 3" xfId="7280"/>
    <cellStyle name="Normal 2 10 3 2 3 2" xfId="13474"/>
    <cellStyle name="Normal 2 10 3 2 3 2 2" xfId="33152"/>
    <cellStyle name="Normal 2 10 3 2 3 3" xfId="19626"/>
    <cellStyle name="Normal 2 10 3 2 3 3 2" xfId="39304"/>
    <cellStyle name="Normal 2 10 3 2 3 4" xfId="26988"/>
    <cellStyle name="Normal 2 10 3 2 4" xfId="10408"/>
    <cellStyle name="Normal 2 10 3 2 4 2" xfId="30086"/>
    <cellStyle name="Normal 2 10 3 2 5" xfId="16560"/>
    <cellStyle name="Normal 2 10 3 2 5 2" xfId="36238"/>
    <cellStyle name="Normal 2 10 3 2 6" xfId="23922"/>
    <cellStyle name="Normal 2 10 3 3" xfId="4946"/>
    <cellStyle name="Normal 2 10 3 3 2" xfId="8046"/>
    <cellStyle name="Normal 2 10 3 3 2 2" xfId="14239"/>
    <cellStyle name="Normal 2 10 3 3 2 2 2" xfId="33917"/>
    <cellStyle name="Normal 2 10 3 3 2 3" xfId="20391"/>
    <cellStyle name="Normal 2 10 3 3 2 3 2" xfId="40069"/>
    <cellStyle name="Normal 2 10 3 3 2 4" xfId="27753"/>
    <cellStyle name="Normal 2 10 3 3 3" xfId="11173"/>
    <cellStyle name="Normal 2 10 3 3 3 2" xfId="30851"/>
    <cellStyle name="Normal 2 10 3 3 4" xfId="17325"/>
    <cellStyle name="Normal 2 10 3 3 4 2" xfId="37003"/>
    <cellStyle name="Normal 2 10 3 3 5" xfId="24687"/>
    <cellStyle name="Normal 2 10 3 4" xfId="6511"/>
    <cellStyle name="Normal 2 10 3 4 2" xfId="12705"/>
    <cellStyle name="Normal 2 10 3 4 2 2" xfId="32383"/>
    <cellStyle name="Normal 2 10 3 4 3" xfId="18857"/>
    <cellStyle name="Normal 2 10 3 4 3 2" xfId="38535"/>
    <cellStyle name="Normal 2 10 3 4 4" xfId="26219"/>
    <cellStyle name="Normal 2 10 3 5" xfId="9639"/>
    <cellStyle name="Normal 2 10 3 5 2" xfId="29317"/>
    <cellStyle name="Normal 2 10 3 6" xfId="15791"/>
    <cellStyle name="Normal 2 10 3 6 2" xfId="35469"/>
    <cellStyle name="Normal 2 10 3 7" xfId="23090"/>
    <cellStyle name="Normal 2 11" xfId="285"/>
    <cellStyle name="Normal 2 11 2" xfId="3729"/>
    <cellStyle name="Normal 2 11 3" xfId="2589"/>
    <cellStyle name="Normal 2 11 3 2" xfId="4105"/>
    <cellStyle name="Normal 2 11 3 2 2" xfId="5730"/>
    <cellStyle name="Normal 2 11 3 2 2 2" xfId="8816"/>
    <cellStyle name="Normal 2 11 3 2 2 2 2" xfId="15009"/>
    <cellStyle name="Normal 2 11 3 2 2 2 2 2" xfId="34687"/>
    <cellStyle name="Normal 2 11 3 2 2 2 3" xfId="21161"/>
    <cellStyle name="Normal 2 11 3 2 2 2 3 2" xfId="40839"/>
    <cellStyle name="Normal 2 11 3 2 2 2 4" xfId="28523"/>
    <cellStyle name="Normal 2 11 3 2 2 3" xfId="11943"/>
    <cellStyle name="Normal 2 11 3 2 2 3 2" xfId="31621"/>
    <cellStyle name="Normal 2 11 3 2 2 4" xfId="18095"/>
    <cellStyle name="Normal 2 11 3 2 2 4 2" xfId="37773"/>
    <cellStyle name="Normal 2 11 3 2 2 5" xfId="25457"/>
    <cellStyle name="Normal 2 11 3 2 3" xfId="7281"/>
    <cellStyle name="Normal 2 11 3 2 3 2" xfId="13475"/>
    <cellStyle name="Normal 2 11 3 2 3 2 2" xfId="33153"/>
    <cellStyle name="Normal 2 11 3 2 3 3" xfId="19627"/>
    <cellStyle name="Normal 2 11 3 2 3 3 2" xfId="39305"/>
    <cellStyle name="Normal 2 11 3 2 3 4" xfId="26989"/>
    <cellStyle name="Normal 2 11 3 2 4" xfId="10409"/>
    <cellStyle name="Normal 2 11 3 2 4 2" xfId="30087"/>
    <cellStyle name="Normal 2 11 3 2 5" xfId="16561"/>
    <cellStyle name="Normal 2 11 3 2 5 2" xfId="36239"/>
    <cellStyle name="Normal 2 11 3 2 6" xfId="23923"/>
    <cellStyle name="Normal 2 11 3 3" xfId="4947"/>
    <cellStyle name="Normal 2 11 3 3 2" xfId="8047"/>
    <cellStyle name="Normal 2 11 3 3 2 2" xfId="14240"/>
    <cellStyle name="Normal 2 11 3 3 2 2 2" xfId="33918"/>
    <cellStyle name="Normal 2 11 3 3 2 3" xfId="20392"/>
    <cellStyle name="Normal 2 11 3 3 2 3 2" xfId="40070"/>
    <cellStyle name="Normal 2 11 3 3 2 4" xfId="27754"/>
    <cellStyle name="Normal 2 11 3 3 3" xfId="11174"/>
    <cellStyle name="Normal 2 11 3 3 3 2" xfId="30852"/>
    <cellStyle name="Normal 2 11 3 3 4" xfId="17326"/>
    <cellStyle name="Normal 2 11 3 3 4 2" xfId="37004"/>
    <cellStyle name="Normal 2 11 3 3 5" xfId="24688"/>
    <cellStyle name="Normal 2 11 3 4" xfId="6512"/>
    <cellStyle name="Normal 2 11 3 4 2" xfId="12706"/>
    <cellStyle name="Normal 2 11 3 4 2 2" xfId="32384"/>
    <cellStyle name="Normal 2 11 3 4 3" xfId="18858"/>
    <cellStyle name="Normal 2 11 3 4 3 2" xfId="38536"/>
    <cellStyle name="Normal 2 11 3 4 4" xfId="26220"/>
    <cellStyle name="Normal 2 11 3 5" xfId="9640"/>
    <cellStyle name="Normal 2 11 3 5 2" xfId="29318"/>
    <cellStyle name="Normal 2 11 3 6" xfId="15792"/>
    <cellStyle name="Normal 2 11 3 6 2" xfId="35470"/>
    <cellStyle name="Normal 2 11 3 7" xfId="23091"/>
    <cellStyle name="Normal 2 12" xfId="286"/>
    <cellStyle name="Normal 2 12 2" xfId="3730"/>
    <cellStyle name="Normal 2 12 3" xfId="2590"/>
    <cellStyle name="Normal 2 12 3 2" xfId="4106"/>
    <cellStyle name="Normal 2 12 3 2 2" xfId="5731"/>
    <cellStyle name="Normal 2 12 3 2 2 2" xfId="8817"/>
    <cellStyle name="Normal 2 12 3 2 2 2 2" xfId="15010"/>
    <cellStyle name="Normal 2 12 3 2 2 2 2 2" xfId="34688"/>
    <cellStyle name="Normal 2 12 3 2 2 2 3" xfId="21162"/>
    <cellStyle name="Normal 2 12 3 2 2 2 3 2" xfId="40840"/>
    <cellStyle name="Normal 2 12 3 2 2 2 4" xfId="28524"/>
    <cellStyle name="Normal 2 12 3 2 2 3" xfId="11944"/>
    <cellStyle name="Normal 2 12 3 2 2 3 2" xfId="31622"/>
    <cellStyle name="Normal 2 12 3 2 2 4" xfId="18096"/>
    <cellStyle name="Normal 2 12 3 2 2 4 2" xfId="37774"/>
    <cellStyle name="Normal 2 12 3 2 2 5" xfId="25458"/>
    <cellStyle name="Normal 2 12 3 2 3" xfId="7282"/>
    <cellStyle name="Normal 2 12 3 2 3 2" xfId="13476"/>
    <cellStyle name="Normal 2 12 3 2 3 2 2" xfId="33154"/>
    <cellStyle name="Normal 2 12 3 2 3 3" xfId="19628"/>
    <cellStyle name="Normal 2 12 3 2 3 3 2" xfId="39306"/>
    <cellStyle name="Normal 2 12 3 2 3 4" xfId="26990"/>
    <cellStyle name="Normal 2 12 3 2 4" xfId="10410"/>
    <cellStyle name="Normal 2 12 3 2 4 2" xfId="30088"/>
    <cellStyle name="Normal 2 12 3 2 5" xfId="16562"/>
    <cellStyle name="Normal 2 12 3 2 5 2" xfId="36240"/>
    <cellStyle name="Normal 2 12 3 2 6" xfId="23924"/>
    <cellStyle name="Normal 2 12 3 3" xfId="4948"/>
    <cellStyle name="Normal 2 12 3 3 2" xfId="8048"/>
    <cellStyle name="Normal 2 12 3 3 2 2" xfId="14241"/>
    <cellStyle name="Normal 2 12 3 3 2 2 2" xfId="33919"/>
    <cellStyle name="Normal 2 12 3 3 2 3" xfId="20393"/>
    <cellStyle name="Normal 2 12 3 3 2 3 2" xfId="40071"/>
    <cellStyle name="Normal 2 12 3 3 2 4" xfId="27755"/>
    <cellStyle name="Normal 2 12 3 3 3" xfId="11175"/>
    <cellStyle name="Normal 2 12 3 3 3 2" xfId="30853"/>
    <cellStyle name="Normal 2 12 3 3 4" xfId="17327"/>
    <cellStyle name="Normal 2 12 3 3 4 2" xfId="37005"/>
    <cellStyle name="Normal 2 12 3 3 5" xfId="24689"/>
    <cellStyle name="Normal 2 12 3 4" xfId="6513"/>
    <cellStyle name="Normal 2 12 3 4 2" xfId="12707"/>
    <cellStyle name="Normal 2 12 3 4 2 2" xfId="32385"/>
    <cellStyle name="Normal 2 12 3 4 3" xfId="18859"/>
    <cellStyle name="Normal 2 12 3 4 3 2" xfId="38537"/>
    <cellStyle name="Normal 2 12 3 4 4" xfId="26221"/>
    <cellStyle name="Normal 2 12 3 5" xfId="9641"/>
    <cellStyle name="Normal 2 12 3 5 2" xfId="29319"/>
    <cellStyle name="Normal 2 12 3 6" xfId="15793"/>
    <cellStyle name="Normal 2 12 3 6 2" xfId="35471"/>
    <cellStyle name="Normal 2 12 3 7" xfId="23092"/>
    <cellStyle name="Normal 2 13" xfId="287"/>
    <cellStyle name="Normal 2 13 2" xfId="3731"/>
    <cellStyle name="Normal 2 13 3" xfId="2591"/>
    <cellStyle name="Normal 2 13 3 2" xfId="4107"/>
    <cellStyle name="Normal 2 13 3 2 2" xfId="5732"/>
    <cellStyle name="Normal 2 13 3 2 2 2" xfId="8818"/>
    <cellStyle name="Normal 2 13 3 2 2 2 2" xfId="15011"/>
    <cellStyle name="Normal 2 13 3 2 2 2 2 2" xfId="34689"/>
    <cellStyle name="Normal 2 13 3 2 2 2 3" xfId="21163"/>
    <cellStyle name="Normal 2 13 3 2 2 2 3 2" xfId="40841"/>
    <cellStyle name="Normal 2 13 3 2 2 2 4" xfId="28525"/>
    <cellStyle name="Normal 2 13 3 2 2 3" xfId="11945"/>
    <cellStyle name="Normal 2 13 3 2 2 3 2" xfId="31623"/>
    <cellStyle name="Normal 2 13 3 2 2 4" xfId="18097"/>
    <cellStyle name="Normal 2 13 3 2 2 4 2" xfId="37775"/>
    <cellStyle name="Normal 2 13 3 2 2 5" xfId="25459"/>
    <cellStyle name="Normal 2 13 3 2 3" xfId="7283"/>
    <cellStyle name="Normal 2 13 3 2 3 2" xfId="13477"/>
    <cellStyle name="Normal 2 13 3 2 3 2 2" xfId="33155"/>
    <cellStyle name="Normal 2 13 3 2 3 3" xfId="19629"/>
    <cellStyle name="Normal 2 13 3 2 3 3 2" xfId="39307"/>
    <cellStyle name="Normal 2 13 3 2 3 4" xfId="26991"/>
    <cellStyle name="Normal 2 13 3 2 4" xfId="10411"/>
    <cellStyle name="Normal 2 13 3 2 4 2" xfId="30089"/>
    <cellStyle name="Normal 2 13 3 2 5" xfId="16563"/>
    <cellStyle name="Normal 2 13 3 2 5 2" xfId="36241"/>
    <cellStyle name="Normal 2 13 3 2 6" xfId="23925"/>
    <cellStyle name="Normal 2 13 3 3" xfId="4949"/>
    <cellStyle name="Normal 2 13 3 3 2" xfId="8049"/>
    <cellStyle name="Normal 2 13 3 3 2 2" xfId="14242"/>
    <cellStyle name="Normal 2 13 3 3 2 2 2" xfId="33920"/>
    <cellStyle name="Normal 2 13 3 3 2 3" xfId="20394"/>
    <cellStyle name="Normal 2 13 3 3 2 3 2" xfId="40072"/>
    <cellStyle name="Normal 2 13 3 3 2 4" xfId="27756"/>
    <cellStyle name="Normal 2 13 3 3 3" xfId="11176"/>
    <cellStyle name="Normal 2 13 3 3 3 2" xfId="30854"/>
    <cellStyle name="Normal 2 13 3 3 4" xfId="17328"/>
    <cellStyle name="Normal 2 13 3 3 4 2" xfId="37006"/>
    <cellStyle name="Normal 2 13 3 3 5" xfId="24690"/>
    <cellStyle name="Normal 2 13 3 4" xfId="6514"/>
    <cellStyle name="Normal 2 13 3 4 2" xfId="12708"/>
    <cellStyle name="Normal 2 13 3 4 2 2" xfId="32386"/>
    <cellStyle name="Normal 2 13 3 4 3" xfId="18860"/>
    <cellStyle name="Normal 2 13 3 4 3 2" xfId="38538"/>
    <cellStyle name="Normal 2 13 3 4 4" xfId="26222"/>
    <cellStyle name="Normal 2 13 3 5" xfId="9642"/>
    <cellStyle name="Normal 2 13 3 5 2" xfId="29320"/>
    <cellStyle name="Normal 2 13 3 6" xfId="15794"/>
    <cellStyle name="Normal 2 13 3 6 2" xfId="35472"/>
    <cellStyle name="Normal 2 13 3 7" xfId="23093"/>
    <cellStyle name="Normal 2 14" xfId="288"/>
    <cellStyle name="Normal 2 14 2" xfId="3732"/>
    <cellStyle name="Normal 2 14 3" xfId="2592"/>
    <cellStyle name="Normal 2 14 3 2" xfId="4108"/>
    <cellStyle name="Normal 2 14 3 2 2" xfId="5733"/>
    <cellStyle name="Normal 2 14 3 2 2 2" xfId="8819"/>
    <cellStyle name="Normal 2 14 3 2 2 2 2" xfId="15012"/>
    <cellStyle name="Normal 2 14 3 2 2 2 2 2" xfId="34690"/>
    <cellStyle name="Normal 2 14 3 2 2 2 3" xfId="21164"/>
    <cellStyle name="Normal 2 14 3 2 2 2 3 2" xfId="40842"/>
    <cellStyle name="Normal 2 14 3 2 2 2 4" xfId="28526"/>
    <cellStyle name="Normal 2 14 3 2 2 3" xfId="11946"/>
    <cellStyle name="Normal 2 14 3 2 2 3 2" xfId="31624"/>
    <cellStyle name="Normal 2 14 3 2 2 4" xfId="18098"/>
    <cellStyle name="Normal 2 14 3 2 2 4 2" xfId="37776"/>
    <cellStyle name="Normal 2 14 3 2 2 5" xfId="25460"/>
    <cellStyle name="Normal 2 14 3 2 3" xfId="7284"/>
    <cellStyle name="Normal 2 14 3 2 3 2" xfId="13478"/>
    <cellStyle name="Normal 2 14 3 2 3 2 2" xfId="33156"/>
    <cellStyle name="Normal 2 14 3 2 3 3" xfId="19630"/>
    <cellStyle name="Normal 2 14 3 2 3 3 2" xfId="39308"/>
    <cellStyle name="Normal 2 14 3 2 3 4" xfId="26992"/>
    <cellStyle name="Normal 2 14 3 2 4" xfId="10412"/>
    <cellStyle name="Normal 2 14 3 2 4 2" xfId="30090"/>
    <cellStyle name="Normal 2 14 3 2 5" xfId="16564"/>
    <cellStyle name="Normal 2 14 3 2 5 2" xfId="36242"/>
    <cellStyle name="Normal 2 14 3 2 6" xfId="23926"/>
    <cellStyle name="Normal 2 14 3 3" xfId="4950"/>
    <cellStyle name="Normal 2 14 3 3 2" xfId="8050"/>
    <cellStyle name="Normal 2 14 3 3 2 2" xfId="14243"/>
    <cellStyle name="Normal 2 14 3 3 2 2 2" xfId="33921"/>
    <cellStyle name="Normal 2 14 3 3 2 3" xfId="20395"/>
    <cellStyle name="Normal 2 14 3 3 2 3 2" xfId="40073"/>
    <cellStyle name="Normal 2 14 3 3 2 4" xfId="27757"/>
    <cellStyle name="Normal 2 14 3 3 3" xfId="11177"/>
    <cellStyle name="Normal 2 14 3 3 3 2" xfId="30855"/>
    <cellStyle name="Normal 2 14 3 3 4" xfId="17329"/>
    <cellStyle name="Normal 2 14 3 3 4 2" xfId="37007"/>
    <cellStyle name="Normal 2 14 3 3 5" xfId="24691"/>
    <cellStyle name="Normal 2 14 3 4" xfId="6515"/>
    <cellStyle name="Normal 2 14 3 4 2" xfId="12709"/>
    <cellStyle name="Normal 2 14 3 4 2 2" xfId="32387"/>
    <cellStyle name="Normal 2 14 3 4 3" xfId="18861"/>
    <cellStyle name="Normal 2 14 3 4 3 2" xfId="38539"/>
    <cellStyle name="Normal 2 14 3 4 4" xfId="26223"/>
    <cellStyle name="Normal 2 14 3 5" xfId="9643"/>
    <cellStyle name="Normal 2 14 3 5 2" xfId="29321"/>
    <cellStyle name="Normal 2 14 3 6" xfId="15795"/>
    <cellStyle name="Normal 2 14 3 6 2" xfId="35473"/>
    <cellStyle name="Normal 2 14 3 7" xfId="23094"/>
    <cellStyle name="Normal 2 15" xfId="289"/>
    <cellStyle name="Normal 2 15 2" xfId="3733"/>
    <cellStyle name="Normal 2 15 3" xfId="2593"/>
    <cellStyle name="Normal 2 15 3 2" xfId="4109"/>
    <cellStyle name="Normal 2 15 3 2 2" xfId="5734"/>
    <cellStyle name="Normal 2 15 3 2 2 2" xfId="8820"/>
    <cellStyle name="Normal 2 15 3 2 2 2 2" xfId="15013"/>
    <cellStyle name="Normal 2 15 3 2 2 2 2 2" xfId="34691"/>
    <cellStyle name="Normal 2 15 3 2 2 2 3" xfId="21165"/>
    <cellStyle name="Normal 2 15 3 2 2 2 3 2" xfId="40843"/>
    <cellStyle name="Normal 2 15 3 2 2 2 4" xfId="28527"/>
    <cellStyle name="Normal 2 15 3 2 2 3" xfId="11947"/>
    <cellStyle name="Normal 2 15 3 2 2 3 2" xfId="31625"/>
    <cellStyle name="Normal 2 15 3 2 2 4" xfId="18099"/>
    <cellStyle name="Normal 2 15 3 2 2 4 2" xfId="37777"/>
    <cellStyle name="Normal 2 15 3 2 2 5" xfId="25461"/>
    <cellStyle name="Normal 2 15 3 2 3" xfId="7285"/>
    <cellStyle name="Normal 2 15 3 2 3 2" xfId="13479"/>
    <cellStyle name="Normal 2 15 3 2 3 2 2" xfId="33157"/>
    <cellStyle name="Normal 2 15 3 2 3 3" xfId="19631"/>
    <cellStyle name="Normal 2 15 3 2 3 3 2" xfId="39309"/>
    <cellStyle name="Normal 2 15 3 2 3 4" xfId="26993"/>
    <cellStyle name="Normal 2 15 3 2 4" xfId="10413"/>
    <cellStyle name="Normal 2 15 3 2 4 2" xfId="30091"/>
    <cellStyle name="Normal 2 15 3 2 5" xfId="16565"/>
    <cellStyle name="Normal 2 15 3 2 5 2" xfId="36243"/>
    <cellStyle name="Normal 2 15 3 2 6" xfId="23927"/>
    <cellStyle name="Normal 2 15 3 3" xfId="4951"/>
    <cellStyle name="Normal 2 15 3 3 2" xfId="8051"/>
    <cellStyle name="Normal 2 15 3 3 2 2" xfId="14244"/>
    <cellStyle name="Normal 2 15 3 3 2 2 2" xfId="33922"/>
    <cellStyle name="Normal 2 15 3 3 2 3" xfId="20396"/>
    <cellStyle name="Normal 2 15 3 3 2 3 2" xfId="40074"/>
    <cellStyle name="Normal 2 15 3 3 2 4" xfId="27758"/>
    <cellStyle name="Normal 2 15 3 3 3" xfId="11178"/>
    <cellStyle name="Normal 2 15 3 3 3 2" xfId="30856"/>
    <cellStyle name="Normal 2 15 3 3 4" xfId="17330"/>
    <cellStyle name="Normal 2 15 3 3 4 2" xfId="37008"/>
    <cellStyle name="Normal 2 15 3 3 5" xfId="24692"/>
    <cellStyle name="Normal 2 15 3 4" xfId="6516"/>
    <cellStyle name="Normal 2 15 3 4 2" xfId="12710"/>
    <cellStyle name="Normal 2 15 3 4 2 2" xfId="32388"/>
    <cellStyle name="Normal 2 15 3 4 3" xfId="18862"/>
    <cellStyle name="Normal 2 15 3 4 3 2" xfId="38540"/>
    <cellStyle name="Normal 2 15 3 4 4" xfId="26224"/>
    <cellStyle name="Normal 2 15 3 5" xfId="9644"/>
    <cellStyle name="Normal 2 15 3 5 2" xfId="29322"/>
    <cellStyle name="Normal 2 15 3 6" xfId="15796"/>
    <cellStyle name="Normal 2 15 3 6 2" xfId="35474"/>
    <cellStyle name="Normal 2 15 3 7" xfId="23095"/>
    <cellStyle name="Normal 2 16" xfId="290"/>
    <cellStyle name="Normal 2 16 2" xfId="3734"/>
    <cellStyle name="Normal 2 16 3" xfId="2594"/>
    <cellStyle name="Normal 2 16 3 2" xfId="4110"/>
    <cellStyle name="Normal 2 16 3 2 2" xfId="5735"/>
    <cellStyle name="Normal 2 16 3 2 2 2" xfId="8821"/>
    <cellStyle name="Normal 2 16 3 2 2 2 2" xfId="15014"/>
    <cellStyle name="Normal 2 16 3 2 2 2 2 2" xfId="34692"/>
    <cellStyle name="Normal 2 16 3 2 2 2 3" xfId="21166"/>
    <cellStyle name="Normal 2 16 3 2 2 2 3 2" xfId="40844"/>
    <cellStyle name="Normal 2 16 3 2 2 2 4" xfId="28528"/>
    <cellStyle name="Normal 2 16 3 2 2 3" xfId="11948"/>
    <cellStyle name="Normal 2 16 3 2 2 3 2" xfId="31626"/>
    <cellStyle name="Normal 2 16 3 2 2 4" xfId="18100"/>
    <cellStyle name="Normal 2 16 3 2 2 4 2" xfId="37778"/>
    <cellStyle name="Normal 2 16 3 2 2 5" xfId="25462"/>
    <cellStyle name="Normal 2 16 3 2 3" xfId="7286"/>
    <cellStyle name="Normal 2 16 3 2 3 2" xfId="13480"/>
    <cellStyle name="Normal 2 16 3 2 3 2 2" xfId="33158"/>
    <cellStyle name="Normal 2 16 3 2 3 3" xfId="19632"/>
    <cellStyle name="Normal 2 16 3 2 3 3 2" xfId="39310"/>
    <cellStyle name="Normal 2 16 3 2 3 4" xfId="26994"/>
    <cellStyle name="Normal 2 16 3 2 4" xfId="10414"/>
    <cellStyle name="Normal 2 16 3 2 4 2" xfId="30092"/>
    <cellStyle name="Normal 2 16 3 2 5" xfId="16566"/>
    <cellStyle name="Normal 2 16 3 2 5 2" xfId="36244"/>
    <cellStyle name="Normal 2 16 3 2 6" xfId="23928"/>
    <cellStyle name="Normal 2 16 3 3" xfId="4952"/>
    <cellStyle name="Normal 2 16 3 3 2" xfId="8052"/>
    <cellStyle name="Normal 2 16 3 3 2 2" xfId="14245"/>
    <cellStyle name="Normal 2 16 3 3 2 2 2" xfId="33923"/>
    <cellStyle name="Normal 2 16 3 3 2 3" xfId="20397"/>
    <cellStyle name="Normal 2 16 3 3 2 3 2" xfId="40075"/>
    <cellStyle name="Normal 2 16 3 3 2 4" xfId="27759"/>
    <cellStyle name="Normal 2 16 3 3 3" xfId="11179"/>
    <cellStyle name="Normal 2 16 3 3 3 2" xfId="30857"/>
    <cellStyle name="Normal 2 16 3 3 4" xfId="17331"/>
    <cellStyle name="Normal 2 16 3 3 4 2" xfId="37009"/>
    <cellStyle name="Normal 2 16 3 3 5" xfId="24693"/>
    <cellStyle name="Normal 2 16 3 4" xfId="6517"/>
    <cellStyle name="Normal 2 16 3 4 2" xfId="12711"/>
    <cellStyle name="Normal 2 16 3 4 2 2" xfId="32389"/>
    <cellStyle name="Normal 2 16 3 4 3" xfId="18863"/>
    <cellStyle name="Normal 2 16 3 4 3 2" xfId="38541"/>
    <cellStyle name="Normal 2 16 3 4 4" xfId="26225"/>
    <cellStyle name="Normal 2 16 3 5" xfId="9645"/>
    <cellStyle name="Normal 2 16 3 5 2" xfId="29323"/>
    <cellStyle name="Normal 2 16 3 6" xfId="15797"/>
    <cellStyle name="Normal 2 16 3 6 2" xfId="35475"/>
    <cellStyle name="Normal 2 16 3 7" xfId="23096"/>
    <cellStyle name="Normal 2 17" xfId="291"/>
    <cellStyle name="Normal 2 17 2" xfId="3735"/>
    <cellStyle name="Normal 2 17 3" xfId="2595"/>
    <cellStyle name="Normal 2 17 3 2" xfId="4111"/>
    <cellStyle name="Normal 2 17 3 2 2" xfId="5736"/>
    <cellStyle name="Normal 2 17 3 2 2 2" xfId="8822"/>
    <cellStyle name="Normal 2 17 3 2 2 2 2" xfId="15015"/>
    <cellStyle name="Normal 2 17 3 2 2 2 2 2" xfId="34693"/>
    <cellStyle name="Normal 2 17 3 2 2 2 3" xfId="21167"/>
    <cellStyle name="Normal 2 17 3 2 2 2 3 2" xfId="40845"/>
    <cellStyle name="Normal 2 17 3 2 2 2 4" xfId="28529"/>
    <cellStyle name="Normal 2 17 3 2 2 3" xfId="11949"/>
    <cellStyle name="Normal 2 17 3 2 2 3 2" xfId="31627"/>
    <cellStyle name="Normal 2 17 3 2 2 4" xfId="18101"/>
    <cellStyle name="Normal 2 17 3 2 2 4 2" xfId="37779"/>
    <cellStyle name="Normal 2 17 3 2 2 5" xfId="25463"/>
    <cellStyle name="Normal 2 17 3 2 3" xfId="7287"/>
    <cellStyle name="Normal 2 17 3 2 3 2" xfId="13481"/>
    <cellStyle name="Normal 2 17 3 2 3 2 2" xfId="33159"/>
    <cellStyle name="Normal 2 17 3 2 3 3" xfId="19633"/>
    <cellStyle name="Normal 2 17 3 2 3 3 2" xfId="39311"/>
    <cellStyle name="Normal 2 17 3 2 3 4" xfId="26995"/>
    <cellStyle name="Normal 2 17 3 2 4" xfId="10415"/>
    <cellStyle name="Normal 2 17 3 2 4 2" xfId="30093"/>
    <cellStyle name="Normal 2 17 3 2 5" xfId="16567"/>
    <cellStyle name="Normal 2 17 3 2 5 2" xfId="36245"/>
    <cellStyle name="Normal 2 17 3 2 6" xfId="23929"/>
    <cellStyle name="Normal 2 17 3 3" xfId="4953"/>
    <cellStyle name="Normal 2 17 3 3 2" xfId="8053"/>
    <cellStyle name="Normal 2 17 3 3 2 2" xfId="14246"/>
    <cellStyle name="Normal 2 17 3 3 2 2 2" xfId="33924"/>
    <cellStyle name="Normal 2 17 3 3 2 3" xfId="20398"/>
    <cellStyle name="Normal 2 17 3 3 2 3 2" xfId="40076"/>
    <cellStyle name="Normal 2 17 3 3 2 4" xfId="27760"/>
    <cellStyle name="Normal 2 17 3 3 3" xfId="11180"/>
    <cellStyle name="Normal 2 17 3 3 3 2" xfId="30858"/>
    <cellStyle name="Normal 2 17 3 3 4" xfId="17332"/>
    <cellStyle name="Normal 2 17 3 3 4 2" xfId="37010"/>
    <cellStyle name="Normal 2 17 3 3 5" xfId="24694"/>
    <cellStyle name="Normal 2 17 3 4" xfId="6518"/>
    <cellStyle name="Normal 2 17 3 4 2" xfId="12712"/>
    <cellStyle name="Normal 2 17 3 4 2 2" xfId="32390"/>
    <cellStyle name="Normal 2 17 3 4 3" xfId="18864"/>
    <cellStyle name="Normal 2 17 3 4 3 2" xfId="38542"/>
    <cellStyle name="Normal 2 17 3 4 4" xfId="26226"/>
    <cellStyle name="Normal 2 17 3 5" xfId="9646"/>
    <cellStyle name="Normal 2 17 3 5 2" xfId="29324"/>
    <cellStyle name="Normal 2 17 3 6" xfId="15798"/>
    <cellStyle name="Normal 2 17 3 6 2" xfId="35476"/>
    <cellStyle name="Normal 2 17 3 7" xfId="23097"/>
    <cellStyle name="Normal 2 18" xfId="292"/>
    <cellStyle name="Normal 2 18 2" xfId="3736"/>
    <cellStyle name="Normal 2 18 3" xfId="2596"/>
    <cellStyle name="Normal 2 18 3 2" xfId="4112"/>
    <cellStyle name="Normal 2 18 3 2 2" xfId="5737"/>
    <cellStyle name="Normal 2 18 3 2 2 2" xfId="8823"/>
    <cellStyle name="Normal 2 18 3 2 2 2 2" xfId="15016"/>
    <cellStyle name="Normal 2 18 3 2 2 2 2 2" xfId="34694"/>
    <cellStyle name="Normal 2 18 3 2 2 2 3" xfId="21168"/>
    <cellStyle name="Normal 2 18 3 2 2 2 3 2" xfId="40846"/>
    <cellStyle name="Normal 2 18 3 2 2 2 4" xfId="28530"/>
    <cellStyle name="Normal 2 18 3 2 2 3" xfId="11950"/>
    <cellStyle name="Normal 2 18 3 2 2 3 2" xfId="31628"/>
    <cellStyle name="Normal 2 18 3 2 2 4" xfId="18102"/>
    <cellStyle name="Normal 2 18 3 2 2 4 2" xfId="37780"/>
    <cellStyle name="Normal 2 18 3 2 2 5" xfId="25464"/>
    <cellStyle name="Normal 2 18 3 2 3" xfId="7288"/>
    <cellStyle name="Normal 2 18 3 2 3 2" xfId="13482"/>
    <cellStyle name="Normal 2 18 3 2 3 2 2" xfId="33160"/>
    <cellStyle name="Normal 2 18 3 2 3 3" xfId="19634"/>
    <cellStyle name="Normal 2 18 3 2 3 3 2" xfId="39312"/>
    <cellStyle name="Normal 2 18 3 2 3 4" xfId="26996"/>
    <cellStyle name="Normal 2 18 3 2 4" xfId="10416"/>
    <cellStyle name="Normal 2 18 3 2 4 2" xfId="30094"/>
    <cellStyle name="Normal 2 18 3 2 5" xfId="16568"/>
    <cellStyle name="Normal 2 18 3 2 5 2" xfId="36246"/>
    <cellStyle name="Normal 2 18 3 2 6" xfId="23930"/>
    <cellStyle name="Normal 2 18 3 3" xfId="4954"/>
    <cellStyle name="Normal 2 18 3 3 2" xfId="8054"/>
    <cellStyle name="Normal 2 18 3 3 2 2" xfId="14247"/>
    <cellStyle name="Normal 2 18 3 3 2 2 2" xfId="33925"/>
    <cellStyle name="Normal 2 18 3 3 2 3" xfId="20399"/>
    <cellStyle name="Normal 2 18 3 3 2 3 2" xfId="40077"/>
    <cellStyle name="Normal 2 18 3 3 2 4" xfId="27761"/>
    <cellStyle name="Normal 2 18 3 3 3" xfId="11181"/>
    <cellStyle name="Normal 2 18 3 3 3 2" xfId="30859"/>
    <cellStyle name="Normal 2 18 3 3 4" xfId="17333"/>
    <cellStyle name="Normal 2 18 3 3 4 2" xfId="37011"/>
    <cellStyle name="Normal 2 18 3 3 5" xfId="24695"/>
    <cellStyle name="Normal 2 18 3 4" xfId="6519"/>
    <cellStyle name="Normal 2 18 3 4 2" xfId="12713"/>
    <cellStyle name="Normal 2 18 3 4 2 2" xfId="32391"/>
    <cellStyle name="Normal 2 18 3 4 3" xfId="18865"/>
    <cellStyle name="Normal 2 18 3 4 3 2" xfId="38543"/>
    <cellStyle name="Normal 2 18 3 4 4" xfId="26227"/>
    <cellStyle name="Normal 2 18 3 5" xfId="9647"/>
    <cellStyle name="Normal 2 18 3 5 2" xfId="29325"/>
    <cellStyle name="Normal 2 18 3 6" xfId="15799"/>
    <cellStyle name="Normal 2 18 3 6 2" xfId="35477"/>
    <cellStyle name="Normal 2 18 3 7" xfId="23098"/>
    <cellStyle name="Normal 2 19" xfId="293"/>
    <cellStyle name="Normal 2 19 2" xfId="3737"/>
    <cellStyle name="Normal 2 19 3" xfId="2597"/>
    <cellStyle name="Normal 2 19 3 2" xfId="4113"/>
    <cellStyle name="Normal 2 19 3 2 2" xfId="5738"/>
    <cellStyle name="Normal 2 19 3 2 2 2" xfId="8824"/>
    <cellStyle name="Normal 2 19 3 2 2 2 2" xfId="15017"/>
    <cellStyle name="Normal 2 19 3 2 2 2 2 2" xfId="34695"/>
    <cellStyle name="Normal 2 19 3 2 2 2 3" xfId="21169"/>
    <cellStyle name="Normal 2 19 3 2 2 2 3 2" xfId="40847"/>
    <cellStyle name="Normal 2 19 3 2 2 2 4" xfId="28531"/>
    <cellStyle name="Normal 2 19 3 2 2 3" xfId="11951"/>
    <cellStyle name="Normal 2 19 3 2 2 3 2" xfId="31629"/>
    <cellStyle name="Normal 2 19 3 2 2 4" xfId="18103"/>
    <cellStyle name="Normal 2 19 3 2 2 4 2" xfId="37781"/>
    <cellStyle name="Normal 2 19 3 2 2 5" xfId="25465"/>
    <cellStyle name="Normal 2 19 3 2 3" xfId="7289"/>
    <cellStyle name="Normal 2 19 3 2 3 2" xfId="13483"/>
    <cellStyle name="Normal 2 19 3 2 3 2 2" xfId="33161"/>
    <cellStyle name="Normal 2 19 3 2 3 3" xfId="19635"/>
    <cellStyle name="Normal 2 19 3 2 3 3 2" xfId="39313"/>
    <cellStyle name="Normal 2 19 3 2 3 4" xfId="26997"/>
    <cellStyle name="Normal 2 19 3 2 4" xfId="10417"/>
    <cellStyle name="Normal 2 19 3 2 4 2" xfId="30095"/>
    <cellStyle name="Normal 2 19 3 2 5" xfId="16569"/>
    <cellStyle name="Normal 2 19 3 2 5 2" xfId="36247"/>
    <cellStyle name="Normal 2 19 3 2 6" xfId="23931"/>
    <cellStyle name="Normal 2 19 3 3" xfId="4955"/>
    <cellStyle name="Normal 2 19 3 3 2" xfId="8055"/>
    <cellStyle name="Normal 2 19 3 3 2 2" xfId="14248"/>
    <cellStyle name="Normal 2 19 3 3 2 2 2" xfId="33926"/>
    <cellStyle name="Normal 2 19 3 3 2 3" xfId="20400"/>
    <cellStyle name="Normal 2 19 3 3 2 3 2" xfId="40078"/>
    <cellStyle name="Normal 2 19 3 3 2 4" xfId="27762"/>
    <cellStyle name="Normal 2 19 3 3 3" xfId="11182"/>
    <cellStyle name="Normal 2 19 3 3 3 2" xfId="30860"/>
    <cellStyle name="Normal 2 19 3 3 4" xfId="17334"/>
    <cellStyle name="Normal 2 19 3 3 4 2" xfId="37012"/>
    <cellStyle name="Normal 2 19 3 3 5" xfId="24696"/>
    <cellStyle name="Normal 2 19 3 4" xfId="6520"/>
    <cellStyle name="Normal 2 19 3 4 2" xfId="12714"/>
    <cellStyle name="Normal 2 19 3 4 2 2" xfId="32392"/>
    <cellStyle name="Normal 2 19 3 4 3" xfId="18866"/>
    <cellStyle name="Normal 2 19 3 4 3 2" xfId="38544"/>
    <cellStyle name="Normal 2 19 3 4 4" xfId="26228"/>
    <cellStyle name="Normal 2 19 3 5" xfId="9648"/>
    <cellStyle name="Normal 2 19 3 5 2" xfId="29326"/>
    <cellStyle name="Normal 2 19 3 6" xfId="15800"/>
    <cellStyle name="Normal 2 19 3 6 2" xfId="35478"/>
    <cellStyle name="Normal 2 19 3 7" xfId="23099"/>
    <cellStyle name="Normal 2 2" xfId="11"/>
    <cellStyle name="Normal 2 2 10" xfId="2598"/>
    <cellStyle name="Normal 2 2 10 2" xfId="4114"/>
    <cellStyle name="Normal 2 2 10 2 2" xfId="5739"/>
    <cellStyle name="Normal 2 2 10 2 2 2" xfId="8825"/>
    <cellStyle name="Normal 2 2 10 2 2 2 2" xfId="15018"/>
    <cellStyle name="Normal 2 2 10 2 2 2 2 2" xfId="34696"/>
    <cellStyle name="Normal 2 2 10 2 2 2 3" xfId="21170"/>
    <cellStyle name="Normal 2 2 10 2 2 2 3 2" xfId="40848"/>
    <cellStyle name="Normal 2 2 10 2 2 2 4" xfId="28532"/>
    <cellStyle name="Normal 2 2 10 2 2 3" xfId="11952"/>
    <cellStyle name="Normal 2 2 10 2 2 3 2" xfId="31630"/>
    <cellStyle name="Normal 2 2 10 2 2 4" xfId="18104"/>
    <cellStyle name="Normal 2 2 10 2 2 4 2" xfId="37782"/>
    <cellStyle name="Normal 2 2 10 2 2 5" xfId="25466"/>
    <cellStyle name="Normal 2 2 10 2 3" xfId="7290"/>
    <cellStyle name="Normal 2 2 10 2 3 2" xfId="13484"/>
    <cellStyle name="Normal 2 2 10 2 3 2 2" xfId="33162"/>
    <cellStyle name="Normal 2 2 10 2 3 3" xfId="19636"/>
    <cellStyle name="Normal 2 2 10 2 3 3 2" xfId="39314"/>
    <cellStyle name="Normal 2 2 10 2 3 4" xfId="26998"/>
    <cellStyle name="Normal 2 2 10 2 4" xfId="10418"/>
    <cellStyle name="Normal 2 2 10 2 4 2" xfId="30096"/>
    <cellStyle name="Normal 2 2 10 2 5" xfId="16570"/>
    <cellStyle name="Normal 2 2 10 2 5 2" xfId="36248"/>
    <cellStyle name="Normal 2 2 10 2 6" xfId="23932"/>
    <cellStyle name="Normal 2 2 10 3" xfId="4956"/>
    <cellStyle name="Normal 2 2 10 3 2" xfId="8056"/>
    <cellStyle name="Normal 2 2 10 3 2 2" xfId="14249"/>
    <cellStyle name="Normal 2 2 10 3 2 2 2" xfId="33927"/>
    <cellStyle name="Normal 2 2 10 3 2 3" xfId="20401"/>
    <cellStyle name="Normal 2 2 10 3 2 3 2" xfId="40079"/>
    <cellStyle name="Normal 2 2 10 3 2 4" xfId="27763"/>
    <cellStyle name="Normal 2 2 10 3 3" xfId="11183"/>
    <cellStyle name="Normal 2 2 10 3 3 2" xfId="30861"/>
    <cellStyle name="Normal 2 2 10 3 4" xfId="17335"/>
    <cellStyle name="Normal 2 2 10 3 4 2" xfId="37013"/>
    <cellStyle name="Normal 2 2 10 3 5" xfId="24697"/>
    <cellStyle name="Normal 2 2 10 4" xfId="6521"/>
    <cellStyle name="Normal 2 2 10 4 2" xfId="12715"/>
    <cellStyle name="Normal 2 2 10 4 2 2" xfId="32393"/>
    <cellStyle name="Normal 2 2 10 4 3" xfId="18867"/>
    <cellStyle name="Normal 2 2 10 4 3 2" xfId="38545"/>
    <cellStyle name="Normal 2 2 10 4 4" xfId="26229"/>
    <cellStyle name="Normal 2 2 10 5" xfId="9649"/>
    <cellStyle name="Normal 2 2 10 5 2" xfId="29327"/>
    <cellStyle name="Normal 2 2 10 6" xfId="15801"/>
    <cellStyle name="Normal 2 2 10 6 2" xfId="35479"/>
    <cellStyle name="Normal 2 2 10 7" xfId="23100"/>
    <cellStyle name="Normal 2 2 10 8" xfId="21878"/>
    <cellStyle name="Normal 2 2 11" xfId="2599"/>
    <cellStyle name="Normal 2 2 11 2" xfId="4115"/>
    <cellStyle name="Normal 2 2 11 2 2" xfId="5740"/>
    <cellStyle name="Normal 2 2 11 2 2 2" xfId="8826"/>
    <cellStyle name="Normal 2 2 11 2 2 2 2" xfId="15019"/>
    <cellStyle name="Normal 2 2 11 2 2 2 2 2" xfId="34697"/>
    <cellStyle name="Normal 2 2 11 2 2 2 3" xfId="21171"/>
    <cellStyle name="Normal 2 2 11 2 2 2 3 2" xfId="40849"/>
    <cellStyle name="Normal 2 2 11 2 2 2 4" xfId="28533"/>
    <cellStyle name="Normal 2 2 11 2 2 3" xfId="11953"/>
    <cellStyle name="Normal 2 2 11 2 2 3 2" xfId="31631"/>
    <cellStyle name="Normal 2 2 11 2 2 4" xfId="18105"/>
    <cellStyle name="Normal 2 2 11 2 2 4 2" xfId="37783"/>
    <cellStyle name="Normal 2 2 11 2 2 5" xfId="25467"/>
    <cellStyle name="Normal 2 2 11 2 3" xfId="7291"/>
    <cellStyle name="Normal 2 2 11 2 3 2" xfId="13485"/>
    <cellStyle name="Normal 2 2 11 2 3 2 2" xfId="33163"/>
    <cellStyle name="Normal 2 2 11 2 3 3" xfId="19637"/>
    <cellStyle name="Normal 2 2 11 2 3 3 2" xfId="39315"/>
    <cellStyle name="Normal 2 2 11 2 3 4" xfId="26999"/>
    <cellStyle name="Normal 2 2 11 2 4" xfId="10419"/>
    <cellStyle name="Normal 2 2 11 2 4 2" xfId="30097"/>
    <cellStyle name="Normal 2 2 11 2 5" xfId="16571"/>
    <cellStyle name="Normal 2 2 11 2 5 2" xfId="36249"/>
    <cellStyle name="Normal 2 2 11 2 6" xfId="23933"/>
    <cellStyle name="Normal 2 2 11 3" xfId="4957"/>
    <cellStyle name="Normal 2 2 11 3 2" xfId="8057"/>
    <cellStyle name="Normal 2 2 11 3 2 2" xfId="14250"/>
    <cellStyle name="Normal 2 2 11 3 2 2 2" xfId="33928"/>
    <cellStyle name="Normal 2 2 11 3 2 3" xfId="20402"/>
    <cellStyle name="Normal 2 2 11 3 2 3 2" xfId="40080"/>
    <cellStyle name="Normal 2 2 11 3 2 4" xfId="27764"/>
    <cellStyle name="Normal 2 2 11 3 3" xfId="11184"/>
    <cellStyle name="Normal 2 2 11 3 3 2" xfId="30862"/>
    <cellStyle name="Normal 2 2 11 3 4" xfId="17336"/>
    <cellStyle name="Normal 2 2 11 3 4 2" xfId="37014"/>
    <cellStyle name="Normal 2 2 11 3 5" xfId="24698"/>
    <cellStyle name="Normal 2 2 11 4" xfId="6522"/>
    <cellStyle name="Normal 2 2 11 4 2" xfId="12716"/>
    <cellStyle name="Normal 2 2 11 4 2 2" xfId="32394"/>
    <cellStyle name="Normal 2 2 11 4 3" xfId="18868"/>
    <cellStyle name="Normal 2 2 11 4 3 2" xfId="38546"/>
    <cellStyle name="Normal 2 2 11 4 4" xfId="26230"/>
    <cellStyle name="Normal 2 2 11 5" xfId="9650"/>
    <cellStyle name="Normal 2 2 11 5 2" xfId="29328"/>
    <cellStyle name="Normal 2 2 11 6" xfId="15802"/>
    <cellStyle name="Normal 2 2 11 6 2" xfId="35480"/>
    <cellStyle name="Normal 2 2 11 7" xfId="23101"/>
    <cellStyle name="Normal 2 2 11 8" xfId="21898"/>
    <cellStyle name="Normal 2 2 12" xfId="2600"/>
    <cellStyle name="Normal 2 2 12 2" xfId="4116"/>
    <cellStyle name="Normal 2 2 12 2 2" xfId="5741"/>
    <cellStyle name="Normal 2 2 12 2 2 2" xfId="8827"/>
    <cellStyle name="Normal 2 2 12 2 2 2 2" xfId="15020"/>
    <cellStyle name="Normal 2 2 12 2 2 2 2 2" xfId="34698"/>
    <cellStyle name="Normal 2 2 12 2 2 2 3" xfId="21172"/>
    <cellStyle name="Normal 2 2 12 2 2 2 3 2" xfId="40850"/>
    <cellStyle name="Normal 2 2 12 2 2 2 4" xfId="28534"/>
    <cellStyle name="Normal 2 2 12 2 2 3" xfId="11954"/>
    <cellStyle name="Normal 2 2 12 2 2 3 2" xfId="31632"/>
    <cellStyle name="Normal 2 2 12 2 2 4" xfId="18106"/>
    <cellStyle name="Normal 2 2 12 2 2 4 2" xfId="37784"/>
    <cellStyle name="Normal 2 2 12 2 2 5" xfId="25468"/>
    <cellStyle name="Normal 2 2 12 2 3" xfId="7292"/>
    <cellStyle name="Normal 2 2 12 2 3 2" xfId="13486"/>
    <cellStyle name="Normal 2 2 12 2 3 2 2" xfId="33164"/>
    <cellStyle name="Normal 2 2 12 2 3 3" xfId="19638"/>
    <cellStyle name="Normal 2 2 12 2 3 3 2" xfId="39316"/>
    <cellStyle name="Normal 2 2 12 2 3 4" xfId="27000"/>
    <cellStyle name="Normal 2 2 12 2 4" xfId="10420"/>
    <cellStyle name="Normal 2 2 12 2 4 2" xfId="30098"/>
    <cellStyle name="Normal 2 2 12 2 5" xfId="16572"/>
    <cellStyle name="Normal 2 2 12 2 5 2" xfId="36250"/>
    <cellStyle name="Normal 2 2 12 2 6" xfId="23934"/>
    <cellStyle name="Normal 2 2 12 3" xfId="4958"/>
    <cellStyle name="Normal 2 2 12 3 2" xfId="8058"/>
    <cellStyle name="Normal 2 2 12 3 2 2" xfId="14251"/>
    <cellStyle name="Normal 2 2 12 3 2 2 2" xfId="33929"/>
    <cellStyle name="Normal 2 2 12 3 2 3" xfId="20403"/>
    <cellStyle name="Normal 2 2 12 3 2 3 2" xfId="40081"/>
    <cellStyle name="Normal 2 2 12 3 2 4" xfId="27765"/>
    <cellStyle name="Normal 2 2 12 3 3" xfId="11185"/>
    <cellStyle name="Normal 2 2 12 3 3 2" xfId="30863"/>
    <cellStyle name="Normal 2 2 12 3 4" xfId="17337"/>
    <cellStyle name="Normal 2 2 12 3 4 2" xfId="37015"/>
    <cellStyle name="Normal 2 2 12 3 5" xfId="24699"/>
    <cellStyle name="Normal 2 2 12 4" xfId="6523"/>
    <cellStyle name="Normal 2 2 12 4 2" xfId="12717"/>
    <cellStyle name="Normal 2 2 12 4 2 2" xfId="32395"/>
    <cellStyle name="Normal 2 2 12 4 3" xfId="18869"/>
    <cellStyle name="Normal 2 2 12 4 3 2" xfId="38547"/>
    <cellStyle name="Normal 2 2 12 4 4" xfId="26231"/>
    <cellStyle name="Normal 2 2 12 5" xfId="9651"/>
    <cellStyle name="Normal 2 2 12 5 2" xfId="29329"/>
    <cellStyle name="Normal 2 2 12 6" xfId="15803"/>
    <cellStyle name="Normal 2 2 12 6 2" xfId="35481"/>
    <cellStyle name="Normal 2 2 12 7" xfId="23102"/>
    <cellStyle name="Normal 2 2 12 8" xfId="21866"/>
    <cellStyle name="Normal 2 2 13" xfId="2601"/>
    <cellStyle name="Normal 2 2 13 2" xfId="4117"/>
    <cellStyle name="Normal 2 2 13 2 2" xfId="5742"/>
    <cellStyle name="Normal 2 2 13 2 2 2" xfId="8828"/>
    <cellStyle name="Normal 2 2 13 2 2 2 2" xfId="15021"/>
    <cellStyle name="Normal 2 2 13 2 2 2 2 2" xfId="34699"/>
    <cellStyle name="Normal 2 2 13 2 2 2 3" xfId="21173"/>
    <cellStyle name="Normal 2 2 13 2 2 2 3 2" xfId="40851"/>
    <cellStyle name="Normal 2 2 13 2 2 2 4" xfId="28535"/>
    <cellStyle name="Normal 2 2 13 2 2 3" xfId="11955"/>
    <cellStyle name="Normal 2 2 13 2 2 3 2" xfId="31633"/>
    <cellStyle name="Normal 2 2 13 2 2 4" xfId="18107"/>
    <cellStyle name="Normal 2 2 13 2 2 4 2" xfId="37785"/>
    <cellStyle name="Normal 2 2 13 2 2 5" xfId="25469"/>
    <cellStyle name="Normal 2 2 13 2 3" xfId="7293"/>
    <cellStyle name="Normal 2 2 13 2 3 2" xfId="13487"/>
    <cellStyle name="Normal 2 2 13 2 3 2 2" xfId="33165"/>
    <cellStyle name="Normal 2 2 13 2 3 3" xfId="19639"/>
    <cellStyle name="Normal 2 2 13 2 3 3 2" xfId="39317"/>
    <cellStyle name="Normal 2 2 13 2 3 4" xfId="27001"/>
    <cellStyle name="Normal 2 2 13 2 4" xfId="10421"/>
    <cellStyle name="Normal 2 2 13 2 4 2" xfId="30099"/>
    <cellStyle name="Normal 2 2 13 2 5" xfId="16573"/>
    <cellStyle name="Normal 2 2 13 2 5 2" xfId="36251"/>
    <cellStyle name="Normal 2 2 13 2 6" xfId="23935"/>
    <cellStyle name="Normal 2 2 13 3" xfId="4959"/>
    <cellStyle name="Normal 2 2 13 3 2" xfId="8059"/>
    <cellStyle name="Normal 2 2 13 3 2 2" xfId="14252"/>
    <cellStyle name="Normal 2 2 13 3 2 2 2" xfId="33930"/>
    <cellStyle name="Normal 2 2 13 3 2 3" xfId="20404"/>
    <cellStyle name="Normal 2 2 13 3 2 3 2" xfId="40082"/>
    <cellStyle name="Normal 2 2 13 3 2 4" xfId="27766"/>
    <cellStyle name="Normal 2 2 13 3 3" xfId="11186"/>
    <cellStyle name="Normal 2 2 13 3 3 2" xfId="30864"/>
    <cellStyle name="Normal 2 2 13 3 4" xfId="17338"/>
    <cellStyle name="Normal 2 2 13 3 4 2" xfId="37016"/>
    <cellStyle name="Normal 2 2 13 3 5" xfId="24700"/>
    <cellStyle name="Normal 2 2 13 4" xfId="6524"/>
    <cellStyle name="Normal 2 2 13 4 2" xfId="12718"/>
    <cellStyle name="Normal 2 2 13 4 2 2" xfId="32396"/>
    <cellStyle name="Normal 2 2 13 4 3" xfId="18870"/>
    <cellStyle name="Normal 2 2 13 4 3 2" xfId="38548"/>
    <cellStyle name="Normal 2 2 13 4 4" xfId="26232"/>
    <cellStyle name="Normal 2 2 13 5" xfId="9652"/>
    <cellStyle name="Normal 2 2 13 5 2" xfId="29330"/>
    <cellStyle name="Normal 2 2 13 6" xfId="15804"/>
    <cellStyle name="Normal 2 2 13 6 2" xfId="35482"/>
    <cellStyle name="Normal 2 2 13 7" xfId="23103"/>
    <cellStyle name="Normal 2 2 13 8" xfId="21900"/>
    <cellStyle name="Normal 2 2 14" xfId="2602"/>
    <cellStyle name="Normal 2 2 14 2" xfId="4118"/>
    <cellStyle name="Normal 2 2 14 2 2" xfId="5743"/>
    <cellStyle name="Normal 2 2 14 2 2 2" xfId="8829"/>
    <cellStyle name="Normal 2 2 14 2 2 2 2" xfId="15022"/>
    <cellStyle name="Normal 2 2 14 2 2 2 2 2" xfId="34700"/>
    <cellStyle name="Normal 2 2 14 2 2 2 3" xfId="21174"/>
    <cellStyle name="Normal 2 2 14 2 2 2 3 2" xfId="40852"/>
    <cellStyle name="Normal 2 2 14 2 2 2 4" xfId="28536"/>
    <cellStyle name="Normal 2 2 14 2 2 3" xfId="11956"/>
    <cellStyle name="Normal 2 2 14 2 2 3 2" xfId="31634"/>
    <cellStyle name="Normal 2 2 14 2 2 4" xfId="18108"/>
    <cellStyle name="Normal 2 2 14 2 2 4 2" xfId="37786"/>
    <cellStyle name="Normal 2 2 14 2 2 5" xfId="25470"/>
    <cellStyle name="Normal 2 2 14 2 3" xfId="7294"/>
    <cellStyle name="Normal 2 2 14 2 3 2" xfId="13488"/>
    <cellStyle name="Normal 2 2 14 2 3 2 2" xfId="33166"/>
    <cellStyle name="Normal 2 2 14 2 3 3" xfId="19640"/>
    <cellStyle name="Normal 2 2 14 2 3 3 2" xfId="39318"/>
    <cellStyle name="Normal 2 2 14 2 3 4" xfId="27002"/>
    <cellStyle name="Normal 2 2 14 2 4" xfId="10422"/>
    <cellStyle name="Normal 2 2 14 2 4 2" xfId="30100"/>
    <cellStyle name="Normal 2 2 14 2 5" xfId="16574"/>
    <cellStyle name="Normal 2 2 14 2 5 2" xfId="36252"/>
    <cellStyle name="Normal 2 2 14 2 6" xfId="23936"/>
    <cellStyle name="Normal 2 2 14 3" xfId="4960"/>
    <cellStyle name="Normal 2 2 14 3 2" xfId="8060"/>
    <cellStyle name="Normal 2 2 14 3 2 2" xfId="14253"/>
    <cellStyle name="Normal 2 2 14 3 2 2 2" xfId="33931"/>
    <cellStyle name="Normal 2 2 14 3 2 3" xfId="20405"/>
    <cellStyle name="Normal 2 2 14 3 2 3 2" xfId="40083"/>
    <cellStyle name="Normal 2 2 14 3 2 4" xfId="27767"/>
    <cellStyle name="Normal 2 2 14 3 3" xfId="11187"/>
    <cellStyle name="Normal 2 2 14 3 3 2" xfId="30865"/>
    <cellStyle name="Normal 2 2 14 3 4" xfId="17339"/>
    <cellStyle name="Normal 2 2 14 3 4 2" xfId="37017"/>
    <cellStyle name="Normal 2 2 14 3 5" xfId="24701"/>
    <cellStyle name="Normal 2 2 14 4" xfId="6525"/>
    <cellStyle name="Normal 2 2 14 4 2" xfId="12719"/>
    <cellStyle name="Normal 2 2 14 4 2 2" xfId="32397"/>
    <cellStyle name="Normal 2 2 14 4 3" xfId="18871"/>
    <cellStyle name="Normal 2 2 14 4 3 2" xfId="38549"/>
    <cellStyle name="Normal 2 2 14 4 4" xfId="26233"/>
    <cellStyle name="Normal 2 2 14 5" xfId="9653"/>
    <cellStyle name="Normal 2 2 14 5 2" xfId="29331"/>
    <cellStyle name="Normal 2 2 14 6" xfId="15805"/>
    <cellStyle name="Normal 2 2 14 6 2" xfId="35483"/>
    <cellStyle name="Normal 2 2 14 7" xfId="23104"/>
    <cellStyle name="Normal 2 2 14 8" xfId="21913"/>
    <cellStyle name="Normal 2 2 15" xfId="2603"/>
    <cellStyle name="Normal 2 2 15 2" xfId="4119"/>
    <cellStyle name="Normal 2 2 15 2 2" xfId="5744"/>
    <cellStyle name="Normal 2 2 15 2 2 2" xfId="8830"/>
    <cellStyle name="Normal 2 2 15 2 2 2 2" xfId="15023"/>
    <cellStyle name="Normal 2 2 15 2 2 2 2 2" xfId="34701"/>
    <cellStyle name="Normal 2 2 15 2 2 2 3" xfId="21175"/>
    <cellStyle name="Normal 2 2 15 2 2 2 3 2" xfId="40853"/>
    <cellStyle name="Normal 2 2 15 2 2 2 4" xfId="28537"/>
    <cellStyle name="Normal 2 2 15 2 2 3" xfId="11957"/>
    <cellStyle name="Normal 2 2 15 2 2 3 2" xfId="31635"/>
    <cellStyle name="Normal 2 2 15 2 2 4" xfId="18109"/>
    <cellStyle name="Normal 2 2 15 2 2 4 2" xfId="37787"/>
    <cellStyle name="Normal 2 2 15 2 2 5" xfId="25471"/>
    <cellStyle name="Normal 2 2 15 2 3" xfId="7295"/>
    <cellStyle name="Normal 2 2 15 2 3 2" xfId="13489"/>
    <cellStyle name="Normal 2 2 15 2 3 2 2" xfId="33167"/>
    <cellStyle name="Normal 2 2 15 2 3 3" xfId="19641"/>
    <cellStyle name="Normal 2 2 15 2 3 3 2" xfId="39319"/>
    <cellStyle name="Normal 2 2 15 2 3 4" xfId="27003"/>
    <cellStyle name="Normal 2 2 15 2 4" xfId="10423"/>
    <cellStyle name="Normal 2 2 15 2 4 2" xfId="30101"/>
    <cellStyle name="Normal 2 2 15 2 5" xfId="16575"/>
    <cellStyle name="Normal 2 2 15 2 5 2" xfId="36253"/>
    <cellStyle name="Normal 2 2 15 2 6" xfId="23937"/>
    <cellStyle name="Normal 2 2 15 3" xfId="4961"/>
    <cellStyle name="Normal 2 2 15 3 2" xfId="8061"/>
    <cellStyle name="Normal 2 2 15 3 2 2" xfId="14254"/>
    <cellStyle name="Normal 2 2 15 3 2 2 2" xfId="33932"/>
    <cellStyle name="Normal 2 2 15 3 2 3" xfId="20406"/>
    <cellStyle name="Normal 2 2 15 3 2 3 2" xfId="40084"/>
    <cellStyle name="Normal 2 2 15 3 2 4" xfId="27768"/>
    <cellStyle name="Normal 2 2 15 3 3" xfId="11188"/>
    <cellStyle name="Normal 2 2 15 3 3 2" xfId="30866"/>
    <cellStyle name="Normal 2 2 15 3 4" xfId="17340"/>
    <cellStyle name="Normal 2 2 15 3 4 2" xfId="37018"/>
    <cellStyle name="Normal 2 2 15 3 5" xfId="24702"/>
    <cellStyle name="Normal 2 2 15 4" xfId="6526"/>
    <cellStyle name="Normal 2 2 15 4 2" xfId="12720"/>
    <cellStyle name="Normal 2 2 15 4 2 2" xfId="32398"/>
    <cellStyle name="Normal 2 2 15 4 3" xfId="18872"/>
    <cellStyle name="Normal 2 2 15 4 3 2" xfId="38550"/>
    <cellStyle name="Normal 2 2 15 4 4" xfId="26234"/>
    <cellStyle name="Normal 2 2 15 5" xfId="9654"/>
    <cellStyle name="Normal 2 2 15 5 2" xfId="29332"/>
    <cellStyle name="Normal 2 2 15 6" xfId="15806"/>
    <cellStyle name="Normal 2 2 15 6 2" xfId="35484"/>
    <cellStyle name="Normal 2 2 15 7" xfId="23105"/>
    <cellStyle name="Normal 2 2 15 8" xfId="21970"/>
    <cellStyle name="Normal 2 2 16" xfId="2604"/>
    <cellStyle name="Normal 2 2 16 2" xfId="4120"/>
    <cellStyle name="Normal 2 2 16 2 2" xfId="5745"/>
    <cellStyle name="Normal 2 2 16 2 2 2" xfId="8831"/>
    <cellStyle name="Normal 2 2 16 2 2 2 2" xfId="15024"/>
    <cellStyle name="Normal 2 2 16 2 2 2 2 2" xfId="34702"/>
    <cellStyle name="Normal 2 2 16 2 2 2 3" xfId="21176"/>
    <cellStyle name="Normal 2 2 16 2 2 2 3 2" xfId="40854"/>
    <cellStyle name="Normal 2 2 16 2 2 2 4" xfId="28538"/>
    <cellStyle name="Normal 2 2 16 2 2 3" xfId="11958"/>
    <cellStyle name="Normal 2 2 16 2 2 3 2" xfId="31636"/>
    <cellStyle name="Normal 2 2 16 2 2 4" xfId="18110"/>
    <cellStyle name="Normal 2 2 16 2 2 4 2" xfId="37788"/>
    <cellStyle name="Normal 2 2 16 2 2 5" xfId="25472"/>
    <cellStyle name="Normal 2 2 16 2 3" xfId="7296"/>
    <cellStyle name="Normal 2 2 16 2 3 2" xfId="13490"/>
    <cellStyle name="Normal 2 2 16 2 3 2 2" xfId="33168"/>
    <cellStyle name="Normal 2 2 16 2 3 3" xfId="19642"/>
    <cellStyle name="Normal 2 2 16 2 3 3 2" xfId="39320"/>
    <cellStyle name="Normal 2 2 16 2 3 4" xfId="27004"/>
    <cellStyle name="Normal 2 2 16 2 4" xfId="10424"/>
    <cellStyle name="Normal 2 2 16 2 4 2" xfId="30102"/>
    <cellStyle name="Normal 2 2 16 2 5" xfId="16576"/>
    <cellStyle name="Normal 2 2 16 2 5 2" xfId="36254"/>
    <cellStyle name="Normal 2 2 16 2 6" xfId="23938"/>
    <cellStyle name="Normal 2 2 16 3" xfId="4962"/>
    <cellStyle name="Normal 2 2 16 3 2" xfId="8062"/>
    <cellStyle name="Normal 2 2 16 3 2 2" xfId="14255"/>
    <cellStyle name="Normal 2 2 16 3 2 2 2" xfId="33933"/>
    <cellStyle name="Normal 2 2 16 3 2 3" xfId="20407"/>
    <cellStyle name="Normal 2 2 16 3 2 3 2" xfId="40085"/>
    <cellStyle name="Normal 2 2 16 3 2 4" xfId="27769"/>
    <cellStyle name="Normal 2 2 16 3 3" xfId="11189"/>
    <cellStyle name="Normal 2 2 16 3 3 2" xfId="30867"/>
    <cellStyle name="Normal 2 2 16 3 4" xfId="17341"/>
    <cellStyle name="Normal 2 2 16 3 4 2" xfId="37019"/>
    <cellStyle name="Normal 2 2 16 3 5" xfId="24703"/>
    <cellStyle name="Normal 2 2 16 4" xfId="6527"/>
    <cellStyle name="Normal 2 2 16 4 2" xfId="12721"/>
    <cellStyle name="Normal 2 2 16 4 2 2" xfId="32399"/>
    <cellStyle name="Normal 2 2 16 4 3" xfId="18873"/>
    <cellStyle name="Normal 2 2 16 4 3 2" xfId="38551"/>
    <cellStyle name="Normal 2 2 16 4 4" xfId="26235"/>
    <cellStyle name="Normal 2 2 16 5" xfId="9655"/>
    <cellStyle name="Normal 2 2 16 5 2" xfId="29333"/>
    <cellStyle name="Normal 2 2 16 6" xfId="15807"/>
    <cellStyle name="Normal 2 2 16 6 2" xfId="35485"/>
    <cellStyle name="Normal 2 2 16 7" xfId="23106"/>
    <cellStyle name="Normal 2 2 16 8" xfId="21989"/>
    <cellStyle name="Normal 2 2 17" xfId="2605"/>
    <cellStyle name="Normal 2 2 17 2" xfId="4121"/>
    <cellStyle name="Normal 2 2 17 2 2" xfId="5746"/>
    <cellStyle name="Normal 2 2 17 2 2 2" xfId="8832"/>
    <cellStyle name="Normal 2 2 17 2 2 2 2" xfId="15025"/>
    <cellStyle name="Normal 2 2 17 2 2 2 2 2" xfId="34703"/>
    <cellStyle name="Normal 2 2 17 2 2 2 3" xfId="21177"/>
    <cellStyle name="Normal 2 2 17 2 2 2 3 2" xfId="40855"/>
    <cellStyle name="Normal 2 2 17 2 2 2 4" xfId="28539"/>
    <cellStyle name="Normal 2 2 17 2 2 3" xfId="11959"/>
    <cellStyle name="Normal 2 2 17 2 2 3 2" xfId="31637"/>
    <cellStyle name="Normal 2 2 17 2 2 4" xfId="18111"/>
    <cellStyle name="Normal 2 2 17 2 2 4 2" xfId="37789"/>
    <cellStyle name="Normal 2 2 17 2 2 5" xfId="25473"/>
    <cellStyle name="Normal 2 2 17 2 3" xfId="7297"/>
    <cellStyle name="Normal 2 2 17 2 3 2" xfId="13491"/>
    <cellStyle name="Normal 2 2 17 2 3 2 2" xfId="33169"/>
    <cellStyle name="Normal 2 2 17 2 3 3" xfId="19643"/>
    <cellStyle name="Normal 2 2 17 2 3 3 2" xfId="39321"/>
    <cellStyle name="Normal 2 2 17 2 3 4" xfId="27005"/>
    <cellStyle name="Normal 2 2 17 2 4" xfId="10425"/>
    <cellStyle name="Normal 2 2 17 2 4 2" xfId="30103"/>
    <cellStyle name="Normal 2 2 17 2 5" xfId="16577"/>
    <cellStyle name="Normal 2 2 17 2 5 2" xfId="36255"/>
    <cellStyle name="Normal 2 2 17 2 6" xfId="23939"/>
    <cellStyle name="Normal 2 2 17 3" xfId="4963"/>
    <cellStyle name="Normal 2 2 17 3 2" xfId="8063"/>
    <cellStyle name="Normal 2 2 17 3 2 2" xfId="14256"/>
    <cellStyle name="Normal 2 2 17 3 2 2 2" xfId="33934"/>
    <cellStyle name="Normal 2 2 17 3 2 3" xfId="20408"/>
    <cellStyle name="Normal 2 2 17 3 2 3 2" xfId="40086"/>
    <cellStyle name="Normal 2 2 17 3 2 4" xfId="27770"/>
    <cellStyle name="Normal 2 2 17 3 3" xfId="11190"/>
    <cellStyle name="Normal 2 2 17 3 3 2" xfId="30868"/>
    <cellStyle name="Normal 2 2 17 3 4" xfId="17342"/>
    <cellStyle name="Normal 2 2 17 3 4 2" xfId="37020"/>
    <cellStyle name="Normal 2 2 17 3 5" xfId="24704"/>
    <cellStyle name="Normal 2 2 17 4" xfId="6528"/>
    <cellStyle name="Normal 2 2 17 4 2" xfId="12722"/>
    <cellStyle name="Normal 2 2 17 4 2 2" xfId="32400"/>
    <cellStyle name="Normal 2 2 17 4 3" xfId="18874"/>
    <cellStyle name="Normal 2 2 17 4 3 2" xfId="38552"/>
    <cellStyle name="Normal 2 2 17 4 4" xfId="26236"/>
    <cellStyle name="Normal 2 2 17 5" xfId="9656"/>
    <cellStyle name="Normal 2 2 17 5 2" xfId="29334"/>
    <cellStyle name="Normal 2 2 17 6" xfId="15808"/>
    <cellStyle name="Normal 2 2 17 6 2" xfId="35486"/>
    <cellStyle name="Normal 2 2 17 7" xfId="23107"/>
    <cellStyle name="Normal 2 2 17 8" xfId="22009"/>
    <cellStyle name="Normal 2 2 18" xfId="2606"/>
    <cellStyle name="Normal 2 2 18 2" xfId="4122"/>
    <cellStyle name="Normal 2 2 18 2 2" xfId="5747"/>
    <cellStyle name="Normal 2 2 18 2 2 2" xfId="8833"/>
    <cellStyle name="Normal 2 2 18 2 2 2 2" xfId="15026"/>
    <cellStyle name="Normal 2 2 18 2 2 2 2 2" xfId="34704"/>
    <cellStyle name="Normal 2 2 18 2 2 2 3" xfId="21178"/>
    <cellStyle name="Normal 2 2 18 2 2 2 3 2" xfId="40856"/>
    <cellStyle name="Normal 2 2 18 2 2 2 4" xfId="28540"/>
    <cellStyle name="Normal 2 2 18 2 2 3" xfId="11960"/>
    <cellStyle name="Normal 2 2 18 2 2 3 2" xfId="31638"/>
    <cellStyle name="Normal 2 2 18 2 2 4" xfId="18112"/>
    <cellStyle name="Normal 2 2 18 2 2 4 2" xfId="37790"/>
    <cellStyle name="Normal 2 2 18 2 2 5" xfId="25474"/>
    <cellStyle name="Normal 2 2 18 2 3" xfId="7298"/>
    <cellStyle name="Normal 2 2 18 2 3 2" xfId="13492"/>
    <cellStyle name="Normal 2 2 18 2 3 2 2" xfId="33170"/>
    <cellStyle name="Normal 2 2 18 2 3 3" xfId="19644"/>
    <cellStyle name="Normal 2 2 18 2 3 3 2" xfId="39322"/>
    <cellStyle name="Normal 2 2 18 2 3 4" xfId="27006"/>
    <cellStyle name="Normal 2 2 18 2 4" xfId="10426"/>
    <cellStyle name="Normal 2 2 18 2 4 2" xfId="30104"/>
    <cellStyle name="Normal 2 2 18 2 5" xfId="16578"/>
    <cellStyle name="Normal 2 2 18 2 5 2" xfId="36256"/>
    <cellStyle name="Normal 2 2 18 2 6" xfId="23940"/>
    <cellStyle name="Normal 2 2 18 3" xfId="4964"/>
    <cellStyle name="Normal 2 2 18 3 2" xfId="8064"/>
    <cellStyle name="Normal 2 2 18 3 2 2" xfId="14257"/>
    <cellStyle name="Normal 2 2 18 3 2 2 2" xfId="33935"/>
    <cellStyle name="Normal 2 2 18 3 2 3" xfId="20409"/>
    <cellStyle name="Normal 2 2 18 3 2 3 2" xfId="40087"/>
    <cellStyle name="Normal 2 2 18 3 2 4" xfId="27771"/>
    <cellStyle name="Normal 2 2 18 3 3" xfId="11191"/>
    <cellStyle name="Normal 2 2 18 3 3 2" xfId="30869"/>
    <cellStyle name="Normal 2 2 18 3 4" xfId="17343"/>
    <cellStyle name="Normal 2 2 18 3 4 2" xfId="37021"/>
    <cellStyle name="Normal 2 2 18 3 5" xfId="24705"/>
    <cellStyle name="Normal 2 2 18 4" xfId="6529"/>
    <cellStyle name="Normal 2 2 18 4 2" xfId="12723"/>
    <cellStyle name="Normal 2 2 18 4 2 2" xfId="32401"/>
    <cellStyle name="Normal 2 2 18 4 3" xfId="18875"/>
    <cellStyle name="Normal 2 2 18 4 3 2" xfId="38553"/>
    <cellStyle name="Normal 2 2 18 4 4" xfId="26237"/>
    <cellStyle name="Normal 2 2 18 5" xfId="9657"/>
    <cellStyle name="Normal 2 2 18 5 2" xfId="29335"/>
    <cellStyle name="Normal 2 2 18 6" xfId="15809"/>
    <cellStyle name="Normal 2 2 18 6 2" xfId="35487"/>
    <cellStyle name="Normal 2 2 18 7" xfId="23108"/>
    <cellStyle name="Normal 2 2 18 8" xfId="22042"/>
    <cellStyle name="Normal 2 2 19" xfId="2607"/>
    <cellStyle name="Normal 2 2 19 2" xfId="4123"/>
    <cellStyle name="Normal 2 2 19 2 2" xfId="5748"/>
    <cellStyle name="Normal 2 2 19 2 2 2" xfId="8834"/>
    <cellStyle name="Normal 2 2 19 2 2 2 2" xfId="15027"/>
    <cellStyle name="Normal 2 2 19 2 2 2 2 2" xfId="34705"/>
    <cellStyle name="Normal 2 2 19 2 2 2 3" xfId="21179"/>
    <cellStyle name="Normal 2 2 19 2 2 2 3 2" xfId="40857"/>
    <cellStyle name="Normal 2 2 19 2 2 2 4" xfId="28541"/>
    <cellStyle name="Normal 2 2 19 2 2 3" xfId="11961"/>
    <cellStyle name="Normal 2 2 19 2 2 3 2" xfId="31639"/>
    <cellStyle name="Normal 2 2 19 2 2 4" xfId="18113"/>
    <cellStyle name="Normal 2 2 19 2 2 4 2" xfId="37791"/>
    <cellStyle name="Normal 2 2 19 2 2 5" xfId="25475"/>
    <cellStyle name="Normal 2 2 19 2 3" xfId="7299"/>
    <cellStyle name="Normal 2 2 19 2 3 2" xfId="13493"/>
    <cellStyle name="Normal 2 2 19 2 3 2 2" xfId="33171"/>
    <cellStyle name="Normal 2 2 19 2 3 3" xfId="19645"/>
    <cellStyle name="Normal 2 2 19 2 3 3 2" xfId="39323"/>
    <cellStyle name="Normal 2 2 19 2 3 4" xfId="27007"/>
    <cellStyle name="Normal 2 2 19 2 4" xfId="10427"/>
    <cellStyle name="Normal 2 2 19 2 4 2" xfId="30105"/>
    <cellStyle name="Normal 2 2 19 2 5" xfId="16579"/>
    <cellStyle name="Normal 2 2 19 2 5 2" xfId="36257"/>
    <cellStyle name="Normal 2 2 19 2 6" xfId="23941"/>
    <cellStyle name="Normal 2 2 19 3" xfId="4965"/>
    <cellStyle name="Normal 2 2 19 3 2" xfId="8065"/>
    <cellStyle name="Normal 2 2 19 3 2 2" xfId="14258"/>
    <cellStyle name="Normal 2 2 19 3 2 2 2" xfId="33936"/>
    <cellStyle name="Normal 2 2 19 3 2 3" xfId="20410"/>
    <cellStyle name="Normal 2 2 19 3 2 3 2" xfId="40088"/>
    <cellStyle name="Normal 2 2 19 3 2 4" xfId="27772"/>
    <cellStyle name="Normal 2 2 19 3 3" xfId="11192"/>
    <cellStyle name="Normal 2 2 19 3 3 2" xfId="30870"/>
    <cellStyle name="Normal 2 2 19 3 4" xfId="17344"/>
    <cellStyle name="Normal 2 2 19 3 4 2" xfId="37022"/>
    <cellStyle name="Normal 2 2 19 3 5" xfId="24706"/>
    <cellStyle name="Normal 2 2 19 4" xfId="6530"/>
    <cellStyle name="Normal 2 2 19 4 2" xfId="12724"/>
    <cellStyle name="Normal 2 2 19 4 2 2" xfId="32402"/>
    <cellStyle name="Normal 2 2 19 4 3" xfId="18876"/>
    <cellStyle name="Normal 2 2 19 4 3 2" xfId="38554"/>
    <cellStyle name="Normal 2 2 19 4 4" xfId="26238"/>
    <cellStyle name="Normal 2 2 19 5" xfId="9658"/>
    <cellStyle name="Normal 2 2 19 5 2" xfId="29336"/>
    <cellStyle name="Normal 2 2 19 6" xfId="15810"/>
    <cellStyle name="Normal 2 2 19 6 2" xfId="35488"/>
    <cellStyle name="Normal 2 2 19 7" xfId="23109"/>
    <cellStyle name="Normal 2 2 19 8" xfId="22055"/>
    <cellStyle name="Normal 2 2 2" xfId="80"/>
    <cellStyle name="Normal 2 2 2 2" xfId="2609"/>
    <cellStyle name="Normal 2 2 2 2 10" xfId="15811"/>
    <cellStyle name="Normal 2 2 2 2 10 2" xfId="35489"/>
    <cellStyle name="Normal 2 2 2 2 11" xfId="23110"/>
    <cellStyle name="Normal 2 2 2 2 12" xfId="21779"/>
    <cellStyle name="Normal 2 2 2 2 2" xfId="2610"/>
    <cellStyle name="Normal 2 2 2 2 2 2" xfId="2611"/>
    <cellStyle name="Normal 2 2 2 2 2 2 2" xfId="4126"/>
    <cellStyle name="Normal 2 2 2 2 2 2 2 2" xfId="5751"/>
    <cellStyle name="Normal 2 2 2 2 2 2 2 2 2" xfId="8837"/>
    <cellStyle name="Normal 2 2 2 2 2 2 2 2 2 2" xfId="15030"/>
    <cellStyle name="Normal 2 2 2 2 2 2 2 2 2 2 2" xfId="34708"/>
    <cellStyle name="Normal 2 2 2 2 2 2 2 2 2 3" xfId="21182"/>
    <cellStyle name="Normal 2 2 2 2 2 2 2 2 2 3 2" xfId="40860"/>
    <cellStyle name="Normal 2 2 2 2 2 2 2 2 2 4" xfId="28544"/>
    <cellStyle name="Normal 2 2 2 2 2 2 2 2 3" xfId="11964"/>
    <cellStyle name="Normal 2 2 2 2 2 2 2 2 3 2" xfId="31642"/>
    <cellStyle name="Normal 2 2 2 2 2 2 2 2 4" xfId="18116"/>
    <cellStyle name="Normal 2 2 2 2 2 2 2 2 4 2" xfId="37794"/>
    <cellStyle name="Normal 2 2 2 2 2 2 2 2 5" xfId="25478"/>
    <cellStyle name="Normal 2 2 2 2 2 2 2 3" xfId="7302"/>
    <cellStyle name="Normal 2 2 2 2 2 2 2 3 2" xfId="13496"/>
    <cellStyle name="Normal 2 2 2 2 2 2 2 3 2 2" xfId="33174"/>
    <cellStyle name="Normal 2 2 2 2 2 2 2 3 3" xfId="19648"/>
    <cellStyle name="Normal 2 2 2 2 2 2 2 3 3 2" xfId="39326"/>
    <cellStyle name="Normal 2 2 2 2 2 2 2 3 4" xfId="27010"/>
    <cellStyle name="Normal 2 2 2 2 2 2 2 4" xfId="10430"/>
    <cellStyle name="Normal 2 2 2 2 2 2 2 4 2" xfId="30108"/>
    <cellStyle name="Normal 2 2 2 2 2 2 2 5" xfId="16582"/>
    <cellStyle name="Normal 2 2 2 2 2 2 2 5 2" xfId="36260"/>
    <cellStyle name="Normal 2 2 2 2 2 2 2 6" xfId="23944"/>
    <cellStyle name="Normal 2 2 2 2 2 2 3" xfId="4968"/>
    <cellStyle name="Normal 2 2 2 2 2 2 3 2" xfId="8068"/>
    <cellStyle name="Normal 2 2 2 2 2 2 3 2 2" xfId="14261"/>
    <cellStyle name="Normal 2 2 2 2 2 2 3 2 2 2" xfId="33939"/>
    <cellStyle name="Normal 2 2 2 2 2 2 3 2 3" xfId="20413"/>
    <cellStyle name="Normal 2 2 2 2 2 2 3 2 3 2" xfId="40091"/>
    <cellStyle name="Normal 2 2 2 2 2 2 3 2 4" xfId="27775"/>
    <cellStyle name="Normal 2 2 2 2 2 2 3 3" xfId="11195"/>
    <cellStyle name="Normal 2 2 2 2 2 2 3 3 2" xfId="30873"/>
    <cellStyle name="Normal 2 2 2 2 2 2 3 4" xfId="17347"/>
    <cellStyle name="Normal 2 2 2 2 2 2 3 4 2" xfId="37025"/>
    <cellStyle name="Normal 2 2 2 2 2 2 3 5" xfId="24709"/>
    <cellStyle name="Normal 2 2 2 2 2 2 4" xfId="6533"/>
    <cellStyle name="Normal 2 2 2 2 2 2 4 2" xfId="12727"/>
    <cellStyle name="Normal 2 2 2 2 2 2 4 2 2" xfId="32405"/>
    <cellStyle name="Normal 2 2 2 2 2 2 4 3" xfId="18879"/>
    <cellStyle name="Normal 2 2 2 2 2 2 4 3 2" xfId="38557"/>
    <cellStyle name="Normal 2 2 2 2 2 2 4 4" xfId="26241"/>
    <cellStyle name="Normal 2 2 2 2 2 2 5" xfId="9661"/>
    <cellStyle name="Normal 2 2 2 2 2 2 5 2" xfId="29339"/>
    <cellStyle name="Normal 2 2 2 2 2 2 6" xfId="15813"/>
    <cellStyle name="Normal 2 2 2 2 2 2 6 2" xfId="35491"/>
    <cellStyle name="Normal 2 2 2 2 2 2 7" xfId="23112"/>
    <cellStyle name="Normal 2 2 2 2 2 3" xfId="4125"/>
    <cellStyle name="Normal 2 2 2 2 2 3 2" xfId="5750"/>
    <cellStyle name="Normal 2 2 2 2 2 3 2 2" xfId="8836"/>
    <cellStyle name="Normal 2 2 2 2 2 3 2 2 2" xfId="15029"/>
    <cellStyle name="Normal 2 2 2 2 2 3 2 2 2 2" xfId="34707"/>
    <cellStyle name="Normal 2 2 2 2 2 3 2 2 3" xfId="21181"/>
    <cellStyle name="Normal 2 2 2 2 2 3 2 2 3 2" xfId="40859"/>
    <cellStyle name="Normal 2 2 2 2 2 3 2 2 4" xfId="28543"/>
    <cellStyle name="Normal 2 2 2 2 2 3 2 3" xfId="11963"/>
    <cellStyle name="Normal 2 2 2 2 2 3 2 3 2" xfId="31641"/>
    <cellStyle name="Normal 2 2 2 2 2 3 2 4" xfId="18115"/>
    <cellStyle name="Normal 2 2 2 2 2 3 2 4 2" xfId="37793"/>
    <cellStyle name="Normal 2 2 2 2 2 3 2 5" xfId="25477"/>
    <cellStyle name="Normal 2 2 2 2 2 3 3" xfId="7301"/>
    <cellStyle name="Normal 2 2 2 2 2 3 3 2" xfId="13495"/>
    <cellStyle name="Normal 2 2 2 2 2 3 3 2 2" xfId="33173"/>
    <cellStyle name="Normal 2 2 2 2 2 3 3 3" xfId="19647"/>
    <cellStyle name="Normal 2 2 2 2 2 3 3 3 2" xfId="39325"/>
    <cellStyle name="Normal 2 2 2 2 2 3 3 4" xfId="27009"/>
    <cellStyle name="Normal 2 2 2 2 2 3 4" xfId="10429"/>
    <cellStyle name="Normal 2 2 2 2 2 3 4 2" xfId="30107"/>
    <cellStyle name="Normal 2 2 2 2 2 3 5" xfId="16581"/>
    <cellStyle name="Normal 2 2 2 2 2 3 5 2" xfId="36259"/>
    <cellStyle name="Normal 2 2 2 2 2 3 6" xfId="23943"/>
    <cellStyle name="Normal 2 2 2 2 2 4" xfId="4967"/>
    <cellStyle name="Normal 2 2 2 2 2 4 2" xfId="8067"/>
    <cellStyle name="Normal 2 2 2 2 2 4 2 2" xfId="14260"/>
    <cellStyle name="Normal 2 2 2 2 2 4 2 2 2" xfId="33938"/>
    <cellStyle name="Normal 2 2 2 2 2 4 2 3" xfId="20412"/>
    <cellStyle name="Normal 2 2 2 2 2 4 2 3 2" xfId="40090"/>
    <cellStyle name="Normal 2 2 2 2 2 4 2 4" xfId="27774"/>
    <cellStyle name="Normal 2 2 2 2 2 4 3" xfId="11194"/>
    <cellStyle name="Normal 2 2 2 2 2 4 3 2" xfId="30872"/>
    <cellStyle name="Normal 2 2 2 2 2 4 4" xfId="17346"/>
    <cellStyle name="Normal 2 2 2 2 2 4 4 2" xfId="37024"/>
    <cellStyle name="Normal 2 2 2 2 2 4 5" xfId="24708"/>
    <cellStyle name="Normal 2 2 2 2 2 5" xfId="6532"/>
    <cellStyle name="Normal 2 2 2 2 2 5 2" xfId="12726"/>
    <cellStyle name="Normal 2 2 2 2 2 5 2 2" xfId="32404"/>
    <cellStyle name="Normal 2 2 2 2 2 5 3" xfId="18878"/>
    <cellStyle name="Normal 2 2 2 2 2 5 3 2" xfId="38556"/>
    <cellStyle name="Normal 2 2 2 2 2 5 4" xfId="26240"/>
    <cellStyle name="Normal 2 2 2 2 2 6" xfId="9660"/>
    <cellStyle name="Normal 2 2 2 2 2 6 2" xfId="29338"/>
    <cellStyle name="Normal 2 2 2 2 2 7" xfId="15812"/>
    <cellStyle name="Normal 2 2 2 2 2 7 2" xfId="35490"/>
    <cellStyle name="Normal 2 2 2 2 2 8" xfId="23111"/>
    <cellStyle name="Normal 2 2 2 2 3" xfId="2612"/>
    <cellStyle name="Normal 2 2 2 2 3 2" xfId="4127"/>
    <cellStyle name="Normal 2 2 2 2 3 2 2" xfId="5752"/>
    <cellStyle name="Normal 2 2 2 2 3 2 2 2" xfId="8838"/>
    <cellStyle name="Normal 2 2 2 2 3 2 2 2 2" xfId="15031"/>
    <cellStyle name="Normal 2 2 2 2 3 2 2 2 2 2" xfId="34709"/>
    <cellStyle name="Normal 2 2 2 2 3 2 2 2 3" xfId="21183"/>
    <cellStyle name="Normal 2 2 2 2 3 2 2 2 3 2" xfId="40861"/>
    <cellStyle name="Normal 2 2 2 2 3 2 2 2 4" xfId="28545"/>
    <cellStyle name="Normal 2 2 2 2 3 2 2 3" xfId="11965"/>
    <cellStyle name="Normal 2 2 2 2 3 2 2 3 2" xfId="31643"/>
    <cellStyle name="Normal 2 2 2 2 3 2 2 4" xfId="18117"/>
    <cellStyle name="Normal 2 2 2 2 3 2 2 4 2" xfId="37795"/>
    <cellStyle name="Normal 2 2 2 2 3 2 2 5" xfId="25479"/>
    <cellStyle name="Normal 2 2 2 2 3 2 3" xfId="7303"/>
    <cellStyle name="Normal 2 2 2 2 3 2 3 2" xfId="13497"/>
    <cellStyle name="Normal 2 2 2 2 3 2 3 2 2" xfId="33175"/>
    <cellStyle name="Normal 2 2 2 2 3 2 3 3" xfId="19649"/>
    <cellStyle name="Normal 2 2 2 2 3 2 3 3 2" xfId="39327"/>
    <cellStyle name="Normal 2 2 2 2 3 2 3 4" xfId="27011"/>
    <cellStyle name="Normal 2 2 2 2 3 2 4" xfId="10431"/>
    <cellStyle name="Normal 2 2 2 2 3 2 4 2" xfId="30109"/>
    <cellStyle name="Normal 2 2 2 2 3 2 5" xfId="16583"/>
    <cellStyle name="Normal 2 2 2 2 3 2 5 2" xfId="36261"/>
    <cellStyle name="Normal 2 2 2 2 3 2 6" xfId="23945"/>
    <cellStyle name="Normal 2 2 2 2 3 3" xfId="4969"/>
    <cellStyle name="Normal 2 2 2 2 3 3 2" xfId="8069"/>
    <cellStyle name="Normal 2 2 2 2 3 3 2 2" xfId="14262"/>
    <cellStyle name="Normal 2 2 2 2 3 3 2 2 2" xfId="33940"/>
    <cellStyle name="Normal 2 2 2 2 3 3 2 3" xfId="20414"/>
    <cellStyle name="Normal 2 2 2 2 3 3 2 3 2" xfId="40092"/>
    <cellStyle name="Normal 2 2 2 2 3 3 2 4" xfId="27776"/>
    <cellStyle name="Normal 2 2 2 2 3 3 3" xfId="11196"/>
    <cellStyle name="Normal 2 2 2 2 3 3 3 2" xfId="30874"/>
    <cellStyle name="Normal 2 2 2 2 3 3 4" xfId="17348"/>
    <cellStyle name="Normal 2 2 2 2 3 3 4 2" xfId="37026"/>
    <cellStyle name="Normal 2 2 2 2 3 3 5" xfId="24710"/>
    <cellStyle name="Normal 2 2 2 2 3 4" xfId="6534"/>
    <cellStyle name="Normal 2 2 2 2 3 4 2" xfId="12728"/>
    <cellStyle name="Normal 2 2 2 2 3 4 2 2" xfId="32406"/>
    <cellStyle name="Normal 2 2 2 2 3 4 3" xfId="18880"/>
    <cellStyle name="Normal 2 2 2 2 3 4 3 2" xfId="38558"/>
    <cellStyle name="Normal 2 2 2 2 3 4 4" xfId="26242"/>
    <cellStyle name="Normal 2 2 2 2 3 5" xfId="9662"/>
    <cellStyle name="Normal 2 2 2 2 3 5 2" xfId="29340"/>
    <cellStyle name="Normal 2 2 2 2 3 6" xfId="15814"/>
    <cellStyle name="Normal 2 2 2 2 3 6 2" xfId="35492"/>
    <cellStyle name="Normal 2 2 2 2 3 7" xfId="23113"/>
    <cellStyle name="Normal 2 2 2 2 4" xfId="2613"/>
    <cellStyle name="Normal 2 2 2 2 4 2" xfId="4128"/>
    <cellStyle name="Normal 2 2 2 2 4 2 2" xfId="5753"/>
    <cellStyle name="Normal 2 2 2 2 4 2 2 2" xfId="8839"/>
    <cellStyle name="Normal 2 2 2 2 4 2 2 2 2" xfId="15032"/>
    <cellStyle name="Normal 2 2 2 2 4 2 2 2 2 2" xfId="34710"/>
    <cellStyle name="Normal 2 2 2 2 4 2 2 2 3" xfId="21184"/>
    <cellStyle name="Normal 2 2 2 2 4 2 2 2 3 2" xfId="40862"/>
    <cellStyle name="Normal 2 2 2 2 4 2 2 2 4" xfId="28546"/>
    <cellStyle name="Normal 2 2 2 2 4 2 2 3" xfId="11966"/>
    <cellStyle name="Normal 2 2 2 2 4 2 2 3 2" xfId="31644"/>
    <cellStyle name="Normal 2 2 2 2 4 2 2 4" xfId="18118"/>
    <cellStyle name="Normal 2 2 2 2 4 2 2 4 2" xfId="37796"/>
    <cellStyle name="Normal 2 2 2 2 4 2 2 5" xfId="25480"/>
    <cellStyle name="Normal 2 2 2 2 4 2 3" xfId="7304"/>
    <cellStyle name="Normal 2 2 2 2 4 2 3 2" xfId="13498"/>
    <cellStyle name="Normal 2 2 2 2 4 2 3 2 2" xfId="33176"/>
    <cellStyle name="Normal 2 2 2 2 4 2 3 3" xfId="19650"/>
    <cellStyle name="Normal 2 2 2 2 4 2 3 3 2" xfId="39328"/>
    <cellStyle name="Normal 2 2 2 2 4 2 3 4" xfId="27012"/>
    <cellStyle name="Normal 2 2 2 2 4 2 4" xfId="10432"/>
    <cellStyle name="Normal 2 2 2 2 4 2 4 2" xfId="30110"/>
    <cellStyle name="Normal 2 2 2 2 4 2 5" xfId="16584"/>
    <cellStyle name="Normal 2 2 2 2 4 2 5 2" xfId="36262"/>
    <cellStyle name="Normal 2 2 2 2 4 2 6" xfId="23946"/>
    <cellStyle name="Normal 2 2 2 2 4 3" xfId="4970"/>
    <cellStyle name="Normal 2 2 2 2 4 3 2" xfId="8070"/>
    <cellStyle name="Normal 2 2 2 2 4 3 2 2" xfId="14263"/>
    <cellStyle name="Normal 2 2 2 2 4 3 2 2 2" xfId="33941"/>
    <cellStyle name="Normal 2 2 2 2 4 3 2 3" xfId="20415"/>
    <cellStyle name="Normal 2 2 2 2 4 3 2 3 2" xfId="40093"/>
    <cellStyle name="Normal 2 2 2 2 4 3 2 4" xfId="27777"/>
    <cellStyle name="Normal 2 2 2 2 4 3 3" xfId="11197"/>
    <cellStyle name="Normal 2 2 2 2 4 3 3 2" xfId="30875"/>
    <cellStyle name="Normal 2 2 2 2 4 3 4" xfId="17349"/>
    <cellStyle name="Normal 2 2 2 2 4 3 4 2" xfId="37027"/>
    <cellStyle name="Normal 2 2 2 2 4 3 5" xfId="24711"/>
    <cellStyle name="Normal 2 2 2 2 4 4" xfId="6535"/>
    <cellStyle name="Normal 2 2 2 2 4 4 2" xfId="12729"/>
    <cellStyle name="Normal 2 2 2 2 4 4 2 2" xfId="32407"/>
    <cellStyle name="Normal 2 2 2 2 4 4 3" xfId="18881"/>
    <cellStyle name="Normal 2 2 2 2 4 4 3 2" xfId="38559"/>
    <cellStyle name="Normal 2 2 2 2 4 4 4" xfId="26243"/>
    <cellStyle name="Normal 2 2 2 2 4 5" xfId="9663"/>
    <cellStyle name="Normal 2 2 2 2 4 5 2" xfId="29341"/>
    <cellStyle name="Normal 2 2 2 2 4 6" xfId="15815"/>
    <cellStyle name="Normal 2 2 2 2 4 6 2" xfId="35493"/>
    <cellStyle name="Normal 2 2 2 2 4 7" xfId="23114"/>
    <cellStyle name="Normal 2 2 2 2 5" xfId="2614"/>
    <cellStyle name="Normal 2 2 2 2 5 2" xfId="4129"/>
    <cellStyle name="Normal 2 2 2 2 5 2 2" xfId="5754"/>
    <cellStyle name="Normal 2 2 2 2 5 2 2 2" xfId="8840"/>
    <cellStyle name="Normal 2 2 2 2 5 2 2 2 2" xfId="15033"/>
    <cellStyle name="Normal 2 2 2 2 5 2 2 2 2 2" xfId="34711"/>
    <cellStyle name="Normal 2 2 2 2 5 2 2 2 3" xfId="21185"/>
    <cellStyle name="Normal 2 2 2 2 5 2 2 2 3 2" xfId="40863"/>
    <cellStyle name="Normal 2 2 2 2 5 2 2 2 4" xfId="28547"/>
    <cellStyle name="Normal 2 2 2 2 5 2 2 3" xfId="11967"/>
    <cellStyle name="Normal 2 2 2 2 5 2 2 3 2" xfId="31645"/>
    <cellStyle name="Normal 2 2 2 2 5 2 2 4" xfId="18119"/>
    <cellStyle name="Normal 2 2 2 2 5 2 2 4 2" xfId="37797"/>
    <cellStyle name="Normal 2 2 2 2 5 2 2 5" xfId="25481"/>
    <cellStyle name="Normal 2 2 2 2 5 2 3" xfId="7305"/>
    <cellStyle name="Normal 2 2 2 2 5 2 3 2" xfId="13499"/>
    <cellStyle name="Normal 2 2 2 2 5 2 3 2 2" xfId="33177"/>
    <cellStyle name="Normal 2 2 2 2 5 2 3 3" xfId="19651"/>
    <cellStyle name="Normal 2 2 2 2 5 2 3 3 2" xfId="39329"/>
    <cellStyle name="Normal 2 2 2 2 5 2 3 4" xfId="27013"/>
    <cellStyle name="Normal 2 2 2 2 5 2 4" xfId="10433"/>
    <cellStyle name="Normal 2 2 2 2 5 2 4 2" xfId="30111"/>
    <cellStyle name="Normal 2 2 2 2 5 2 5" xfId="16585"/>
    <cellStyle name="Normal 2 2 2 2 5 2 5 2" xfId="36263"/>
    <cellStyle name="Normal 2 2 2 2 5 2 6" xfId="23947"/>
    <cellStyle name="Normal 2 2 2 2 5 3" xfId="4971"/>
    <cellStyle name="Normal 2 2 2 2 5 3 2" xfId="8071"/>
    <cellStyle name="Normal 2 2 2 2 5 3 2 2" xfId="14264"/>
    <cellStyle name="Normal 2 2 2 2 5 3 2 2 2" xfId="33942"/>
    <cellStyle name="Normal 2 2 2 2 5 3 2 3" xfId="20416"/>
    <cellStyle name="Normal 2 2 2 2 5 3 2 3 2" xfId="40094"/>
    <cellStyle name="Normal 2 2 2 2 5 3 2 4" xfId="27778"/>
    <cellStyle name="Normal 2 2 2 2 5 3 3" xfId="11198"/>
    <cellStyle name="Normal 2 2 2 2 5 3 3 2" xfId="30876"/>
    <cellStyle name="Normal 2 2 2 2 5 3 4" xfId="17350"/>
    <cellStyle name="Normal 2 2 2 2 5 3 4 2" xfId="37028"/>
    <cellStyle name="Normal 2 2 2 2 5 3 5" xfId="24712"/>
    <cellStyle name="Normal 2 2 2 2 5 4" xfId="6536"/>
    <cellStyle name="Normal 2 2 2 2 5 4 2" xfId="12730"/>
    <cellStyle name="Normal 2 2 2 2 5 4 2 2" xfId="32408"/>
    <cellStyle name="Normal 2 2 2 2 5 4 3" xfId="18882"/>
    <cellStyle name="Normal 2 2 2 2 5 4 3 2" xfId="38560"/>
    <cellStyle name="Normal 2 2 2 2 5 4 4" xfId="26244"/>
    <cellStyle name="Normal 2 2 2 2 5 5" xfId="9664"/>
    <cellStyle name="Normal 2 2 2 2 5 5 2" xfId="29342"/>
    <cellStyle name="Normal 2 2 2 2 5 6" xfId="15816"/>
    <cellStyle name="Normal 2 2 2 2 5 6 2" xfId="35494"/>
    <cellStyle name="Normal 2 2 2 2 5 7" xfId="23115"/>
    <cellStyle name="Normal 2 2 2 2 6" xfId="4124"/>
    <cellStyle name="Normal 2 2 2 2 6 2" xfId="5749"/>
    <cellStyle name="Normal 2 2 2 2 6 2 2" xfId="8835"/>
    <cellStyle name="Normal 2 2 2 2 6 2 2 2" xfId="15028"/>
    <cellStyle name="Normal 2 2 2 2 6 2 2 2 2" xfId="34706"/>
    <cellStyle name="Normal 2 2 2 2 6 2 2 3" xfId="21180"/>
    <cellStyle name="Normal 2 2 2 2 6 2 2 3 2" xfId="40858"/>
    <cellStyle name="Normal 2 2 2 2 6 2 2 4" xfId="28542"/>
    <cellStyle name="Normal 2 2 2 2 6 2 3" xfId="11962"/>
    <cellStyle name="Normal 2 2 2 2 6 2 3 2" xfId="31640"/>
    <cellStyle name="Normal 2 2 2 2 6 2 4" xfId="18114"/>
    <cellStyle name="Normal 2 2 2 2 6 2 4 2" xfId="37792"/>
    <cellStyle name="Normal 2 2 2 2 6 2 5" xfId="25476"/>
    <cellStyle name="Normal 2 2 2 2 6 3" xfId="7300"/>
    <cellStyle name="Normal 2 2 2 2 6 3 2" xfId="13494"/>
    <cellStyle name="Normal 2 2 2 2 6 3 2 2" xfId="33172"/>
    <cellStyle name="Normal 2 2 2 2 6 3 3" xfId="19646"/>
    <cellStyle name="Normal 2 2 2 2 6 3 3 2" xfId="39324"/>
    <cellStyle name="Normal 2 2 2 2 6 3 4" xfId="27008"/>
    <cellStyle name="Normal 2 2 2 2 6 4" xfId="10428"/>
    <cellStyle name="Normal 2 2 2 2 6 4 2" xfId="30106"/>
    <cellStyle name="Normal 2 2 2 2 6 5" xfId="16580"/>
    <cellStyle name="Normal 2 2 2 2 6 5 2" xfId="36258"/>
    <cellStyle name="Normal 2 2 2 2 6 6" xfId="23942"/>
    <cellStyle name="Normal 2 2 2 2 7" xfId="4966"/>
    <cellStyle name="Normal 2 2 2 2 7 2" xfId="8066"/>
    <cellStyle name="Normal 2 2 2 2 7 2 2" xfId="14259"/>
    <cellStyle name="Normal 2 2 2 2 7 2 2 2" xfId="33937"/>
    <cellStyle name="Normal 2 2 2 2 7 2 3" xfId="20411"/>
    <cellStyle name="Normal 2 2 2 2 7 2 3 2" xfId="40089"/>
    <cellStyle name="Normal 2 2 2 2 7 2 4" xfId="27773"/>
    <cellStyle name="Normal 2 2 2 2 7 3" xfId="11193"/>
    <cellStyle name="Normal 2 2 2 2 7 3 2" xfId="30871"/>
    <cellStyle name="Normal 2 2 2 2 7 4" xfId="17345"/>
    <cellStyle name="Normal 2 2 2 2 7 4 2" xfId="37023"/>
    <cellStyle name="Normal 2 2 2 2 7 5" xfId="24707"/>
    <cellStyle name="Normal 2 2 2 2 8" xfId="6531"/>
    <cellStyle name="Normal 2 2 2 2 8 2" xfId="12725"/>
    <cellStyle name="Normal 2 2 2 2 8 2 2" xfId="32403"/>
    <cellStyle name="Normal 2 2 2 2 8 3" xfId="18877"/>
    <cellStyle name="Normal 2 2 2 2 8 3 2" xfId="38555"/>
    <cellStyle name="Normal 2 2 2 2 8 4" xfId="26239"/>
    <cellStyle name="Normal 2 2 2 2 9" xfId="9659"/>
    <cellStyle name="Normal 2 2 2 2 9 2" xfId="29337"/>
    <cellStyle name="Normal 2 2 2 3" xfId="2615"/>
    <cellStyle name="Normal 2 2 2 4" xfId="2616"/>
    <cellStyle name="Normal 2 2 2 4 2" xfId="2617"/>
    <cellStyle name="Normal 2 2 2 5" xfId="2618"/>
    <cellStyle name="Normal 2 2 2 5 2" xfId="2619"/>
    <cellStyle name="Normal 2 2 2 6" xfId="2608"/>
    <cellStyle name="Normal 2 2 2 7" xfId="22689"/>
    <cellStyle name="Normal 2 2 2 8" xfId="21771"/>
    <cellStyle name="Normal 2 2 2 9" xfId="41976"/>
    <cellStyle name="Normal 2 2 20" xfId="2620"/>
    <cellStyle name="Normal 2 2 20 2" xfId="4130"/>
    <cellStyle name="Normal 2 2 20 2 2" xfId="5755"/>
    <cellStyle name="Normal 2 2 20 2 2 2" xfId="8841"/>
    <cellStyle name="Normal 2 2 20 2 2 2 2" xfId="15034"/>
    <cellStyle name="Normal 2 2 20 2 2 2 2 2" xfId="34712"/>
    <cellStyle name="Normal 2 2 20 2 2 2 3" xfId="21186"/>
    <cellStyle name="Normal 2 2 20 2 2 2 3 2" xfId="40864"/>
    <cellStyle name="Normal 2 2 20 2 2 2 4" xfId="28548"/>
    <cellStyle name="Normal 2 2 20 2 2 3" xfId="11968"/>
    <cellStyle name="Normal 2 2 20 2 2 3 2" xfId="31646"/>
    <cellStyle name="Normal 2 2 20 2 2 4" xfId="18120"/>
    <cellStyle name="Normal 2 2 20 2 2 4 2" xfId="37798"/>
    <cellStyle name="Normal 2 2 20 2 2 5" xfId="25482"/>
    <cellStyle name="Normal 2 2 20 2 3" xfId="7306"/>
    <cellStyle name="Normal 2 2 20 2 3 2" xfId="13500"/>
    <cellStyle name="Normal 2 2 20 2 3 2 2" xfId="33178"/>
    <cellStyle name="Normal 2 2 20 2 3 3" xfId="19652"/>
    <cellStyle name="Normal 2 2 20 2 3 3 2" xfId="39330"/>
    <cellStyle name="Normal 2 2 20 2 3 4" xfId="27014"/>
    <cellStyle name="Normal 2 2 20 2 4" xfId="10434"/>
    <cellStyle name="Normal 2 2 20 2 4 2" xfId="30112"/>
    <cellStyle name="Normal 2 2 20 2 5" xfId="16586"/>
    <cellStyle name="Normal 2 2 20 2 5 2" xfId="36264"/>
    <cellStyle name="Normal 2 2 20 2 6" xfId="23948"/>
    <cellStyle name="Normal 2 2 20 3" xfId="4972"/>
    <cellStyle name="Normal 2 2 20 3 2" xfId="8072"/>
    <cellStyle name="Normal 2 2 20 3 2 2" xfId="14265"/>
    <cellStyle name="Normal 2 2 20 3 2 2 2" xfId="33943"/>
    <cellStyle name="Normal 2 2 20 3 2 3" xfId="20417"/>
    <cellStyle name="Normal 2 2 20 3 2 3 2" xfId="40095"/>
    <cellStyle name="Normal 2 2 20 3 2 4" xfId="27779"/>
    <cellStyle name="Normal 2 2 20 3 3" xfId="11199"/>
    <cellStyle name="Normal 2 2 20 3 3 2" xfId="30877"/>
    <cellStyle name="Normal 2 2 20 3 4" xfId="17351"/>
    <cellStyle name="Normal 2 2 20 3 4 2" xfId="37029"/>
    <cellStyle name="Normal 2 2 20 3 5" xfId="24713"/>
    <cellStyle name="Normal 2 2 20 4" xfId="6537"/>
    <cellStyle name="Normal 2 2 20 4 2" xfId="12731"/>
    <cellStyle name="Normal 2 2 20 4 2 2" xfId="32409"/>
    <cellStyle name="Normal 2 2 20 4 3" xfId="18883"/>
    <cellStyle name="Normal 2 2 20 4 3 2" xfId="38561"/>
    <cellStyle name="Normal 2 2 20 4 4" xfId="26245"/>
    <cellStyle name="Normal 2 2 20 5" xfId="9665"/>
    <cellStyle name="Normal 2 2 20 5 2" xfId="29343"/>
    <cellStyle name="Normal 2 2 20 6" xfId="15817"/>
    <cellStyle name="Normal 2 2 20 6 2" xfId="35495"/>
    <cellStyle name="Normal 2 2 20 7" xfId="23116"/>
    <cellStyle name="Normal 2 2 20 8" xfId="22082"/>
    <cellStyle name="Normal 2 2 21" xfId="2621"/>
    <cellStyle name="Normal 2 2 21 2" xfId="4131"/>
    <cellStyle name="Normal 2 2 21 2 2" xfId="5756"/>
    <cellStyle name="Normal 2 2 21 2 2 2" xfId="8842"/>
    <cellStyle name="Normal 2 2 21 2 2 2 2" xfId="15035"/>
    <cellStyle name="Normal 2 2 21 2 2 2 2 2" xfId="34713"/>
    <cellStyle name="Normal 2 2 21 2 2 2 3" xfId="21187"/>
    <cellStyle name="Normal 2 2 21 2 2 2 3 2" xfId="40865"/>
    <cellStyle name="Normal 2 2 21 2 2 2 4" xfId="28549"/>
    <cellStyle name="Normal 2 2 21 2 2 3" xfId="11969"/>
    <cellStyle name="Normal 2 2 21 2 2 3 2" xfId="31647"/>
    <cellStyle name="Normal 2 2 21 2 2 4" xfId="18121"/>
    <cellStyle name="Normal 2 2 21 2 2 4 2" xfId="37799"/>
    <cellStyle name="Normal 2 2 21 2 2 5" xfId="25483"/>
    <cellStyle name="Normal 2 2 21 2 3" xfId="7307"/>
    <cellStyle name="Normal 2 2 21 2 3 2" xfId="13501"/>
    <cellStyle name="Normal 2 2 21 2 3 2 2" xfId="33179"/>
    <cellStyle name="Normal 2 2 21 2 3 3" xfId="19653"/>
    <cellStyle name="Normal 2 2 21 2 3 3 2" xfId="39331"/>
    <cellStyle name="Normal 2 2 21 2 3 4" xfId="27015"/>
    <cellStyle name="Normal 2 2 21 2 4" xfId="10435"/>
    <cellStyle name="Normal 2 2 21 2 4 2" xfId="30113"/>
    <cellStyle name="Normal 2 2 21 2 5" xfId="16587"/>
    <cellStyle name="Normal 2 2 21 2 5 2" xfId="36265"/>
    <cellStyle name="Normal 2 2 21 2 6" xfId="23949"/>
    <cellStyle name="Normal 2 2 21 3" xfId="4973"/>
    <cellStyle name="Normal 2 2 21 3 2" xfId="8073"/>
    <cellStyle name="Normal 2 2 21 3 2 2" xfId="14266"/>
    <cellStyle name="Normal 2 2 21 3 2 2 2" xfId="33944"/>
    <cellStyle name="Normal 2 2 21 3 2 3" xfId="20418"/>
    <cellStyle name="Normal 2 2 21 3 2 3 2" xfId="40096"/>
    <cellStyle name="Normal 2 2 21 3 2 4" xfId="27780"/>
    <cellStyle name="Normal 2 2 21 3 3" xfId="11200"/>
    <cellStyle name="Normal 2 2 21 3 3 2" xfId="30878"/>
    <cellStyle name="Normal 2 2 21 3 4" xfId="17352"/>
    <cellStyle name="Normal 2 2 21 3 4 2" xfId="37030"/>
    <cellStyle name="Normal 2 2 21 3 5" xfId="24714"/>
    <cellStyle name="Normal 2 2 21 4" xfId="6538"/>
    <cellStyle name="Normal 2 2 21 4 2" xfId="12732"/>
    <cellStyle name="Normal 2 2 21 4 2 2" xfId="32410"/>
    <cellStyle name="Normal 2 2 21 4 3" xfId="18884"/>
    <cellStyle name="Normal 2 2 21 4 3 2" xfId="38562"/>
    <cellStyle name="Normal 2 2 21 4 4" xfId="26246"/>
    <cellStyle name="Normal 2 2 21 5" xfId="9666"/>
    <cellStyle name="Normal 2 2 21 5 2" xfId="29344"/>
    <cellStyle name="Normal 2 2 21 6" xfId="15818"/>
    <cellStyle name="Normal 2 2 21 6 2" xfId="35496"/>
    <cellStyle name="Normal 2 2 21 7" xfId="23117"/>
    <cellStyle name="Normal 2 2 21 8" xfId="22110"/>
    <cellStyle name="Normal 2 2 22" xfId="2622"/>
    <cellStyle name="Normal 2 2 22 2" xfId="4132"/>
    <cellStyle name="Normal 2 2 22 2 2" xfId="5757"/>
    <cellStyle name="Normal 2 2 22 2 2 2" xfId="8843"/>
    <cellStyle name="Normal 2 2 22 2 2 2 2" xfId="15036"/>
    <cellStyle name="Normal 2 2 22 2 2 2 2 2" xfId="34714"/>
    <cellStyle name="Normal 2 2 22 2 2 2 3" xfId="21188"/>
    <cellStyle name="Normal 2 2 22 2 2 2 3 2" xfId="40866"/>
    <cellStyle name="Normal 2 2 22 2 2 2 4" xfId="28550"/>
    <cellStyle name="Normal 2 2 22 2 2 3" xfId="11970"/>
    <cellStyle name="Normal 2 2 22 2 2 3 2" xfId="31648"/>
    <cellStyle name="Normal 2 2 22 2 2 4" xfId="18122"/>
    <cellStyle name="Normal 2 2 22 2 2 4 2" xfId="37800"/>
    <cellStyle name="Normal 2 2 22 2 2 5" xfId="25484"/>
    <cellStyle name="Normal 2 2 22 2 3" xfId="7308"/>
    <cellStyle name="Normal 2 2 22 2 3 2" xfId="13502"/>
    <cellStyle name="Normal 2 2 22 2 3 2 2" xfId="33180"/>
    <cellStyle name="Normal 2 2 22 2 3 3" xfId="19654"/>
    <cellStyle name="Normal 2 2 22 2 3 3 2" xfId="39332"/>
    <cellStyle name="Normal 2 2 22 2 3 4" xfId="27016"/>
    <cellStyle name="Normal 2 2 22 2 4" xfId="10436"/>
    <cellStyle name="Normal 2 2 22 2 4 2" xfId="30114"/>
    <cellStyle name="Normal 2 2 22 2 5" xfId="16588"/>
    <cellStyle name="Normal 2 2 22 2 5 2" xfId="36266"/>
    <cellStyle name="Normal 2 2 22 2 6" xfId="23950"/>
    <cellStyle name="Normal 2 2 22 3" xfId="4974"/>
    <cellStyle name="Normal 2 2 22 3 2" xfId="8074"/>
    <cellStyle name="Normal 2 2 22 3 2 2" xfId="14267"/>
    <cellStyle name="Normal 2 2 22 3 2 2 2" xfId="33945"/>
    <cellStyle name="Normal 2 2 22 3 2 3" xfId="20419"/>
    <cellStyle name="Normal 2 2 22 3 2 3 2" xfId="40097"/>
    <cellStyle name="Normal 2 2 22 3 2 4" xfId="27781"/>
    <cellStyle name="Normal 2 2 22 3 3" xfId="11201"/>
    <cellStyle name="Normal 2 2 22 3 3 2" xfId="30879"/>
    <cellStyle name="Normal 2 2 22 3 4" xfId="17353"/>
    <cellStyle name="Normal 2 2 22 3 4 2" xfId="37031"/>
    <cellStyle name="Normal 2 2 22 3 5" xfId="24715"/>
    <cellStyle name="Normal 2 2 22 4" xfId="6539"/>
    <cellStyle name="Normal 2 2 22 4 2" xfId="12733"/>
    <cellStyle name="Normal 2 2 22 4 2 2" xfId="32411"/>
    <cellStyle name="Normal 2 2 22 4 3" xfId="18885"/>
    <cellStyle name="Normal 2 2 22 4 3 2" xfId="38563"/>
    <cellStyle name="Normal 2 2 22 4 4" xfId="26247"/>
    <cellStyle name="Normal 2 2 22 5" xfId="9667"/>
    <cellStyle name="Normal 2 2 22 5 2" xfId="29345"/>
    <cellStyle name="Normal 2 2 22 6" xfId="15819"/>
    <cellStyle name="Normal 2 2 22 6 2" xfId="35497"/>
    <cellStyle name="Normal 2 2 22 7" xfId="23118"/>
    <cellStyle name="Normal 2 2 22 8" xfId="22126"/>
    <cellStyle name="Normal 2 2 23" xfId="2623"/>
    <cellStyle name="Normal 2 2 23 2" xfId="2624"/>
    <cellStyle name="Normal 2 2 23 3" xfId="23119"/>
    <cellStyle name="Normal 2 2 23 4" xfId="22150"/>
    <cellStyle name="Normal 2 2 24" xfId="2625"/>
    <cellStyle name="Normal 2 2 24 2" xfId="2626"/>
    <cellStyle name="Normal 2 2 24 3" xfId="23120"/>
    <cellStyle name="Normal 2 2 24 4" xfId="22188"/>
    <cellStyle name="Normal 2 2 25" xfId="9306"/>
    <cellStyle name="Normal 2 2 25 2" xfId="29004"/>
    <cellStyle name="Normal 2 2 25 3" xfId="22216"/>
    <cellStyle name="Normal 2 2 26" xfId="22248"/>
    <cellStyle name="Normal 2 2 27" xfId="22275"/>
    <cellStyle name="Normal 2 2 28" xfId="22300"/>
    <cellStyle name="Normal 2 2 29" xfId="22323"/>
    <cellStyle name="Normal 2 2 3" xfId="37"/>
    <cellStyle name="Normal 2 2 3 10" xfId="4975"/>
    <cellStyle name="Normal 2 2 3 10 2" xfId="8075"/>
    <cellStyle name="Normal 2 2 3 10 2 2" xfId="14268"/>
    <cellStyle name="Normal 2 2 3 10 2 2 2" xfId="33946"/>
    <cellStyle name="Normal 2 2 3 10 2 3" xfId="20420"/>
    <cellStyle name="Normal 2 2 3 10 2 3 2" xfId="40098"/>
    <cellStyle name="Normal 2 2 3 10 2 4" xfId="27782"/>
    <cellStyle name="Normal 2 2 3 10 3" xfId="11202"/>
    <cellStyle name="Normal 2 2 3 10 3 2" xfId="30880"/>
    <cellStyle name="Normal 2 2 3 10 4" xfId="17354"/>
    <cellStyle name="Normal 2 2 3 10 4 2" xfId="37032"/>
    <cellStyle name="Normal 2 2 3 10 5" xfId="24716"/>
    <cellStyle name="Normal 2 2 3 11" xfId="6540"/>
    <cellStyle name="Normal 2 2 3 11 2" xfId="12734"/>
    <cellStyle name="Normal 2 2 3 11 2 2" xfId="32412"/>
    <cellStyle name="Normal 2 2 3 11 3" xfId="18886"/>
    <cellStyle name="Normal 2 2 3 11 3 2" xfId="38564"/>
    <cellStyle name="Normal 2 2 3 11 4" xfId="26248"/>
    <cellStyle name="Normal 2 2 3 12" xfId="9668"/>
    <cellStyle name="Normal 2 2 3 12 2" xfId="29346"/>
    <cellStyle name="Normal 2 2 3 13" xfId="15820"/>
    <cellStyle name="Normal 2 2 3 13 2" xfId="35498"/>
    <cellStyle name="Normal 2 2 3 14" xfId="2627"/>
    <cellStyle name="Normal 2 2 3 14 2" xfId="23121"/>
    <cellStyle name="Normal 2 2 3 15" xfId="21804"/>
    <cellStyle name="Normal 2 2 3 16" xfId="21702"/>
    <cellStyle name="Normal 2 2 3 2" xfId="111"/>
    <cellStyle name="Normal 2 2 3 2 2" xfId="204"/>
    <cellStyle name="Normal 2 2 3 2 2 2" xfId="5759"/>
    <cellStyle name="Normal 2 2 3 2 2 2 2" xfId="8845"/>
    <cellStyle name="Normal 2 2 3 2 2 2 2 2" xfId="15038"/>
    <cellStyle name="Normal 2 2 3 2 2 2 2 2 2" xfId="34716"/>
    <cellStyle name="Normal 2 2 3 2 2 2 2 3" xfId="21190"/>
    <cellStyle name="Normal 2 2 3 2 2 2 2 3 2" xfId="40868"/>
    <cellStyle name="Normal 2 2 3 2 2 2 2 4" xfId="28552"/>
    <cellStyle name="Normal 2 2 3 2 2 2 3" xfId="11972"/>
    <cellStyle name="Normal 2 2 3 2 2 2 3 2" xfId="31650"/>
    <cellStyle name="Normal 2 2 3 2 2 2 4" xfId="18124"/>
    <cellStyle name="Normal 2 2 3 2 2 2 4 2" xfId="37802"/>
    <cellStyle name="Normal 2 2 3 2 2 2 5" xfId="25486"/>
    <cellStyle name="Normal 2 2 3 2 2 3" xfId="7310"/>
    <cellStyle name="Normal 2 2 3 2 2 3 2" xfId="13504"/>
    <cellStyle name="Normal 2 2 3 2 2 3 2 2" xfId="33182"/>
    <cellStyle name="Normal 2 2 3 2 2 3 3" xfId="19656"/>
    <cellStyle name="Normal 2 2 3 2 2 3 3 2" xfId="39334"/>
    <cellStyle name="Normal 2 2 3 2 2 3 4" xfId="27018"/>
    <cellStyle name="Normal 2 2 3 2 2 4" xfId="10438"/>
    <cellStyle name="Normal 2 2 3 2 2 4 2" xfId="30116"/>
    <cellStyle name="Normal 2 2 3 2 2 5" xfId="16590"/>
    <cellStyle name="Normal 2 2 3 2 2 5 2" xfId="36268"/>
    <cellStyle name="Normal 2 2 3 2 2 6" xfId="4134"/>
    <cellStyle name="Normal 2 2 3 2 2 7" xfId="23952"/>
    <cellStyle name="Normal 2 2 3 2 3" xfId="4976"/>
    <cellStyle name="Normal 2 2 3 2 3 2" xfId="8076"/>
    <cellStyle name="Normal 2 2 3 2 3 2 2" xfId="14269"/>
    <cellStyle name="Normal 2 2 3 2 3 2 2 2" xfId="33947"/>
    <cellStyle name="Normal 2 2 3 2 3 2 3" xfId="20421"/>
    <cellStyle name="Normal 2 2 3 2 3 2 3 2" xfId="40099"/>
    <cellStyle name="Normal 2 2 3 2 3 2 4" xfId="27783"/>
    <cellStyle name="Normal 2 2 3 2 3 3" xfId="11203"/>
    <cellStyle name="Normal 2 2 3 2 3 3 2" xfId="30881"/>
    <cellStyle name="Normal 2 2 3 2 3 4" xfId="17355"/>
    <cellStyle name="Normal 2 2 3 2 3 4 2" xfId="37033"/>
    <cellStyle name="Normal 2 2 3 2 3 5" xfId="24717"/>
    <cellStyle name="Normal 2 2 3 2 4" xfId="6541"/>
    <cellStyle name="Normal 2 2 3 2 4 2" xfId="12735"/>
    <cellStyle name="Normal 2 2 3 2 4 2 2" xfId="32413"/>
    <cellStyle name="Normal 2 2 3 2 4 3" xfId="18887"/>
    <cellStyle name="Normal 2 2 3 2 4 3 2" xfId="38565"/>
    <cellStyle name="Normal 2 2 3 2 4 4" xfId="26249"/>
    <cellStyle name="Normal 2 2 3 2 5" xfId="9669"/>
    <cellStyle name="Normal 2 2 3 2 5 2" xfId="29347"/>
    <cellStyle name="Normal 2 2 3 2 6" xfId="15821"/>
    <cellStyle name="Normal 2 2 3 2 6 2" xfId="35499"/>
    <cellStyle name="Normal 2 2 3 2 7" xfId="2628"/>
    <cellStyle name="Normal 2 2 3 2 7 2" xfId="23122"/>
    <cellStyle name="Normal 2 2 3 2 8" xfId="21740"/>
    <cellStyle name="Normal 2 2 3 3" xfId="129"/>
    <cellStyle name="Normal 2 2 3 3 2" xfId="179"/>
    <cellStyle name="Normal 2 2 3 3 2 2" xfId="5760"/>
    <cellStyle name="Normal 2 2 3 3 2 2 2" xfId="8846"/>
    <cellStyle name="Normal 2 2 3 3 2 2 2 2" xfId="15039"/>
    <cellStyle name="Normal 2 2 3 3 2 2 2 2 2" xfId="34717"/>
    <cellStyle name="Normal 2 2 3 3 2 2 2 3" xfId="21191"/>
    <cellStyle name="Normal 2 2 3 3 2 2 2 3 2" xfId="40869"/>
    <cellStyle name="Normal 2 2 3 3 2 2 2 4" xfId="28553"/>
    <cellStyle name="Normal 2 2 3 3 2 2 3" xfId="11973"/>
    <cellStyle name="Normal 2 2 3 3 2 2 3 2" xfId="31651"/>
    <cellStyle name="Normal 2 2 3 3 2 2 4" xfId="18125"/>
    <cellStyle name="Normal 2 2 3 3 2 2 4 2" xfId="37803"/>
    <cellStyle name="Normal 2 2 3 3 2 2 5" xfId="25487"/>
    <cellStyle name="Normal 2 2 3 3 2 3" xfId="7311"/>
    <cellStyle name="Normal 2 2 3 3 2 3 2" xfId="13505"/>
    <cellStyle name="Normal 2 2 3 3 2 3 2 2" xfId="33183"/>
    <cellStyle name="Normal 2 2 3 3 2 3 3" xfId="19657"/>
    <cellStyle name="Normal 2 2 3 3 2 3 3 2" xfId="39335"/>
    <cellStyle name="Normal 2 2 3 3 2 3 4" xfId="27019"/>
    <cellStyle name="Normal 2 2 3 3 2 4" xfId="10439"/>
    <cellStyle name="Normal 2 2 3 3 2 4 2" xfId="30117"/>
    <cellStyle name="Normal 2 2 3 3 2 5" xfId="16591"/>
    <cellStyle name="Normal 2 2 3 3 2 5 2" xfId="36269"/>
    <cellStyle name="Normal 2 2 3 3 2 6" xfId="4135"/>
    <cellStyle name="Normal 2 2 3 3 2 7" xfId="23953"/>
    <cellStyle name="Normal 2 2 3 3 3" xfId="4977"/>
    <cellStyle name="Normal 2 2 3 3 3 2" xfId="8077"/>
    <cellStyle name="Normal 2 2 3 3 3 2 2" xfId="14270"/>
    <cellStyle name="Normal 2 2 3 3 3 2 2 2" xfId="33948"/>
    <cellStyle name="Normal 2 2 3 3 3 2 3" xfId="20422"/>
    <cellStyle name="Normal 2 2 3 3 3 2 3 2" xfId="40100"/>
    <cellStyle name="Normal 2 2 3 3 3 2 4" xfId="27784"/>
    <cellStyle name="Normal 2 2 3 3 3 3" xfId="11204"/>
    <cellStyle name="Normal 2 2 3 3 3 3 2" xfId="30882"/>
    <cellStyle name="Normal 2 2 3 3 3 4" xfId="17356"/>
    <cellStyle name="Normal 2 2 3 3 3 4 2" xfId="37034"/>
    <cellStyle name="Normal 2 2 3 3 3 5" xfId="24718"/>
    <cellStyle name="Normal 2 2 3 3 4" xfId="6542"/>
    <cellStyle name="Normal 2 2 3 3 4 2" xfId="12736"/>
    <cellStyle name="Normal 2 2 3 3 4 2 2" xfId="32414"/>
    <cellStyle name="Normal 2 2 3 3 4 3" xfId="18888"/>
    <cellStyle name="Normal 2 2 3 3 4 3 2" xfId="38566"/>
    <cellStyle name="Normal 2 2 3 3 4 4" xfId="26250"/>
    <cellStyle name="Normal 2 2 3 3 5" xfId="9670"/>
    <cellStyle name="Normal 2 2 3 3 5 2" xfId="29348"/>
    <cellStyle name="Normal 2 2 3 3 6" xfId="15822"/>
    <cellStyle name="Normal 2 2 3 3 6 2" xfId="35500"/>
    <cellStyle name="Normal 2 2 3 3 7" xfId="2629"/>
    <cellStyle name="Normal 2 2 3 3 7 2" xfId="23123"/>
    <cellStyle name="Normal 2 2 3 3 8" xfId="21715"/>
    <cellStyle name="Normal 2 2 3 4" xfId="166"/>
    <cellStyle name="Normal 2 2 3 4 2" xfId="4136"/>
    <cellStyle name="Normal 2 2 3 4 2 2" xfId="5761"/>
    <cellStyle name="Normal 2 2 3 4 2 2 2" xfId="8847"/>
    <cellStyle name="Normal 2 2 3 4 2 2 2 2" xfId="15040"/>
    <cellStyle name="Normal 2 2 3 4 2 2 2 2 2" xfId="34718"/>
    <cellStyle name="Normal 2 2 3 4 2 2 2 3" xfId="21192"/>
    <cellStyle name="Normal 2 2 3 4 2 2 2 3 2" xfId="40870"/>
    <cellStyle name="Normal 2 2 3 4 2 2 2 4" xfId="28554"/>
    <cellStyle name="Normal 2 2 3 4 2 2 3" xfId="11974"/>
    <cellStyle name="Normal 2 2 3 4 2 2 3 2" xfId="31652"/>
    <cellStyle name="Normal 2 2 3 4 2 2 4" xfId="18126"/>
    <cellStyle name="Normal 2 2 3 4 2 2 4 2" xfId="37804"/>
    <cellStyle name="Normal 2 2 3 4 2 2 5" xfId="25488"/>
    <cellStyle name="Normal 2 2 3 4 2 3" xfId="7312"/>
    <cellStyle name="Normal 2 2 3 4 2 3 2" xfId="13506"/>
    <cellStyle name="Normal 2 2 3 4 2 3 2 2" xfId="33184"/>
    <cellStyle name="Normal 2 2 3 4 2 3 3" xfId="19658"/>
    <cellStyle name="Normal 2 2 3 4 2 3 3 2" xfId="39336"/>
    <cellStyle name="Normal 2 2 3 4 2 3 4" xfId="27020"/>
    <cellStyle name="Normal 2 2 3 4 2 4" xfId="10440"/>
    <cellStyle name="Normal 2 2 3 4 2 4 2" xfId="30118"/>
    <cellStyle name="Normal 2 2 3 4 2 5" xfId="16592"/>
    <cellStyle name="Normal 2 2 3 4 2 5 2" xfId="36270"/>
    <cellStyle name="Normal 2 2 3 4 2 6" xfId="23954"/>
    <cellStyle name="Normal 2 2 3 4 3" xfId="4978"/>
    <cellStyle name="Normal 2 2 3 4 3 2" xfId="8078"/>
    <cellStyle name="Normal 2 2 3 4 3 2 2" xfId="14271"/>
    <cellStyle name="Normal 2 2 3 4 3 2 2 2" xfId="33949"/>
    <cellStyle name="Normal 2 2 3 4 3 2 3" xfId="20423"/>
    <cellStyle name="Normal 2 2 3 4 3 2 3 2" xfId="40101"/>
    <cellStyle name="Normal 2 2 3 4 3 2 4" xfId="27785"/>
    <cellStyle name="Normal 2 2 3 4 3 3" xfId="11205"/>
    <cellStyle name="Normal 2 2 3 4 3 3 2" xfId="30883"/>
    <cellStyle name="Normal 2 2 3 4 3 4" xfId="17357"/>
    <cellStyle name="Normal 2 2 3 4 3 4 2" xfId="37035"/>
    <cellStyle name="Normal 2 2 3 4 3 5" xfId="24719"/>
    <cellStyle name="Normal 2 2 3 4 4" xfId="6543"/>
    <cellStyle name="Normal 2 2 3 4 4 2" xfId="12737"/>
    <cellStyle name="Normal 2 2 3 4 4 2 2" xfId="32415"/>
    <cellStyle name="Normal 2 2 3 4 4 3" xfId="18889"/>
    <cellStyle name="Normal 2 2 3 4 4 3 2" xfId="38567"/>
    <cellStyle name="Normal 2 2 3 4 4 4" xfId="26251"/>
    <cellStyle name="Normal 2 2 3 4 5" xfId="9671"/>
    <cellStyle name="Normal 2 2 3 4 5 2" xfId="29349"/>
    <cellStyle name="Normal 2 2 3 4 6" xfId="15823"/>
    <cellStyle name="Normal 2 2 3 4 6 2" xfId="35501"/>
    <cellStyle name="Normal 2 2 3 4 7" xfId="2630"/>
    <cellStyle name="Normal 2 2 3 4 8" xfId="23124"/>
    <cellStyle name="Normal 2 2 3 5" xfId="2631"/>
    <cellStyle name="Normal 2 2 3 5 2" xfId="4137"/>
    <cellStyle name="Normal 2 2 3 5 2 2" xfId="5762"/>
    <cellStyle name="Normal 2 2 3 5 2 2 2" xfId="8848"/>
    <cellStyle name="Normal 2 2 3 5 2 2 2 2" xfId="15041"/>
    <cellStyle name="Normal 2 2 3 5 2 2 2 2 2" xfId="34719"/>
    <cellStyle name="Normal 2 2 3 5 2 2 2 3" xfId="21193"/>
    <cellStyle name="Normal 2 2 3 5 2 2 2 3 2" xfId="40871"/>
    <cellStyle name="Normal 2 2 3 5 2 2 2 4" xfId="28555"/>
    <cellStyle name="Normal 2 2 3 5 2 2 3" xfId="11975"/>
    <cellStyle name="Normal 2 2 3 5 2 2 3 2" xfId="31653"/>
    <cellStyle name="Normal 2 2 3 5 2 2 4" xfId="18127"/>
    <cellStyle name="Normal 2 2 3 5 2 2 4 2" xfId="37805"/>
    <cellStyle name="Normal 2 2 3 5 2 2 5" xfId="25489"/>
    <cellStyle name="Normal 2 2 3 5 2 3" xfId="7313"/>
    <cellStyle name="Normal 2 2 3 5 2 3 2" xfId="13507"/>
    <cellStyle name="Normal 2 2 3 5 2 3 2 2" xfId="33185"/>
    <cellStyle name="Normal 2 2 3 5 2 3 3" xfId="19659"/>
    <cellStyle name="Normal 2 2 3 5 2 3 3 2" xfId="39337"/>
    <cellStyle name="Normal 2 2 3 5 2 3 4" xfId="27021"/>
    <cellStyle name="Normal 2 2 3 5 2 4" xfId="10441"/>
    <cellStyle name="Normal 2 2 3 5 2 4 2" xfId="30119"/>
    <cellStyle name="Normal 2 2 3 5 2 5" xfId="16593"/>
    <cellStyle name="Normal 2 2 3 5 2 5 2" xfId="36271"/>
    <cellStyle name="Normal 2 2 3 5 2 6" xfId="23955"/>
    <cellStyle name="Normal 2 2 3 5 3" xfId="4979"/>
    <cellStyle name="Normal 2 2 3 5 3 2" xfId="8079"/>
    <cellStyle name="Normal 2 2 3 5 3 2 2" xfId="14272"/>
    <cellStyle name="Normal 2 2 3 5 3 2 2 2" xfId="33950"/>
    <cellStyle name="Normal 2 2 3 5 3 2 3" xfId="20424"/>
    <cellStyle name="Normal 2 2 3 5 3 2 3 2" xfId="40102"/>
    <cellStyle name="Normal 2 2 3 5 3 2 4" xfId="27786"/>
    <cellStyle name="Normal 2 2 3 5 3 3" xfId="11206"/>
    <cellStyle name="Normal 2 2 3 5 3 3 2" xfId="30884"/>
    <cellStyle name="Normal 2 2 3 5 3 4" xfId="17358"/>
    <cellStyle name="Normal 2 2 3 5 3 4 2" xfId="37036"/>
    <cellStyle name="Normal 2 2 3 5 3 5" xfId="24720"/>
    <cellStyle name="Normal 2 2 3 5 4" xfId="6544"/>
    <cellStyle name="Normal 2 2 3 5 4 2" xfId="12738"/>
    <cellStyle name="Normal 2 2 3 5 4 2 2" xfId="32416"/>
    <cellStyle name="Normal 2 2 3 5 4 3" xfId="18890"/>
    <cellStyle name="Normal 2 2 3 5 4 3 2" xfId="38568"/>
    <cellStyle name="Normal 2 2 3 5 4 4" xfId="26252"/>
    <cellStyle name="Normal 2 2 3 5 5" xfId="9672"/>
    <cellStyle name="Normal 2 2 3 5 5 2" xfId="29350"/>
    <cellStyle name="Normal 2 2 3 5 6" xfId="15824"/>
    <cellStyle name="Normal 2 2 3 5 6 2" xfId="35502"/>
    <cellStyle name="Normal 2 2 3 5 7" xfId="23125"/>
    <cellStyle name="Normal 2 2 3 6" xfId="2632"/>
    <cellStyle name="Normal 2 2 3 6 2" xfId="4138"/>
    <cellStyle name="Normal 2 2 3 6 2 2" xfId="5763"/>
    <cellStyle name="Normal 2 2 3 6 2 2 2" xfId="8849"/>
    <cellStyle name="Normal 2 2 3 6 2 2 2 2" xfId="15042"/>
    <cellStyle name="Normal 2 2 3 6 2 2 2 2 2" xfId="34720"/>
    <cellStyle name="Normal 2 2 3 6 2 2 2 3" xfId="21194"/>
    <cellStyle name="Normal 2 2 3 6 2 2 2 3 2" xfId="40872"/>
    <cellStyle name="Normal 2 2 3 6 2 2 2 4" xfId="28556"/>
    <cellStyle name="Normal 2 2 3 6 2 2 3" xfId="11976"/>
    <cellStyle name="Normal 2 2 3 6 2 2 3 2" xfId="31654"/>
    <cellStyle name="Normal 2 2 3 6 2 2 4" xfId="18128"/>
    <cellStyle name="Normal 2 2 3 6 2 2 4 2" xfId="37806"/>
    <cellStyle name="Normal 2 2 3 6 2 2 5" xfId="25490"/>
    <cellStyle name="Normal 2 2 3 6 2 3" xfId="7314"/>
    <cellStyle name="Normal 2 2 3 6 2 3 2" xfId="13508"/>
    <cellStyle name="Normal 2 2 3 6 2 3 2 2" xfId="33186"/>
    <cellStyle name="Normal 2 2 3 6 2 3 3" xfId="19660"/>
    <cellStyle name="Normal 2 2 3 6 2 3 3 2" xfId="39338"/>
    <cellStyle name="Normal 2 2 3 6 2 3 4" xfId="27022"/>
    <cellStyle name="Normal 2 2 3 6 2 4" xfId="10442"/>
    <cellStyle name="Normal 2 2 3 6 2 4 2" xfId="30120"/>
    <cellStyle name="Normal 2 2 3 6 2 5" xfId="16594"/>
    <cellStyle name="Normal 2 2 3 6 2 5 2" xfId="36272"/>
    <cellStyle name="Normal 2 2 3 6 2 6" xfId="23956"/>
    <cellStyle name="Normal 2 2 3 6 3" xfId="4980"/>
    <cellStyle name="Normal 2 2 3 6 3 2" xfId="8080"/>
    <cellStyle name="Normal 2 2 3 6 3 2 2" xfId="14273"/>
    <cellStyle name="Normal 2 2 3 6 3 2 2 2" xfId="33951"/>
    <cellStyle name="Normal 2 2 3 6 3 2 3" xfId="20425"/>
    <cellStyle name="Normal 2 2 3 6 3 2 3 2" xfId="40103"/>
    <cellStyle name="Normal 2 2 3 6 3 2 4" xfId="27787"/>
    <cellStyle name="Normal 2 2 3 6 3 3" xfId="11207"/>
    <cellStyle name="Normal 2 2 3 6 3 3 2" xfId="30885"/>
    <cellStyle name="Normal 2 2 3 6 3 4" xfId="17359"/>
    <cellStyle name="Normal 2 2 3 6 3 4 2" xfId="37037"/>
    <cellStyle name="Normal 2 2 3 6 3 5" xfId="24721"/>
    <cellStyle name="Normal 2 2 3 6 4" xfId="6545"/>
    <cellStyle name="Normal 2 2 3 6 4 2" xfId="12739"/>
    <cellStyle name="Normal 2 2 3 6 4 2 2" xfId="32417"/>
    <cellStyle name="Normal 2 2 3 6 4 3" xfId="18891"/>
    <cellStyle name="Normal 2 2 3 6 4 3 2" xfId="38569"/>
    <cellStyle name="Normal 2 2 3 6 4 4" xfId="26253"/>
    <cellStyle name="Normal 2 2 3 6 5" xfId="9673"/>
    <cellStyle name="Normal 2 2 3 6 5 2" xfId="29351"/>
    <cellStyle name="Normal 2 2 3 6 6" xfId="15825"/>
    <cellStyle name="Normal 2 2 3 6 6 2" xfId="35503"/>
    <cellStyle name="Normal 2 2 3 6 7" xfId="23126"/>
    <cellStyle name="Normal 2 2 3 7" xfId="2633"/>
    <cellStyle name="Normal 2 2 3 7 2" xfId="2634"/>
    <cellStyle name="Normal 2 2 3 8" xfId="2635"/>
    <cellStyle name="Normal 2 2 3 8 2" xfId="2636"/>
    <cellStyle name="Normal 2 2 3 9" xfId="4133"/>
    <cellStyle name="Normal 2 2 3 9 2" xfId="5758"/>
    <cellStyle name="Normal 2 2 3 9 2 2" xfId="8844"/>
    <cellStyle name="Normal 2 2 3 9 2 2 2" xfId="15037"/>
    <cellStyle name="Normal 2 2 3 9 2 2 2 2" xfId="34715"/>
    <cellStyle name="Normal 2 2 3 9 2 2 3" xfId="21189"/>
    <cellStyle name="Normal 2 2 3 9 2 2 3 2" xfId="40867"/>
    <cellStyle name="Normal 2 2 3 9 2 2 4" xfId="28551"/>
    <cellStyle name="Normal 2 2 3 9 2 3" xfId="11971"/>
    <cellStyle name="Normal 2 2 3 9 2 3 2" xfId="31649"/>
    <cellStyle name="Normal 2 2 3 9 2 4" xfId="18123"/>
    <cellStyle name="Normal 2 2 3 9 2 4 2" xfId="37801"/>
    <cellStyle name="Normal 2 2 3 9 2 5" xfId="25485"/>
    <cellStyle name="Normal 2 2 3 9 3" xfId="7309"/>
    <cellStyle name="Normal 2 2 3 9 3 2" xfId="13503"/>
    <cellStyle name="Normal 2 2 3 9 3 2 2" xfId="33181"/>
    <cellStyle name="Normal 2 2 3 9 3 3" xfId="19655"/>
    <cellStyle name="Normal 2 2 3 9 3 3 2" xfId="39333"/>
    <cellStyle name="Normal 2 2 3 9 3 4" xfId="27017"/>
    <cellStyle name="Normal 2 2 3 9 4" xfId="10437"/>
    <cellStyle name="Normal 2 2 3 9 4 2" xfId="30115"/>
    <cellStyle name="Normal 2 2 3 9 5" xfId="16589"/>
    <cellStyle name="Normal 2 2 3 9 5 2" xfId="36267"/>
    <cellStyle name="Normal 2 2 3 9 6" xfId="23951"/>
    <cellStyle name="Normal 2 2 30" xfId="22679"/>
    <cellStyle name="Normal 2 2 31" xfId="21759"/>
    <cellStyle name="Normal 2 2 32" xfId="21688"/>
    <cellStyle name="Normal 2 2 4" xfId="84"/>
    <cellStyle name="Normal 2 2 4 10" xfId="2637"/>
    <cellStyle name="Normal 2 2 4 10 2" xfId="23127"/>
    <cellStyle name="Normal 2 2 4 11" xfId="21820"/>
    <cellStyle name="Normal 2 2 4 12" xfId="21727"/>
    <cellStyle name="Normal 2 2 4 2" xfId="191"/>
    <cellStyle name="Normal 2 2 4 2 2" xfId="4140"/>
    <cellStyle name="Normal 2 2 4 2 2 2" xfId="5765"/>
    <cellStyle name="Normal 2 2 4 2 2 2 2" xfId="8851"/>
    <cellStyle name="Normal 2 2 4 2 2 2 2 2" xfId="15044"/>
    <cellStyle name="Normal 2 2 4 2 2 2 2 2 2" xfId="34722"/>
    <cellStyle name="Normal 2 2 4 2 2 2 2 3" xfId="21196"/>
    <cellStyle name="Normal 2 2 4 2 2 2 2 3 2" xfId="40874"/>
    <cellStyle name="Normal 2 2 4 2 2 2 2 4" xfId="28558"/>
    <cellStyle name="Normal 2 2 4 2 2 2 3" xfId="11978"/>
    <cellStyle name="Normal 2 2 4 2 2 2 3 2" xfId="31656"/>
    <cellStyle name="Normal 2 2 4 2 2 2 4" xfId="18130"/>
    <cellStyle name="Normal 2 2 4 2 2 2 4 2" xfId="37808"/>
    <cellStyle name="Normal 2 2 4 2 2 2 5" xfId="25492"/>
    <cellStyle name="Normal 2 2 4 2 2 3" xfId="7316"/>
    <cellStyle name="Normal 2 2 4 2 2 3 2" xfId="13510"/>
    <cellStyle name="Normal 2 2 4 2 2 3 2 2" xfId="33188"/>
    <cellStyle name="Normal 2 2 4 2 2 3 3" xfId="19662"/>
    <cellStyle name="Normal 2 2 4 2 2 3 3 2" xfId="39340"/>
    <cellStyle name="Normal 2 2 4 2 2 3 4" xfId="27024"/>
    <cellStyle name="Normal 2 2 4 2 2 4" xfId="10444"/>
    <cellStyle name="Normal 2 2 4 2 2 4 2" xfId="30122"/>
    <cellStyle name="Normal 2 2 4 2 2 5" xfId="16596"/>
    <cellStyle name="Normal 2 2 4 2 2 5 2" xfId="36274"/>
    <cellStyle name="Normal 2 2 4 2 2 6" xfId="23958"/>
    <cellStyle name="Normal 2 2 4 2 3" xfId="4982"/>
    <cellStyle name="Normal 2 2 4 2 3 2" xfId="8082"/>
    <cellStyle name="Normal 2 2 4 2 3 2 2" xfId="14275"/>
    <cellStyle name="Normal 2 2 4 2 3 2 2 2" xfId="33953"/>
    <cellStyle name="Normal 2 2 4 2 3 2 3" xfId="20427"/>
    <cellStyle name="Normal 2 2 4 2 3 2 3 2" xfId="40105"/>
    <cellStyle name="Normal 2 2 4 2 3 2 4" xfId="27789"/>
    <cellStyle name="Normal 2 2 4 2 3 3" xfId="11209"/>
    <cellStyle name="Normal 2 2 4 2 3 3 2" xfId="30887"/>
    <cellStyle name="Normal 2 2 4 2 3 4" xfId="17361"/>
    <cellStyle name="Normal 2 2 4 2 3 4 2" xfId="37039"/>
    <cellStyle name="Normal 2 2 4 2 3 5" xfId="24723"/>
    <cellStyle name="Normal 2 2 4 2 4" xfId="6547"/>
    <cellStyle name="Normal 2 2 4 2 4 2" xfId="12741"/>
    <cellStyle name="Normal 2 2 4 2 4 2 2" xfId="32419"/>
    <cellStyle name="Normal 2 2 4 2 4 3" xfId="18893"/>
    <cellStyle name="Normal 2 2 4 2 4 3 2" xfId="38571"/>
    <cellStyle name="Normal 2 2 4 2 4 4" xfId="26255"/>
    <cellStyle name="Normal 2 2 4 2 5" xfId="9675"/>
    <cellStyle name="Normal 2 2 4 2 5 2" xfId="29353"/>
    <cellStyle name="Normal 2 2 4 2 6" xfId="15827"/>
    <cellStyle name="Normal 2 2 4 2 6 2" xfId="35505"/>
    <cellStyle name="Normal 2 2 4 2 7" xfId="2638"/>
    <cellStyle name="Normal 2 2 4 2 8" xfId="23128"/>
    <cellStyle name="Normal 2 2 4 3" xfId="2639"/>
    <cellStyle name="Normal 2 2 4 3 2" xfId="2640"/>
    <cellStyle name="Normal 2 2 4 4" xfId="2641"/>
    <cellStyle name="Normal 2 2 4 4 2" xfId="2642"/>
    <cellStyle name="Normal 2 2 4 5" xfId="4139"/>
    <cellStyle name="Normal 2 2 4 5 2" xfId="5764"/>
    <cellStyle name="Normal 2 2 4 5 2 2" xfId="8850"/>
    <cellStyle name="Normal 2 2 4 5 2 2 2" xfId="15043"/>
    <cellStyle name="Normal 2 2 4 5 2 2 2 2" xfId="34721"/>
    <cellStyle name="Normal 2 2 4 5 2 2 3" xfId="21195"/>
    <cellStyle name="Normal 2 2 4 5 2 2 3 2" xfId="40873"/>
    <cellStyle name="Normal 2 2 4 5 2 2 4" xfId="28557"/>
    <cellStyle name="Normal 2 2 4 5 2 3" xfId="11977"/>
    <cellStyle name="Normal 2 2 4 5 2 3 2" xfId="31655"/>
    <cellStyle name="Normal 2 2 4 5 2 4" xfId="18129"/>
    <cellStyle name="Normal 2 2 4 5 2 4 2" xfId="37807"/>
    <cellStyle name="Normal 2 2 4 5 2 5" xfId="25491"/>
    <cellStyle name="Normal 2 2 4 5 3" xfId="7315"/>
    <cellStyle name="Normal 2 2 4 5 3 2" xfId="13509"/>
    <cellStyle name="Normal 2 2 4 5 3 2 2" xfId="33187"/>
    <cellStyle name="Normal 2 2 4 5 3 3" xfId="19661"/>
    <cellStyle name="Normal 2 2 4 5 3 3 2" xfId="39339"/>
    <cellStyle name="Normal 2 2 4 5 3 4" xfId="27023"/>
    <cellStyle name="Normal 2 2 4 5 4" xfId="10443"/>
    <cellStyle name="Normal 2 2 4 5 4 2" xfId="30121"/>
    <cellStyle name="Normal 2 2 4 5 5" xfId="16595"/>
    <cellStyle name="Normal 2 2 4 5 5 2" xfId="36273"/>
    <cellStyle name="Normal 2 2 4 5 6" xfId="23957"/>
    <cellStyle name="Normal 2 2 4 6" xfId="4981"/>
    <cellStyle name="Normal 2 2 4 6 2" xfId="8081"/>
    <cellStyle name="Normal 2 2 4 6 2 2" xfId="14274"/>
    <cellStyle name="Normal 2 2 4 6 2 2 2" xfId="33952"/>
    <cellStyle name="Normal 2 2 4 6 2 3" xfId="20426"/>
    <cellStyle name="Normal 2 2 4 6 2 3 2" xfId="40104"/>
    <cellStyle name="Normal 2 2 4 6 2 4" xfId="27788"/>
    <cellStyle name="Normal 2 2 4 6 3" xfId="11208"/>
    <cellStyle name="Normal 2 2 4 6 3 2" xfId="30886"/>
    <cellStyle name="Normal 2 2 4 6 4" xfId="17360"/>
    <cellStyle name="Normal 2 2 4 6 4 2" xfId="37038"/>
    <cellStyle name="Normal 2 2 4 6 5" xfId="24722"/>
    <cellStyle name="Normal 2 2 4 7" xfId="6546"/>
    <cellStyle name="Normal 2 2 4 7 2" xfId="12740"/>
    <cellStyle name="Normal 2 2 4 7 2 2" xfId="32418"/>
    <cellStyle name="Normal 2 2 4 7 3" xfId="18892"/>
    <cellStyle name="Normal 2 2 4 7 3 2" xfId="38570"/>
    <cellStyle name="Normal 2 2 4 7 4" xfId="26254"/>
    <cellStyle name="Normal 2 2 4 8" xfId="9674"/>
    <cellStyle name="Normal 2 2 4 8 2" xfId="29352"/>
    <cellStyle name="Normal 2 2 4 9" xfId="15826"/>
    <cellStyle name="Normal 2 2 4 9 2" xfId="35504"/>
    <cellStyle name="Normal 2 2 5" xfId="153"/>
    <cellStyle name="Normal 2 2 5 10" xfId="21841"/>
    <cellStyle name="Normal 2 2 5 2" xfId="2644"/>
    <cellStyle name="Normal 2 2 5 2 2" xfId="4142"/>
    <cellStyle name="Normal 2 2 5 2 2 2" xfId="5767"/>
    <cellStyle name="Normal 2 2 5 2 2 2 2" xfId="8853"/>
    <cellStyle name="Normal 2 2 5 2 2 2 2 2" xfId="15046"/>
    <cellStyle name="Normal 2 2 5 2 2 2 2 2 2" xfId="34724"/>
    <cellStyle name="Normal 2 2 5 2 2 2 2 3" xfId="21198"/>
    <cellStyle name="Normal 2 2 5 2 2 2 2 3 2" xfId="40876"/>
    <cellStyle name="Normal 2 2 5 2 2 2 2 4" xfId="28560"/>
    <cellStyle name="Normal 2 2 5 2 2 2 3" xfId="11980"/>
    <cellStyle name="Normal 2 2 5 2 2 2 3 2" xfId="31658"/>
    <cellStyle name="Normal 2 2 5 2 2 2 4" xfId="18132"/>
    <cellStyle name="Normal 2 2 5 2 2 2 4 2" xfId="37810"/>
    <cellStyle name="Normal 2 2 5 2 2 2 5" xfId="25494"/>
    <cellStyle name="Normal 2 2 5 2 2 3" xfId="7318"/>
    <cellStyle name="Normal 2 2 5 2 2 3 2" xfId="13512"/>
    <cellStyle name="Normal 2 2 5 2 2 3 2 2" xfId="33190"/>
    <cellStyle name="Normal 2 2 5 2 2 3 3" xfId="19664"/>
    <cellStyle name="Normal 2 2 5 2 2 3 3 2" xfId="39342"/>
    <cellStyle name="Normal 2 2 5 2 2 3 4" xfId="27026"/>
    <cellStyle name="Normal 2 2 5 2 2 4" xfId="10446"/>
    <cellStyle name="Normal 2 2 5 2 2 4 2" xfId="30124"/>
    <cellStyle name="Normal 2 2 5 2 2 5" xfId="16598"/>
    <cellStyle name="Normal 2 2 5 2 2 5 2" xfId="36276"/>
    <cellStyle name="Normal 2 2 5 2 2 6" xfId="23960"/>
    <cellStyle name="Normal 2 2 5 2 3" xfId="4984"/>
    <cellStyle name="Normal 2 2 5 2 3 2" xfId="8084"/>
    <cellStyle name="Normal 2 2 5 2 3 2 2" xfId="14277"/>
    <cellStyle name="Normal 2 2 5 2 3 2 2 2" xfId="33955"/>
    <cellStyle name="Normal 2 2 5 2 3 2 3" xfId="20429"/>
    <cellStyle name="Normal 2 2 5 2 3 2 3 2" xfId="40107"/>
    <cellStyle name="Normal 2 2 5 2 3 2 4" xfId="27791"/>
    <cellStyle name="Normal 2 2 5 2 3 3" xfId="11211"/>
    <cellStyle name="Normal 2 2 5 2 3 3 2" xfId="30889"/>
    <cellStyle name="Normal 2 2 5 2 3 4" xfId="17363"/>
    <cellStyle name="Normal 2 2 5 2 3 4 2" xfId="37041"/>
    <cellStyle name="Normal 2 2 5 2 3 5" xfId="24725"/>
    <cellStyle name="Normal 2 2 5 2 4" xfId="6549"/>
    <cellStyle name="Normal 2 2 5 2 4 2" xfId="12743"/>
    <cellStyle name="Normal 2 2 5 2 4 2 2" xfId="32421"/>
    <cellStyle name="Normal 2 2 5 2 4 3" xfId="18895"/>
    <cellStyle name="Normal 2 2 5 2 4 3 2" xfId="38573"/>
    <cellStyle name="Normal 2 2 5 2 4 4" xfId="26257"/>
    <cellStyle name="Normal 2 2 5 2 5" xfId="9677"/>
    <cellStyle name="Normal 2 2 5 2 5 2" xfId="29355"/>
    <cellStyle name="Normal 2 2 5 2 6" xfId="15829"/>
    <cellStyle name="Normal 2 2 5 2 6 2" xfId="35507"/>
    <cellStyle name="Normal 2 2 5 2 7" xfId="23130"/>
    <cellStyle name="Normal 2 2 5 3" xfId="2645"/>
    <cellStyle name="Normal 2 2 5 4" xfId="4141"/>
    <cellStyle name="Normal 2 2 5 4 2" xfId="5766"/>
    <cellStyle name="Normal 2 2 5 4 2 2" xfId="8852"/>
    <cellStyle name="Normal 2 2 5 4 2 2 2" xfId="15045"/>
    <cellStyle name="Normal 2 2 5 4 2 2 2 2" xfId="34723"/>
    <cellStyle name="Normal 2 2 5 4 2 2 3" xfId="21197"/>
    <cellStyle name="Normal 2 2 5 4 2 2 3 2" xfId="40875"/>
    <cellStyle name="Normal 2 2 5 4 2 2 4" xfId="28559"/>
    <cellStyle name="Normal 2 2 5 4 2 3" xfId="11979"/>
    <cellStyle name="Normal 2 2 5 4 2 3 2" xfId="31657"/>
    <cellStyle name="Normal 2 2 5 4 2 4" xfId="18131"/>
    <cellStyle name="Normal 2 2 5 4 2 4 2" xfId="37809"/>
    <cellStyle name="Normal 2 2 5 4 2 5" xfId="25493"/>
    <cellStyle name="Normal 2 2 5 4 3" xfId="7317"/>
    <cellStyle name="Normal 2 2 5 4 3 2" xfId="13511"/>
    <cellStyle name="Normal 2 2 5 4 3 2 2" xfId="33189"/>
    <cellStyle name="Normal 2 2 5 4 3 3" xfId="19663"/>
    <cellStyle name="Normal 2 2 5 4 3 3 2" xfId="39341"/>
    <cellStyle name="Normal 2 2 5 4 3 4" xfId="27025"/>
    <cellStyle name="Normal 2 2 5 4 4" xfId="10445"/>
    <cellStyle name="Normal 2 2 5 4 4 2" xfId="30123"/>
    <cellStyle name="Normal 2 2 5 4 5" xfId="16597"/>
    <cellStyle name="Normal 2 2 5 4 5 2" xfId="36275"/>
    <cellStyle name="Normal 2 2 5 4 6" xfId="23959"/>
    <cellStyle name="Normal 2 2 5 5" xfId="4983"/>
    <cellStyle name="Normal 2 2 5 5 2" xfId="8083"/>
    <cellStyle name="Normal 2 2 5 5 2 2" xfId="14276"/>
    <cellStyle name="Normal 2 2 5 5 2 2 2" xfId="33954"/>
    <cellStyle name="Normal 2 2 5 5 2 3" xfId="20428"/>
    <cellStyle name="Normal 2 2 5 5 2 3 2" xfId="40106"/>
    <cellStyle name="Normal 2 2 5 5 2 4" xfId="27790"/>
    <cellStyle name="Normal 2 2 5 5 3" xfId="11210"/>
    <cellStyle name="Normal 2 2 5 5 3 2" xfId="30888"/>
    <cellStyle name="Normal 2 2 5 5 4" xfId="17362"/>
    <cellStyle name="Normal 2 2 5 5 4 2" xfId="37040"/>
    <cellStyle name="Normal 2 2 5 5 5" xfId="24724"/>
    <cellStyle name="Normal 2 2 5 6" xfId="6548"/>
    <cellStyle name="Normal 2 2 5 6 2" xfId="12742"/>
    <cellStyle name="Normal 2 2 5 6 2 2" xfId="32420"/>
    <cellStyle name="Normal 2 2 5 6 3" xfId="18894"/>
    <cellStyle name="Normal 2 2 5 6 3 2" xfId="38572"/>
    <cellStyle name="Normal 2 2 5 6 4" xfId="26256"/>
    <cellStyle name="Normal 2 2 5 7" xfId="9676"/>
    <cellStyle name="Normal 2 2 5 7 2" xfId="29354"/>
    <cellStyle name="Normal 2 2 5 8" xfId="15828"/>
    <cellStyle name="Normal 2 2 5 8 2" xfId="35506"/>
    <cellStyle name="Normal 2 2 5 9" xfId="2643"/>
    <cellStyle name="Normal 2 2 5 9 2" xfId="23129"/>
    <cellStyle name="Normal 2 2 6" xfId="2646"/>
    <cellStyle name="Normal 2 2 6 2" xfId="4143"/>
    <cellStyle name="Normal 2 2 6 2 2" xfId="5768"/>
    <cellStyle name="Normal 2 2 6 2 2 2" xfId="8854"/>
    <cellStyle name="Normal 2 2 6 2 2 2 2" xfId="15047"/>
    <cellStyle name="Normal 2 2 6 2 2 2 2 2" xfId="34725"/>
    <cellStyle name="Normal 2 2 6 2 2 2 3" xfId="21199"/>
    <cellStyle name="Normal 2 2 6 2 2 2 3 2" xfId="40877"/>
    <cellStyle name="Normal 2 2 6 2 2 2 4" xfId="28561"/>
    <cellStyle name="Normal 2 2 6 2 2 3" xfId="11981"/>
    <cellStyle name="Normal 2 2 6 2 2 3 2" xfId="31659"/>
    <cellStyle name="Normal 2 2 6 2 2 4" xfId="18133"/>
    <cellStyle name="Normal 2 2 6 2 2 4 2" xfId="37811"/>
    <cellStyle name="Normal 2 2 6 2 2 5" xfId="25495"/>
    <cellStyle name="Normal 2 2 6 2 3" xfId="7319"/>
    <cellStyle name="Normal 2 2 6 2 3 2" xfId="13513"/>
    <cellStyle name="Normal 2 2 6 2 3 2 2" xfId="33191"/>
    <cellStyle name="Normal 2 2 6 2 3 3" xfId="19665"/>
    <cellStyle name="Normal 2 2 6 2 3 3 2" xfId="39343"/>
    <cellStyle name="Normal 2 2 6 2 3 4" xfId="27027"/>
    <cellStyle name="Normal 2 2 6 2 4" xfId="10447"/>
    <cellStyle name="Normal 2 2 6 2 4 2" xfId="30125"/>
    <cellStyle name="Normal 2 2 6 2 5" xfId="16599"/>
    <cellStyle name="Normal 2 2 6 2 5 2" xfId="36277"/>
    <cellStyle name="Normal 2 2 6 2 6" xfId="23961"/>
    <cellStyle name="Normal 2 2 6 3" xfId="4985"/>
    <cellStyle name="Normal 2 2 6 3 2" xfId="8085"/>
    <cellStyle name="Normal 2 2 6 3 2 2" xfId="14278"/>
    <cellStyle name="Normal 2 2 6 3 2 2 2" xfId="33956"/>
    <cellStyle name="Normal 2 2 6 3 2 3" xfId="20430"/>
    <cellStyle name="Normal 2 2 6 3 2 3 2" xfId="40108"/>
    <cellStyle name="Normal 2 2 6 3 2 4" xfId="27792"/>
    <cellStyle name="Normal 2 2 6 3 3" xfId="11212"/>
    <cellStyle name="Normal 2 2 6 3 3 2" xfId="30890"/>
    <cellStyle name="Normal 2 2 6 3 4" xfId="17364"/>
    <cellStyle name="Normal 2 2 6 3 4 2" xfId="37042"/>
    <cellStyle name="Normal 2 2 6 3 5" xfId="24726"/>
    <cellStyle name="Normal 2 2 6 4" xfId="6550"/>
    <cellStyle name="Normal 2 2 6 4 2" xfId="12744"/>
    <cellStyle name="Normal 2 2 6 4 2 2" xfId="32422"/>
    <cellStyle name="Normal 2 2 6 4 3" xfId="18896"/>
    <cellStyle name="Normal 2 2 6 4 3 2" xfId="38574"/>
    <cellStyle name="Normal 2 2 6 4 4" xfId="26258"/>
    <cellStyle name="Normal 2 2 6 5" xfId="9678"/>
    <cellStyle name="Normal 2 2 6 5 2" xfId="29356"/>
    <cellStyle name="Normal 2 2 6 6" xfId="15830"/>
    <cellStyle name="Normal 2 2 6 6 2" xfId="35508"/>
    <cellStyle name="Normal 2 2 6 7" xfId="23131"/>
    <cellStyle name="Normal 2 2 6 8" xfId="21824"/>
    <cellStyle name="Normal 2 2 7" xfId="2647"/>
    <cellStyle name="Normal 2 2 7 2" xfId="4144"/>
    <cellStyle name="Normal 2 2 7 2 2" xfId="5769"/>
    <cellStyle name="Normal 2 2 7 2 2 2" xfId="8855"/>
    <cellStyle name="Normal 2 2 7 2 2 2 2" xfId="15048"/>
    <cellStyle name="Normal 2 2 7 2 2 2 2 2" xfId="34726"/>
    <cellStyle name="Normal 2 2 7 2 2 2 3" xfId="21200"/>
    <cellStyle name="Normal 2 2 7 2 2 2 3 2" xfId="40878"/>
    <cellStyle name="Normal 2 2 7 2 2 2 4" xfId="28562"/>
    <cellStyle name="Normal 2 2 7 2 2 3" xfId="11982"/>
    <cellStyle name="Normal 2 2 7 2 2 3 2" xfId="31660"/>
    <cellStyle name="Normal 2 2 7 2 2 4" xfId="18134"/>
    <cellStyle name="Normal 2 2 7 2 2 4 2" xfId="37812"/>
    <cellStyle name="Normal 2 2 7 2 2 5" xfId="25496"/>
    <cellStyle name="Normal 2 2 7 2 3" xfId="7320"/>
    <cellStyle name="Normal 2 2 7 2 3 2" xfId="13514"/>
    <cellStyle name="Normal 2 2 7 2 3 2 2" xfId="33192"/>
    <cellStyle name="Normal 2 2 7 2 3 3" xfId="19666"/>
    <cellStyle name="Normal 2 2 7 2 3 3 2" xfId="39344"/>
    <cellStyle name="Normal 2 2 7 2 3 4" xfId="27028"/>
    <cellStyle name="Normal 2 2 7 2 4" xfId="10448"/>
    <cellStyle name="Normal 2 2 7 2 4 2" xfId="30126"/>
    <cellStyle name="Normal 2 2 7 2 5" xfId="16600"/>
    <cellStyle name="Normal 2 2 7 2 5 2" xfId="36278"/>
    <cellStyle name="Normal 2 2 7 2 6" xfId="23962"/>
    <cellStyle name="Normal 2 2 7 3" xfId="4986"/>
    <cellStyle name="Normal 2 2 7 3 2" xfId="8086"/>
    <cellStyle name="Normal 2 2 7 3 2 2" xfId="14279"/>
    <cellStyle name="Normal 2 2 7 3 2 2 2" xfId="33957"/>
    <cellStyle name="Normal 2 2 7 3 2 3" xfId="20431"/>
    <cellStyle name="Normal 2 2 7 3 2 3 2" xfId="40109"/>
    <cellStyle name="Normal 2 2 7 3 2 4" xfId="27793"/>
    <cellStyle name="Normal 2 2 7 3 3" xfId="11213"/>
    <cellStyle name="Normal 2 2 7 3 3 2" xfId="30891"/>
    <cellStyle name="Normal 2 2 7 3 4" xfId="17365"/>
    <cellStyle name="Normal 2 2 7 3 4 2" xfId="37043"/>
    <cellStyle name="Normal 2 2 7 3 5" xfId="24727"/>
    <cellStyle name="Normal 2 2 7 4" xfId="6551"/>
    <cellStyle name="Normal 2 2 7 4 2" xfId="12745"/>
    <cellStyle name="Normal 2 2 7 4 2 2" xfId="32423"/>
    <cellStyle name="Normal 2 2 7 4 3" xfId="18897"/>
    <cellStyle name="Normal 2 2 7 4 3 2" xfId="38575"/>
    <cellStyle name="Normal 2 2 7 4 4" xfId="26259"/>
    <cellStyle name="Normal 2 2 7 5" xfId="9679"/>
    <cellStyle name="Normal 2 2 7 5 2" xfId="29357"/>
    <cellStyle name="Normal 2 2 7 6" xfId="15831"/>
    <cellStyle name="Normal 2 2 7 6 2" xfId="35509"/>
    <cellStyle name="Normal 2 2 7 7" xfId="23132"/>
    <cellStyle name="Normal 2 2 7 8" xfId="21877"/>
    <cellStyle name="Normal 2 2 8" xfId="2648"/>
    <cellStyle name="Normal 2 2 8 2" xfId="4145"/>
    <cellStyle name="Normal 2 2 8 2 2" xfId="5770"/>
    <cellStyle name="Normal 2 2 8 2 2 2" xfId="8856"/>
    <cellStyle name="Normal 2 2 8 2 2 2 2" xfId="15049"/>
    <cellStyle name="Normal 2 2 8 2 2 2 2 2" xfId="34727"/>
    <cellStyle name="Normal 2 2 8 2 2 2 3" xfId="21201"/>
    <cellStyle name="Normal 2 2 8 2 2 2 3 2" xfId="40879"/>
    <cellStyle name="Normal 2 2 8 2 2 2 4" xfId="28563"/>
    <cellStyle name="Normal 2 2 8 2 2 3" xfId="11983"/>
    <cellStyle name="Normal 2 2 8 2 2 3 2" xfId="31661"/>
    <cellStyle name="Normal 2 2 8 2 2 4" xfId="18135"/>
    <cellStyle name="Normal 2 2 8 2 2 4 2" xfId="37813"/>
    <cellStyle name="Normal 2 2 8 2 2 5" xfId="25497"/>
    <cellStyle name="Normal 2 2 8 2 3" xfId="7321"/>
    <cellStyle name="Normal 2 2 8 2 3 2" xfId="13515"/>
    <cellStyle name="Normal 2 2 8 2 3 2 2" xfId="33193"/>
    <cellStyle name="Normal 2 2 8 2 3 3" xfId="19667"/>
    <cellStyle name="Normal 2 2 8 2 3 3 2" xfId="39345"/>
    <cellStyle name="Normal 2 2 8 2 3 4" xfId="27029"/>
    <cellStyle name="Normal 2 2 8 2 4" xfId="10449"/>
    <cellStyle name="Normal 2 2 8 2 4 2" xfId="30127"/>
    <cellStyle name="Normal 2 2 8 2 5" xfId="16601"/>
    <cellStyle name="Normal 2 2 8 2 5 2" xfId="36279"/>
    <cellStyle name="Normal 2 2 8 2 6" xfId="23963"/>
    <cellStyle name="Normal 2 2 8 3" xfId="4987"/>
    <cellStyle name="Normal 2 2 8 3 2" xfId="8087"/>
    <cellStyle name="Normal 2 2 8 3 2 2" xfId="14280"/>
    <cellStyle name="Normal 2 2 8 3 2 2 2" xfId="33958"/>
    <cellStyle name="Normal 2 2 8 3 2 3" xfId="20432"/>
    <cellStyle name="Normal 2 2 8 3 2 3 2" xfId="40110"/>
    <cellStyle name="Normal 2 2 8 3 2 4" xfId="27794"/>
    <cellStyle name="Normal 2 2 8 3 3" xfId="11214"/>
    <cellStyle name="Normal 2 2 8 3 3 2" xfId="30892"/>
    <cellStyle name="Normal 2 2 8 3 4" xfId="17366"/>
    <cellStyle name="Normal 2 2 8 3 4 2" xfId="37044"/>
    <cellStyle name="Normal 2 2 8 3 5" xfId="24728"/>
    <cellStyle name="Normal 2 2 8 4" xfId="6552"/>
    <cellStyle name="Normal 2 2 8 4 2" xfId="12746"/>
    <cellStyle name="Normal 2 2 8 4 2 2" xfId="32424"/>
    <cellStyle name="Normal 2 2 8 4 3" xfId="18898"/>
    <cellStyle name="Normal 2 2 8 4 3 2" xfId="38576"/>
    <cellStyle name="Normal 2 2 8 4 4" xfId="26260"/>
    <cellStyle name="Normal 2 2 8 5" xfId="9680"/>
    <cellStyle name="Normal 2 2 8 5 2" xfId="29358"/>
    <cellStyle name="Normal 2 2 8 6" xfId="15832"/>
    <cellStyle name="Normal 2 2 8 6 2" xfId="35510"/>
    <cellStyle name="Normal 2 2 8 7" xfId="23133"/>
    <cellStyle name="Normal 2 2 8 8" xfId="21879"/>
    <cellStyle name="Normal 2 2 9" xfId="2649"/>
    <cellStyle name="Normal 2 2 9 2" xfId="4146"/>
    <cellStyle name="Normal 2 2 9 2 2" xfId="5771"/>
    <cellStyle name="Normal 2 2 9 2 2 2" xfId="8857"/>
    <cellStyle name="Normal 2 2 9 2 2 2 2" xfId="15050"/>
    <cellStyle name="Normal 2 2 9 2 2 2 2 2" xfId="34728"/>
    <cellStyle name="Normal 2 2 9 2 2 2 3" xfId="21202"/>
    <cellStyle name="Normal 2 2 9 2 2 2 3 2" xfId="40880"/>
    <cellStyle name="Normal 2 2 9 2 2 2 4" xfId="28564"/>
    <cellStyle name="Normal 2 2 9 2 2 3" xfId="11984"/>
    <cellStyle name="Normal 2 2 9 2 2 3 2" xfId="31662"/>
    <cellStyle name="Normal 2 2 9 2 2 4" xfId="18136"/>
    <cellStyle name="Normal 2 2 9 2 2 4 2" xfId="37814"/>
    <cellStyle name="Normal 2 2 9 2 2 5" xfId="25498"/>
    <cellStyle name="Normal 2 2 9 2 3" xfId="7322"/>
    <cellStyle name="Normal 2 2 9 2 3 2" xfId="13516"/>
    <cellStyle name="Normal 2 2 9 2 3 2 2" xfId="33194"/>
    <cellStyle name="Normal 2 2 9 2 3 3" xfId="19668"/>
    <cellStyle name="Normal 2 2 9 2 3 3 2" xfId="39346"/>
    <cellStyle name="Normal 2 2 9 2 3 4" xfId="27030"/>
    <cellStyle name="Normal 2 2 9 2 4" xfId="10450"/>
    <cellStyle name="Normal 2 2 9 2 4 2" xfId="30128"/>
    <cellStyle name="Normal 2 2 9 2 5" xfId="16602"/>
    <cellStyle name="Normal 2 2 9 2 5 2" xfId="36280"/>
    <cellStyle name="Normal 2 2 9 2 6" xfId="23964"/>
    <cellStyle name="Normal 2 2 9 3" xfId="4988"/>
    <cellStyle name="Normal 2 2 9 3 2" xfId="8088"/>
    <cellStyle name="Normal 2 2 9 3 2 2" xfId="14281"/>
    <cellStyle name="Normal 2 2 9 3 2 2 2" xfId="33959"/>
    <cellStyle name="Normal 2 2 9 3 2 3" xfId="20433"/>
    <cellStyle name="Normal 2 2 9 3 2 3 2" xfId="40111"/>
    <cellStyle name="Normal 2 2 9 3 2 4" xfId="27795"/>
    <cellStyle name="Normal 2 2 9 3 3" xfId="11215"/>
    <cellStyle name="Normal 2 2 9 3 3 2" xfId="30893"/>
    <cellStyle name="Normal 2 2 9 3 4" xfId="17367"/>
    <cellStyle name="Normal 2 2 9 3 4 2" xfId="37045"/>
    <cellStyle name="Normal 2 2 9 3 5" xfId="24729"/>
    <cellStyle name="Normal 2 2 9 4" xfId="6553"/>
    <cellStyle name="Normal 2 2 9 4 2" xfId="12747"/>
    <cellStyle name="Normal 2 2 9 4 2 2" xfId="32425"/>
    <cellStyle name="Normal 2 2 9 4 3" xfId="18899"/>
    <cellStyle name="Normal 2 2 9 4 3 2" xfId="38577"/>
    <cellStyle name="Normal 2 2 9 4 4" xfId="26261"/>
    <cellStyle name="Normal 2 2 9 5" xfId="9681"/>
    <cellStyle name="Normal 2 2 9 5 2" xfId="29359"/>
    <cellStyle name="Normal 2 2 9 6" xfId="15833"/>
    <cellStyle name="Normal 2 2 9 6 2" xfId="35511"/>
    <cellStyle name="Normal 2 2 9 7" xfId="23134"/>
    <cellStyle name="Normal 2 2 9 8" xfId="21891"/>
    <cellStyle name="Normal 2 20" xfId="2650"/>
    <cellStyle name="Normal 2 20 2" xfId="4147"/>
    <cellStyle name="Normal 2 20 2 2" xfId="5772"/>
    <cellStyle name="Normal 2 20 2 2 2" xfId="8858"/>
    <cellStyle name="Normal 2 20 2 2 2 2" xfId="15051"/>
    <cellStyle name="Normal 2 20 2 2 2 2 2" xfId="34729"/>
    <cellStyle name="Normal 2 20 2 2 2 3" xfId="21203"/>
    <cellStyle name="Normal 2 20 2 2 2 3 2" xfId="40881"/>
    <cellStyle name="Normal 2 20 2 2 2 4" xfId="28565"/>
    <cellStyle name="Normal 2 20 2 2 3" xfId="11985"/>
    <cellStyle name="Normal 2 20 2 2 3 2" xfId="31663"/>
    <cellStyle name="Normal 2 20 2 2 4" xfId="18137"/>
    <cellStyle name="Normal 2 20 2 2 4 2" xfId="37815"/>
    <cellStyle name="Normal 2 20 2 2 5" xfId="25499"/>
    <cellStyle name="Normal 2 20 2 3" xfId="7323"/>
    <cellStyle name="Normal 2 20 2 3 2" xfId="13517"/>
    <cellStyle name="Normal 2 20 2 3 2 2" xfId="33195"/>
    <cellStyle name="Normal 2 20 2 3 3" xfId="19669"/>
    <cellStyle name="Normal 2 20 2 3 3 2" xfId="39347"/>
    <cellStyle name="Normal 2 20 2 3 4" xfId="27031"/>
    <cellStyle name="Normal 2 20 2 4" xfId="10451"/>
    <cellStyle name="Normal 2 20 2 4 2" xfId="30129"/>
    <cellStyle name="Normal 2 20 2 5" xfId="16603"/>
    <cellStyle name="Normal 2 20 2 5 2" xfId="36281"/>
    <cellStyle name="Normal 2 20 2 6" xfId="23965"/>
    <cellStyle name="Normal 2 20 3" xfId="4989"/>
    <cellStyle name="Normal 2 20 3 2" xfId="8089"/>
    <cellStyle name="Normal 2 20 3 2 2" xfId="14282"/>
    <cellStyle name="Normal 2 20 3 2 2 2" xfId="33960"/>
    <cellStyle name="Normal 2 20 3 2 3" xfId="20434"/>
    <cellStyle name="Normal 2 20 3 2 3 2" xfId="40112"/>
    <cellStyle name="Normal 2 20 3 2 4" xfId="27796"/>
    <cellStyle name="Normal 2 20 3 3" xfId="11216"/>
    <cellStyle name="Normal 2 20 3 3 2" xfId="30894"/>
    <cellStyle name="Normal 2 20 3 4" xfId="17368"/>
    <cellStyle name="Normal 2 20 3 4 2" xfId="37046"/>
    <cellStyle name="Normal 2 20 3 5" xfId="24730"/>
    <cellStyle name="Normal 2 20 4" xfId="6554"/>
    <cellStyle name="Normal 2 20 4 2" xfId="12748"/>
    <cellStyle name="Normal 2 20 4 2 2" xfId="32426"/>
    <cellStyle name="Normal 2 20 4 3" xfId="18900"/>
    <cellStyle name="Normal 2 20 4 3 2" xfId="38578"/>
    <cellStyle name="Normal 2 20 4 4" xfId="26262"/>
    <cellStyle name="Normal 2 20 5" xfId="9682"/>
    <cellStyle name="Normal 2 20 5 2" xfId="29360"/>
    <cellStyle name="Normal 2 20 6" xfId="15834"/>
    <cellStyle name="Normal 2 20 6 2" xfId="35512"/>
    <cellStyle name="Normal 2 20 7" xfId="23135"/>
    <cellStyle name="Normal 2 21" xfId="2651"/>
    <cellStyle name="Normal 2 22" xfId="335"/>
    <cellStyle name="Normal 2 22 2" xfId="3762"/>
    <cellStyle name="Normal 2 22 3" xfId="2652"/>
    <cellStyle name="Normal 2 23" xfId="3679"/>
    <cellStyle name="Normal 2 24" xfId="383"/>
    <cellStyle name="Normal 2 24 2" xfId="3830"/>
    <cellStyle name="Normal 2 24 2 2" xfId="5455"/>
    <cellStyle name="Normal 2 24 2 2 2" xfId="8541"/>
    <cellStyle name="Normal 2 24 2 2 2 2" xfId="14734"/>
    <cellStyle name="Normal 2 24 2 2 2 2 2" xfId="34412"/>
    <cellStyle name="Normal 2 24 2 2 2 3" xfId="20886"/>
    <cellStyle name="Normal 2 24 2 2 2 3 2" xfId="40564"/>
    <cellStyle name="Normal 2 24 2 2 2 4" xfId="28248"/>
    <cellStyle name="Normal 2 24 2 2 3" xfId="11668"/>
    <cellStyle name="Normal 2 24 2 2 3 2" xfId="31346"/>
    <cellStyle name="Normal 2 24 2 2 4" xfId="17820"/>
    <cellStyle name="Normal 2 24 2 2 4 2" xfId="37498"/>
    <cellStyle name="Normal 2 24 2 2 5" xfId="25182"/>
    <cellStyle name="Normal 2 24 2 3" xfId="7006"/>
    <cellStyle name="Normal 2 24 2 3 2" xfId="13200"/>
    <cellStyle name="Normal 2 24 2 3 2 2" xfId="32878"/>
    <cellStyle name="Normal 2 24 2 3 3" xfId="19352"/>
    <cellStyle name="Normal 2 24 2 3 3 2" xfId="39030"/>
    <cellStyle name="Normal 2 24 2 3 4" xfId="26714"/>
    <cellStyle name="Normal 2 24 2 4" xfId="10134"/>
    <cellStyle name="Normal 2 24 2 4 2" xfId="29812"/>
    <cellStyle name="Normal 2 24 2 5" xfId="16286"/>
    <cellStyle name="Normal 2 24 2 5 2" xfId="35964"/>
    <cellStyle name="Normal 2 24 2 6" xfId="23648"/>
    <cellStyle name="Normal 2 24 3" xfId="4669"/>
    <cellStyle name="Normal 2 24 3 2" xfId="7772"/>
    <cellStyle name="Normal 2 24 3 2 2" xfId="13965"/>
    <cellStyle name="Normal 2 24 3 2 2 2" xfId="33643"/>
    <cellStyle name="Normal 2 24 3 2 3" xfId="20117"/>
    <cellStyle name="Normal 2 24 3 2 3 2" xfId="39795"/>
    <cellStyle name="Normal 2 24 3 2 4" xfId="27479"/>
    <cellStyle name="Normal 2 24 3 3" xfId="10899"/>
    <cellStyle name="Normal 2 24 3 3 2" xfId="30577"/>
    <cellStyle name="Normal 2 24 3 4" xfId="17051"/>
    <cellStyle name="Normal 2 24 3 4 2" xfId="36729"/>
    <cellStyle name="Normal 2 24 3 5" xfId="24413"/>
    <cellStyle name="Normal 2 24 4" xfId="6237"/>
    <cellStyle name="Normal 2 24 4 2" xfId="12431"/>
    <cellStyle name="Normal 2 24 4 2 2" xfId="32109"/>
    <cellStyle name="Normal 2 24 4 3" xfId="18583"/>
    <cellStyle name="Normal 2 24 4 3 2" xfId="38261"/>
    <cellStyle name="Normal 2 24 4 4" xfId="25945"/>
    <cellStyle name="Normal 2 24 5" xfId="9365"/>
    <cellStyle name="Normal 2 24 5 2" xfId="29043"/>
    <cellStyle name="Normal 2 24 6" xfId="15517"/>
    <cellStyle name="Normal 2 24 6 2" xfId="35195"/>
    <cellStyle name="Normal 2 24 7" xfId="22760"/>
    <cellStyle name="Normal 2 25" xfId="4641"/>
    <cellStyle name="Normal 2 25 2" xfId="7745"/>
    <cellStyle name="Normal 2 26" xfId="9285"/>
    <cellStyle name="Normal 2 27" xfId="215"/>
    <cellStyle name="Normal 2 28" xfId="41975"/>
    <cellStyle name="Normal 2 3" xfId="12"/>
    <cellStyle name="Normal 2 3 10" xfId="9321"/>
    <cellStyle name="Normal 2 3 11" xfId="41977"/>
    <cellStyle name="Normal 2 3 2" xfId="2654"/>
    <cellStyle name="Normal 2 3 2 2" xfId="2655"/>
    <cellStyle name="Normal 2 3 2 2 2" xfId="41979"/>
    <cellStyle name="Normal 2 3 2 3" xfId="4148"/>
    <cellStyle name="Normal 2 3 2 3 2" xfId="5773"/>
    <cellStyle name="Normal 2 3 2 3 2 2" xfId="8859"/>
    <cellStyle name="Normal 2 3 2 3 2 2 2" xfId="15052"/>
    <cellStyle name="Normal 2 3 2 3 2 2 2 2" xfId="34730"/>
    <cellStyle name="Normal 2 3 2 3 2 2 3" xfId="21204"/>
    <cellStyle name="Normal 2 3 2 3 2 2 3 2" xfId="40882"/>
    <cellStyle name="Normal 2 3 2 3 2 2 4" xfId="28566"/>
    <cellStyle name="Normal 2 3 2 3 2 3" xfId="11986"/>
    <cellStyle name="Normal 2 3 2 3 2 3 2" xfId="31664"/>
    <cellStyle name="Normal 2 3 2 3 2 4" xfId="18138"/>
    <cellStyle name="Normal 2 3 2 3 2 4 2" xfId="37816"/>
    <cellStyle name="Normal 2 3 2 3 2 5" xfId="25500"/>
    <cellStyle name="Normal 2 3 2 3 3" xfId="7324"/>
    <cellStyle name="Normal 2 3 2 3 3 2" xfId="13518"/>
    <cellStyle name="Normal 2 3 2 3 3 2 2" xfId="33196"/>
    <cellStyle name="Normal 2 3 2 3 3 3" xfId="19670"/>
    <cellStyle name="Normal 2 3 2 3 3 3 2" xfId="39348"/>
    <cellStyle name="Normal 2 3 2 3 3 4" xfId="27032"/>
    <cellStyle name="Normal 2 3 2 3 4" xfId="10452"/>
    <cellStyle name="Normal 2 3 2 3 4 2" xfId="30130"/>
    <cellStyle name="Normal 2 3 2 3 5" xfId="16604"/>
    <cellStyle name="Normal 2 3 2 3 5 2" xfId="36282"/>
    <cellStyle name="Normal 2 3 2 3 6" xfId="23966"/>
    <cellStyle name="Normal 2 3 2 4" xfId="4990"/>
    <cellStyle name="Normal 2 3 2 4 2" xfId="8090"/>
    <cellStyle name="Normal 2 3 2 4 2 2" xfId="14283"/>
    <cellStyle name="Normal 2 3 2 4 2 2 2" xfId="33961"/>
    <cellStyle name="Normal 2 3 2 4 2 3" xfId="20435"/>
    <cellStyle name="Normal 2 3 2 4 2 3 2" xfId="40113"/>
    <cellStyle name="Normal 2 3 2 4 2 4" xfId="27797"/>
    <cellStyle name="Normal 2 3 2 4 3" xfId="11217"/>
    <cellStyle name="Normal 2 3 2 4 3 2" xfId="30895"/>
    <cellStyle name="Normal 2 3 2 4 4" xfId="17369"/>
    <cellStyle name="Normal 2 3 2 4 4 2" xfId="37047"/>
    <cellStyle name="Normal 2 3 2 4 5" xfId="24731"/>
    <cellStyle name="Normal 2 3 2 5" xfId="6555"/>
    <cellStyle name="Normal 2 3 2 5 2" xfId="12749"/>
    <cellStyle name="Normal 2 3 2 5 2 2" xfId="32427"/>
    <cellStyle name="Normal 2 3 2 5 3" xfId="18901"/>
    <cellStyle name="Normal 2 3 2 5 3 2" xfId="38579"/>
    <cellStyle name="Normal 2 3 2 5 4" xfId="26263"/>
    <cellStyle name="Normal 2 3 2 6" xfId="9683"/>
    <cellStyle name="Normal 2 3 2 6 2" xfId="29361"/>
    <cellStyle name="Normal 2 3 2 7" xfId="15835"/>
    <cellStyle name="Normal 2 3 2 7 2" xfId="35513"/>
    <cellStyle name="Normal 2 3 2 8" xfId="41978"/>
    <cellStyle name="Normal 2 3 2 9" xfId="23136"/>
    <cellStyle name="Normal 2 3 3" xfId="2656"/>
    <cellStyle name="Normal 2 3 3 2" xfId="4149"/>
    <cellStyle name="Normal 2 3 3 2 2" xfId="5774"/>
    <cellStyle name="Normal 2 3 3 2 2 2" xfId="8860"/>
    <cellStyle name="Normal 2 3 3 2 2 2 2" xfId="15053"/>
    <cellStyle name="Normal 2 3 3 2 2 2 2 2" xfId="34731"/>
    <cellStyle name="Normal 2 3 3 2 2 2 3" xfId="21205"/>
    <cellStyle name="Normal 2 3 3 2 2 2 3 2" xfId="40883"/>
    <cellStyle name="Normal 2 3 3 2 2 2 4" xfId="28567"/>
    <cellStyle name="Normal 2 3 3 2 2 3" xfId="11987"/>
    <cellStyle name="Normal 2 3 3 2 2 3 2" xfId="31665"/>
    <cellStyle name="Normal 2 3 3 2 2 4" xfId="18139"/>
    <cellStyle name="Normal 2 3 3 2 2 4 2" xfId="37817"/>
    <cellStyle name="Normal 2 3 3 2 2 5" xfId="25501"/>
    <cellStyle name="Normal 2 3 3 2 3" xfId="7325"/>
    <cellStyle name="Normal 2 3 3 2 3 2" xfId="13519"/>
    <cellStyle name="Normal 2 3 3 2 3 2 2" xfId="33197"/>
    <cellStyle name="Normal 2 3 3 2 3 3" xfId="19671"/>
    <cellStyle name="Normal 2 3 3 2 3 3 2" xfId="39349"/>
    <cellStyle name="Normal 2 3 3 2 3 4" xfId="27033"/>
    <cellStyle name="Normal 2 3 3 2 4" xfId="10453"/>
    <cellStyle name="Normal 2 3 3 2 4 2" xfId="30131"/>
    <cellStyle name="Normal 2 3 3 2 5" xfId="16605"/>
    <cellStyle name="Normal 2 3 3 2 5 2" xfId="36283"/>
    <cellStyle name="Normal 2 3 3 2 6" xfId="23967"/>
    <cellStyle name="Normal 2 3 3 3" xfId="4991"/>
    <cellStyle name="Normal 2 3 3 3 2" xfId="8091"/>
    <cellStyle name="Normal 2 3 3 3 2 2" xfId="14284"/>
    <cellStyle name="Normal 2 3 3 3 2 2 2" xfId="33962"/>
    <cellStyle name="Normal 2 3 3 3 2 3" xfId="20436"/>
    <cellStyle name="Normal 2 3 3 3 2 3 2" xfId="40114"/>
    <cellStyle name="Normal 2 3 3 3 2 4" xfId="27798"/>
    <cellStyle name="Normal 2 3 3 3 3" xfId="11218"/>
    <cellStyle name="Normal 2 3 3 3 3 2" xfId="30896"/>
    <cellStyle name="Normal 2 3 3 3 4" xfId="17370"/>
    <cellStyle name="Normal 2 3 3 3 4 2" xfId="37048"/>
    <cellStyle name="Normal 2 3 3 3 5" xfId="24732"/>
    <cellStyle name="Normal 2 3 3 4" xfId="6556"/>
    <cellStyle name="Normal 2 3 3 4 2" xfId="12750"/>
    <cellStyle name="Normal 2 3 3 4 2 2" xfId="32428"/>
    <cellStyle name="Normal 2 3 3 4 3" xfId="18902"/>
    <cellStyle name="Normal 2 3 3 4 3 2" xfId="38580"/>
    <cellStyle name="Normal 2 3 3 4 4" xfId="26264"/>
    <cellStyle name="Normal 2 3 3 5" xfId="9684"/>
    <cellStyle name="Normal 2 3 3 5 2" xfId="29362"/>
    <cellStyle name="Normal 2 3 3 6" xfId="15836"/>
    <cellStyle name="Normal 2 3 3 6 2" xfId="35514"/>
    <cellStyle name="Normal 2 3 3 7" xfId="41980"/>
    <cellStyle name="Normal 2 3 3 8" xfId="23137"/>
    <cellStyle name="Normal 2 3 4" xfId="2657"/>
    <cellStyle name="Normal 2 3 4 2" xfId="4150"/>
    <cellStyle name="Normal 2 3 4 2 2" xfId="5775"/>
    <cellStyle name="Normal 2 3 4 2 2 2" xfId="8861"/>
    <cellStyle name="Normal 2 3 4 2 2 2 2" xfId="15054"/>
    <cellStyle name="Normal 2 3 4 2 2 2 2 2" xfId="34732"/>
    <cellStyle name="Normal 2 3 4 2 2 2 3" xfId="21206"/>
    <cellStyle name="Normal 2 3 4 2 2 2 3 2" xfId="40884"/>
    <cellStyle name="Normal 2 3 4 2 2 2 4" xfId="28568"/>
    <cellStyle name="Normal 2 3 4 2 2 3" xfId="11988"/>
    <cellStyle name="Normal 2 3 4 2 2 3 2" xfId="31666"/>
    <cellStyle name="Normal 2 3 4 2 2 4" xfId="18140"/>
    <cellStyle name="Normal 2 3 4 2 2 4 2" xfId="37818"/>
    <cellStyle name="Normal 2 3 4 2 2 5" xfId="25502"/>
    <cellStyle name="Normal 2 3 4 2 3" xfId="7326"/>
    <cellStyle name="Normal 2 3 4 2 3 2" xfId="13520"/>
    <cellStyle name="Normal 2 3 4 2 3 2 2" xfId="33198"/>
    <cellStyle name="Normal 2 3 4 2 3 3" xfId="19672"/>
    <cellStyle name="Normal 2 3 4 2 3 3 2" xfId="39350"/>
    <cellStyle name="Normal 2 3 4 2 3 4" xfId="27034"/>
    <cellStyle name="Normal 2 3 4 2 4" xfId="10454"/>
    <cellStyle name="Normal 2 3 4 2 4 2" xfId="30132"/>
    <cellStyle name="Normal 2 3 4 2 5" xfId="16606"/>
    <cellStyle name="Normal 2 3 4 2 5 2" xfId="36284"/>
    <cellStyle name="Normal 2 3 4 2 6" xfId="23968"/>
    <cellStyle name="Normal 2 3 4 3" xfId="4992"/>
    <cellStyle name="Normal 2 3 4 3 2" xfId="8092"/>
    <cellStyle name="Normal 2 3 4 3 2 2" xfId="14285"/>
    <cellStyle name="Normal 2 3 4 3 2 2 2" xfId="33963"/>
    <cellStyle name="Normal 2 3 4 3 2 3" xfId="20437"/>
    <cellStyle name="Normal 2 3 4 3 2 3 2" xfId="40115"/>
    <cellStyle name="Normal 2 3 4 3 2 4" xfId="27799"/>
    <cellStyle name="Normal 2 3 4 3 3" xfId="11219"/>
    <cellStyle name="Normal 2 3 4 3 3 2" xfId="30897"/>
    <cellStyle name="Normal 2 3 4 3 4" xfId="17371"/>
    <cellStyle name="Normal 2 3 4 3 4 2" xfId="37049"/>
    <cellStyle name="Normal 2 3 4 3 5" xfId="24733"/>
    <cellStyle name="Normal 2 3 4 4" xfId="6557"/>
    <cellStyle name="Normal 2 3 4 4 2" xfId="12751"/>
    <cellStyle name="Normal 2 3 4 4 2 2" xfId="32429"/>
    <cellStyle name="Normal 2 3 4 4 3" xfId="18903"/>
    <cellStyle name="Normal 2 3 4 4 3 2" xfId="38581"/>
    <cellStyle name="Normal 2 3 4 4 4" xfId="26265"/>
    <cellStyle name="Normal 2 3 4 5" xfId="9685"/>
    <cellStyle name="Normal 2 3 4 5 2" xfId="29363"/>
    <cellStyle name="Normal 2 3 4 6" xfId="15837"/>
    <cellStyle name="Normal 2 3 4 6 2" xfId="35515"/>
    <cellStyle name="Normal 2 3 4 7" xfId="23138"/>
    <cellStyle name="Normal 2 3 5" xfId="2658"/>
    <cellStyle name="Normal 2 3 5 2" xfId="4151"/>
    <cellStyle name="Normal 2 3 5 2 2" xfId="5776"/>
    <cellStyle name="Normal 2 3 5 2 2 2" xfId="8862"/>
    <cellStyle name="Normal 2 3 5 2 2 2 2" xfId="15055"/>
    <cellStyle name="Normal 2 3 5 2 2 2 2 2" xfId="34733"/>
    <cellStyle name="Normal 2 3 5 2 2 2 3" xfId="21207"/>
    <cellStyle name="Normal 2 3 5 2 2 2 3 2" xfId="40885"/>
    <cellStyle name="Normal 2 3 5 2 2 2 4" xfId="28569"/>
    <cellStyle name="Normal 2 3 5 2 2 3" xfId="11989"/>
    <cellStyle name="Normal 2 3 5 2 2 3 2" xfId="31667"/>
    <cellStyle name="Normal 2 3 5 2 2 4" xfId="18141"/>
    <cellStyle name="Normal 2 3 5 2 2 4 2" xfId="37819"/>
    <cellStyle name="Normal 2 3 5 2 2 5" xfId="25503"/>
    <cellStyle name="Normal 2 3 5 2 3" xfId="7327"/>
    <cellStyle name="Normal 2 3 5 2 3 2" xfId="13521"/>
    <cellStyle name="Normal 2 3 5 2 3 2 2" xfId="33199"/>
    <cellStyle name="Normal 2 3 5 2 3 3" xfId="19673"/>
    <cellStyle name="Normal 2 3 5 2 3 3 2" xfId="39351"/>
    <cellStyle name="Normal 2 3 5 2 3 4" xfId="27035"/>
    <cellStyle name="Normal 2 3 5 2 4" xfId="10455"/>
    <cellStyle name="Normal 2 3 5 2 4 2" xfId="30133"/>
    <cellStyle name="Normal 2 3 5 2 5" xfId="16607"/>
    <cellStyle name="Normal 2 3 5 2 5 2" xfId="36285"/>
    <cellStyle name="Normal 2 3 5 2 6" xfId="23969"/>
    <cellStyle name="Normal 2 3 5 3" xfId="4993"/>
    <cellStyle name="Normal 2 3 5 3 2" xfId="8093"/>
    <cellStyle name="Normal 2 3 5 3 2 2" xfId="14286"/>
    <cellStyle name="Normal 2 3 5 3 2 2 2" xfId="33964"/>
    <cellStyle name="Normal 2 3 5 3 2 3" xfId="20438"/>
    <cellStyle name="Normal 2 3 5 3 2 3 2" xfId="40116"/>
    <cellStyle name="Normal 2 3 5 3 2 4" xfId="27800"/>
    <cellStyle name="Normal 2 3 5 3 3" xfId="11220"/>
    <cellStyle name="Normal 2 3 5 3 3 2" xfId="30898"/>
    <cellStyle name="Normal 2 3 5 3 4" xfId="17372"/>
    <cellStyle name="Normal 2 3 5 3 4 2" xfId="37050"/>
    <cellStyle name="Normal 2 3 5 3 5" xfId="24734"/>
    <cellStyle name="Normal 2 3 5 4" xfId="6558"/>
    <cellStyle name="Normal 2 3 5 4 2" xfId="12752"/>
    <cellStyle name="Normal 2 3 5 4 2 2" xfId="32430"/>
    <cellStyle name="Normal 2 3 5 4 3" xfId="18904"/>
    <cellStyle name="Normal 2 3 5 4 3 2" xfId="38582"/>
    <cellStyle name="Normal 2 3 5 4 4" xfId="26266"/>
    <cellStyle name="Normal 2 3 5 5" xfId="9686"/>
    <cellStyle name="Normal 2 3 5 5 2" xfId="29364"/>
    <cellStyle name="Normal 2 3 5 6" xfId="15838"/>
    <cellStyle name="Normal 2 3 5 6 2" xfId="35516"/>
    <cellStyle name="Normal 2 3 5 7" xfId="23139"/>
    <cellStyle name="Normal 2 3 6" xfId="2659"/>
    <cellStyle name="Normal 2 3 6 2" xfId="4152"/>
    <cellStyle name="Normal 2 3 6 2 2" xfId="5777"/>
    <cellStyle name="Normal 2 3 6 2 2 2" xfId="8863"/>
    <cellStyle name="Normal 2 3 6 2 2 2 2" xfId="15056"/>
    <cellStyle name="Normal 2 3 6 2 2 2 2 2" xfId="34734"/>
    <cellStyle name="Normal 2 3 6 2 2 2 3" xfId="21208"/>
    <cellStyle name="Normal 2 3 6 2 2 2 3 2" xfId="40886"/>
    <cellStyle name="Normal 2 3 6 2 2 2 4" xfId="28570"/>
    <cellStyle name="Normal 2 3 6 2 2 3" xfId="11990"/>
    <cellStyle name="Normal 2 3 6 2 2 3 2" xfId="31668"/>
    <cellStyle name="Normal 2 3 6 2 2 4" xfId="18142"/>
    <cellStyle name="Normal 2 3 6 2 2 4 2" xfId="37820"/>
    <cellStyle name="Normal 2 3 6 2 2 5" xfId="25504"/>
    <cellStyle name="Normal 2 3 6 2 3" xfId="7328"/>
    <cellStyle name="Normal 2 3 6 2 3 2" xfId="13522"/>
    <cellStyle name="Normal 2 3 6 2 3 2 2" xfId="33200"/>
    <cellStyle name="Normal 2 3 6 2 3 3" xfId="19674"/>
    <cellStyle name="Normal 2 3 6 2 3 3 2" xfId="39352"/>
    <cellStyle name="Normal 2 3 6 2 3 4" xfId="27036"/>
    <cellStyle name="Normal 2 3 6 2 4" xfId="10456"/>
    <cellStyle name="Normal 2 3 6 2 4 2" xfId="30134"/>
    <cellStyle name="Normal 2 3 6 2 5" xfId="16608"/>
    <cellStyle name="Normal 2 3 6 2 5 2" xfId="36286"/>
    <cellStyle name="Normal 2 3 6 2 6" xfId="23970"/>
    <cellStyle name="Normal 2 3 6 3" xfId="4994"/>
    <cellStyle name="Normal 2 3 6 3 2" xfId="8094"/>
    <cellStyle name="Normal 2 3 6 3 2 2" xfId="14287"/>
    <cellStyle name="Normal 2 3 6 3 2 2 2" xfId="33965"/>
    <cellStyle name="Normal 2 3 6 3 2 3" xfId="20439"/>
    <cellStyle name="Normal 2 3 6 3 2 3 2" xfId="40117"/>
    <cellStyle name="Normal 2 3 6 3 2 4" xfId="27801"/>
    <cellStyle name="Normal 2 3 6 3 3" xfId="11221"/>
    <cellStyle name="Normal 2 3 6 3 3 2" xfId="30899"/>
    <cellStyle name="Normal 2 3 6 3 4" xfId="17373"/>
    <cellStyle name="Normal 2 3 6 3 4 2" xfId="37051"/>
    <cellStyle name="Normal 2 3 6 3 5" xfId="24735"/>
    <cellStyle name="Normal 2 3 6 4" xfId="6559"/>
    <cellStyle name="Normal 2 3 6 4 2" xfId="12753"/>
    <cellStyle name="Normal 2 3 6 4 2 2" xfId="32431"/>
    <cellStyle name="Normal 2 3 6 4 3" xfId="18905"/>
    <cellStyle name="Normal 2 3 6 4 3 2" xfId="38583"/>
    <cellStyle name="Normal 2 3 6 4 4" xfId="26267"/>
    <cellStyle name="Normal 2 3 6 5" xfId="9687"/>
    <cellStyle name="Normal 2 3 6 5 2" xfId="29365"/>
    <cellStyle name="Normal 2 3 6 6" xfId="15839"/>
    <cellStyle name="Normal 2 3 6 6 2" xfId="35517"/>
    <cellStyle name="Normal 2 3 6 7" xfId="23140"/>
    <cellStyle name="Normal 2 3 7" xfId="2660"/>
    <cellStyle name="Normal 2 3 8" xfId="2661"/>
    <cellStyle name="Normal 2 3 9" xfId="2653"/>
    <cellStyle name="Normal 2 4" xfId="59"/>
    <cellStyle name="Normal 2 4 2" xfId="122"/>
    <cellStyle name="Normal 2 4 2 2" xfId="148"/>
    <cellStyle name="Normal 2 4 2 2 2" xfId="212"/>
    <cellStyle name="Normal 2 4 2 2 2 2" xfId="8865"/>
    <cellStyle name="Normal 2 4 2 2 2 2 2" xfId="15058"/>
    <cellStyle name="Normal 2 4 2 2 2 2 2 2" xfId="34736"/>
    <cellStyle name="Normal 2 4 2 2 2 2 3" xfId="21210"/>
    <cellStyle name="Normal 2 4 2 2 2 2 3 2" xfId="40888"/>
    <cellStyle name="Normal 2 4 2 2 2 2 4" xfId="28572"/>
    <cellStyle name="Normal 2 4 2 2 2 3" xfId="11992"/>
    <cellStyle name="Normal 2 4 2 2 2 3 2" xfId="31670"/>
    <cellStyle name="Normal 2 4 2 2 2 4" xfId="18144"/>
    <cellStyle name="Normal 2 4 2 2 2 4 2" xfId="37822"/>
    <cellStyle name="Normal 2 4 2 2 2 5" xfId="5779"/>
    <cellStyle name="Normal 2 4 2 2 2 6" xfId="25506"/>
    <cellStyle name="Normal 2 4 2 2 3" xfId="7330"/>
    <cellStyle name="Normal 2 4 2 2 3 2" xfId="13524"/>
    <cellStyle name="Normal 2 4 2 2 3 2 2" xfId="33202"/>
    <cellStyle name="Normal 2 4 2 2 3 3" xfId="19676"/>
    <cellStyle name="Normal 2 4 2 2 3 3 2" xfId="39354"/>
    <cellStyle name="Normal 2 4 2 2 3 4" xfId="27038"/>
    <cellStyle name="Normal 2 4 2 2 4" xfId="10458"/>
    <cellStyle name="Normal 2 4 2 2 4 2" xfId="30136"/>
    <cellStyle name="Normal 2 4 2 2 5" xfId="16610"/>
    <cellStyle name="Normal 2 4 2 2 5 2" xfId="36288"/>
    <cellStyle name="Normal 2 4 2 2 6" xfId="4154"/>
    <cellStyle name="Normal 2 4 2 2 6 2" xfId="23972"/>
    <cellStyle name="Normal 2 4 2 2 7" xfId="41983"/>
    <cellStyle name="Normal 2 4 2 2 8" xfId="21748"/>
    <cellStyle name="Normal 2 4 2 3" xfId="174"/>
    <cellStyle name="Normal 2 4 2 3 2" xfId="8096"/>
    <cellStyle name="Normal 2 4 2 3 2 2" xfId="14289"/>
    <cellStyle name="Normal 2 4 2 3 2 2 2" xfId="33967"/>
    <cellStyle name="Normal 2 4 2 3 2 3" xfId="20441"/>
    <cellStyle name="Normal 2 4 2 3 2 3 2" xfId="40119"/>
    <cellStyle name="Normal 2 4 2 3 2 4" xfId="27803"/>
    <cellStyle name="Normal 2 4 2 3 3" xfId="11223"/>
    <cellStyle name="Normal 2 4 2 3 3 2" xfId="30901"/>
    <cellStyle name="Normal 2 4 2 3 4" xfId="17375"/>
    <cellStyle name="Normal 2 4 2 3 4 2" xfId="37053"/>
    <cellStyle name="Normal 2 4 2 3 5" xfId="4996"/>
    <cellStyle name="Normal 2 4 2 3 6" xfId="24737"/>
    <cellStyle name="Normal 2 4 2 4" xfId="6561"/>
    <cellStyle name="Normal 2 4 2 4 2" xfId="12755"/>
    <cellStyle name="Normal 2 4 2 4 2 2" xfId="32433"/>
    <cellStyle name="Normal 2 4 2 4 3" xfId="18907"/>
    <cellStyle name="Normal 2 4 2 4 3 2" xfId="38585"/>
    <cellStyle name="Normal 2 4 2 4 4" xfId="26269"/>
    <cellStyle name="Normal 2 4 2 5" xfId="9689"/>
    <cellStyle name="Normal 2 4 2 5 2" xfId="29367"/>
    <cellStyle name="Normal 2 4 2 6" xfId="15841"/>
    <cellStyle name="Normal 2 4 2 6 2" xfId="35519"/>
    <cellStyle name="Normal 2 4 2 7" xfId="2663"/>
    <cellStyle name="Normal 2 4 2 7 2" xfId="23142"/>
    <cellStyle name="Normal 2 4 2 8" xfId="41982"/>
    <cellStyle name="Normal 2 4 2 9" xfId="21710"/>
    <cellStyle name="Normal 2 4 3" xfId="94"/>
    <cellStyle name="Normal 2 4 3 2" xfId="199"/>
    <cellStyle name="Normal 2 4 3 2 2" xfId="23143"/>
    <cellStyle name="Normal 2 4 3 3" xfId="2664"/>
    <cellStyle name="Normal 2 4 3 3 2" xfId="41984"/>
    <cellStyle name="Normal 2 4 3 4" xfId="21735"/>
    <cellStyle name="Normal 2 4 4" xfId="137"/>
    <cellStyle name="Normal 2 4 4 2" xfId="187"/>
    <cellStyle name="Normal 2 4 4 2 2" xfId="23596"/>
    <cellStyle name="Normal 2 4 4 3" xfId="3738"/>
    <cellStyle name="Normal 2 4 4 4" xfId="21723"/>
    <cellStyle name="Normal 2 4 5" xfId="161"/>
    <cellStyle name="Normal 2 4 5 2" xfId="4153"/>
    <cellStyle name="Normal 2 4 5 2 2" xfId="5778"/>
    <cellStyle name="Normal 2 4 5 2 2 2" xfId="8864"/>
    <cellStyle name="Normal 2 4 5 2 2 2 2" xfId="15057"/>
    <cellStyle name="Normal 2 4 5 2 2 2 2 2" xfId="34735"/>
    <cellStyle name="Normal 2 4 5 2 2 2 3" xfId="21209"/>
    <cellStyle name="Normal 2 4 5 2 2 2 3 2" xfId="40887"/>
    <cellStyle name="Normal 2 4 5 2 2 2 4" xfId="28571"/>
    <cellStyle name="Normal 2 4 5 2 2 3" xfId="11991"/>
    <cellStyle name="Normal 2 4 5 2 2 3 2" xfId="31669"/>
    <cellStyle name="Normal 2 4 5 2 2 4" xfId="18143"/>
    <cellStyle name="Normal 2 4 5 2 2 4 2" xfId="37821"/>
    <cellStyle name="Normal 2 4 5 2 2 5" xfId="25505"/>
    <cellStyle name="Normal 2 4 5 2 3" xfId="7329"/>
    <cellStyle name="Normal 2 4 5 2 3 2" xfId="13523"/>
    <cellStyle name="Normal 2 4 5 2 3 2 2" xfId="33201"/>
    <cellStyle name="Normal 2 4 5 2 3 3" xfId="19675"/>
    <cellStyle name="Normal 2 4 5 2 3 3 2" xfId="39353"/>
    <cellStyle name="Normal 2 4 5 2 3 4" xfId="27037"/>
    <cellStyle name="Normal 2 4 5 2 4" xfId="10457"/>
    <cellStyle name="Normal 2 4 5 2 4 2" xfId="30135"/>
    <cellStyle name="Normal 2 4 5 2 5" xfId="16609"/>
    <cellStyle name="Normal 2 4 5 2 5 2" xfId="36287"/>
    <cellStyle name="Normal 2 4 5 2 6" xfId="23971"/>
    <cellStyle name="Normal 2 4 5 3" xfId="4995"/>
    <cellStyle name="Normal 2 4 5 3 2" xfId="8095"/>
    <cellStyle name="Normal 2 4 5 3 2 2" xfId="14288"/>
    <cellStyle name="Normal 2 4 5 3 2 2 2" xfId="33966"/>
    <cellStyle name="Normal 2 4 5 3 2 3" xfId="20440"/>
    <cellStyle name="Normal 2 4 5 3 2 3 2" xfId="40118"/>
    <cellStyle name="Normal 2 4 5 3 2 4" xfId="27802"/>
    <cellStyle name="Normal 2 4 5 3 3" xfId="11222"/>
    <cellStyle name="Normal 2 4 5 3 3 2" xfId="30900"/>
    <cellStyle name="Normal 2 4 5 3 4" xfId="17374"/>
    <cellStyle name="Normal 2 4 5 3 4 2" xfId="37052"/>
    <cellStyle name="Normal 2 4 5 3 5" xfId="24736"/>
    <cellStyle name="Normal 2 4 5 4" xfId="6560"/>
    <cellStyle name="Normal 2 4 5 4 2" xfId="12754"/>
    <cellStyle name="Normal 2 4 5 4 2 2" xfId="32432"/>
    <cellStyle name="Normal 2 4 5 4 3" xfId="18906"/>
    <cellStyle name="Normal 2 4 5 4 3 2" xfId="38584"/>
    <cellStyle name="Normal 2 4 5 4 4" xfId="26268"/>
    <cellStyle name="Normal 2 4 5 5" xfId="9688"/>
    <cellStyle name="Normal 2 4 5 5 2" xfId="29366"/>
    <cellStyle name="Normal 2 4 5 6" xfId="15840"/>
    <cellStyle name="Normal 2 4 5 6 2" xfId="35518"/>
    <cellStyle name="Normal 2 4 5 7" xfId="2662"/>
    <cellStyle name="Normal 2 4 5 8" xfId="23141"/>
    <cellStyle name="Normal 2 4 6" xfId="294"/>
    <cellStyle name="Normal 2 4 7" xfId="41981"/>
    <cellStyle name="Normal 2 4 8" xfId="21697"/>
    <cellStyle name="Normal 2 5" xfId="77"/>
    <cellStyle name="Normal 2 5 2" xfId="123"/>
    <cellStyle name="Normal 2 5 2 2" xfId="149"/>
    <cellStyle name="Normal 2 5 2 2 2" xfId="213"/>
    <cellStyle name="Normal 2 5 2 2 3" xfId="21749"/>
    <cellStyle name="Normal 2 5 2 3" xfId="175"/>
    <cellStyle name="Normal 2 5 2 3 2" xfId="23597"/>
    <cellStyle name="Normal 2 5 2 4" xfId="3739"/>
    <cellStyle name="Normal 2 5 2 4 2" xfId="41986"/>
    <cellStyle name="Normal 2 5 2 5" xfId="21711"/>
    <cellStyle name="Normal 2 5 3" xfId="97"/>
    <cellStyle name="Normal 2 5 3 2" xfId="200"/>
    <cellStyle name="Normal 2 5 3 2 2" xfId="5780"/>
    <cellStyle name="Normal 2 5 3 2 2 2" xfId="8866"/>
    <cellStyle name="Normal 2 5 3 2 2 2 2" xfId="15059"/>
    <cellStyle name="Normal 2 5 3 2 2 2 2 2" xfId="34737"/>
    <cellStyle name="Normal 2 5 3 2 2 2 3" xfId="21211"/>
    <cellStyle name="Normal 2 5 3 2 2 2 3 2" xfId="40889"/>
    <cellStyle name="Normal 2 5 3 2 2 2 4" xfId="28573"/>
    <cellStyle name="Normal 2 5 3 2 2 3" xfId="11993"/>
    <cellStyle name="Normal 2 5 3 2 2 3 2" xfId="31671"/>
    <cellStyle name="Normal 2 5 3 2 2 4" xfId="18145"/>
    <cellStyle name="Normal 2 5 3 2 2 4 2" xfId="37823"/>
    <cellStyle name="Normal 2 5 3 2 2 5" xfId="25507"/>
    <cellStyle name="Normal 2 5 3 2 3" xfId="7331"/>
    <cellStyle name="Normal 2 5 3 2 3 2" xfId="13525"/>
    <cellStyle name="Normal 2 5 3 2 3 2 2" xfId="33203"/>
    <cellStyle name="Normal 2 5 3 2 3 3" xfId="19677"/>
    <cellStyle name="Normal 2 5 3 2 3 3 2" xfId="39355"/>
    <cellStyle name="Normal 2 5 3 2 3 4" xfId="27039"/>
    <cellStyle name="Normal 2 5 3 2 4" xfId="10459"/>
    <cellStyle name="Normal 2 5 3 2 4 2" xfId="30137"/>
    <cellStyle name="Normal 2 5 3 2 5" xfId="16611"/>
    <cellStyle name="Normal 2 5 3 2 5 2" xfId="36289"/>
    <cellStyle name="Normal 2 5 3 2 6" xfId="4155"/>
    <cellStyle name="Normal 2 5 3 2 7" xfId="23973"/>
    <cellStyle name="Normal 2 5 3 3" xfId="4997"/>
    <cellStyle name="Normal 2 5 3 3 2" xfId="8097"/>
    <cellStyle name="Normal 2 5 3 3 2 2" xfId="14290"/>
    <cellStyle name="Normal 2 5 3 3 2 2 2" xfId="33968"/>
    <cellStyle name="Normal 2 5 3 3 2 3" xfId="20442"/>
    <cellStyle name="Normal 2 5 3 3 2 3 2" xfId="40120"/>
    <cellStyle name="Normal 2 5 3 3 2 4" xfId="27804"/>
    <cellStyle name="Normal 2 5 3 3 3" xfId="11224"/>
    <cellStyle name="Normal 2 5 3 3 3 2" xfId="30902"/>
    <cellStyle name="Normal 2 5 3 3 4" xfId="17376"/>
    <cellStyle name="Normal 2 5 3 3 4 2" xfId="37054"/>
    <cellStyle name="Normal 2 5 3 3 5" xfId="24738"/>
    <cellStyle name="Normal 2 5 3 4" xfId="6562"/>
    <cellStyle name="Normal 2 5 3 4 2" xfId="12756"/>
    <cellStyle name="Normal 2 5 3 4 2 2" xfId="32434"/>
    <cellStyle name="Normal 2 5 3 4 3" xfId="18908"/>
    <cellStyle name="Normal 2 5 3 4 3 2" xfId="38586"/>
    <cellStyle name="Normal 2 5 3 4 4" xfId="26270"/>
    <cellStyle name="Normal 2 5 3 5" xfId="9690"/>
    <cellStyle name="Normal 2 5 3 5 2" xfId="29368"/>
    <cellStyle name="Normal 2 5 3 6" xfId="15842"/>
    <cellStyle name="Normal 2 5 3 6 2" xfId="35520"/>
    <cellStyle name="Normal 2 5 3 7" xfId="2665"/>
    <cellStyle name="Normal 2 5 3 7 2" xfId="23144"/>
    <cellStyle name="Normal 2 5 3 8" xfId="21736"/>
    <cellStyle name="Normal 2 5 4" xfId="138"/>
    <cellStyle name="Normal 2 5 4 2" xfId="188"/>
    <cellStyle name="Normal 2 5 4 3" xfId="21724"/>
    <cellStyle name="Normal 2 5 5" xfId="162"/>
    <cellStyle name="Normal 2 5 5 2" xfId="22716"/>
    <cellStyle name="Normal 2 5 6" xfId="295"/>
    <cellStyle name="Normal 2 5 6 2" xfId="41985"/>
    <cellStyle name="Normal 2 5 7" xfId="21698"/>
    <cellStyle name="Normal 2 6" xfId="36"/>
    <cellStyle name="Normal 2 6 2" xfId="3740"/>
    <cellStyle name="Normal 2 6 3" xfId="2666"/>
    <cellStyle name="Normal 2 6 3 2" xfId="4156"/>
    <cellStyle name="Normal 2 6 3 2 2" xfId="5781"/>
    <cellStyle name="Normal 2 6 3 2 2 2" xfId="8867"/>
    <cellStyle name="Normal 2 6 3 2 2 2 2" xfId="15060"/>
    <cellStyle name="Normal 2 6 3 2 2 2 2 2" xfId="34738"/>
    <cellStyle name="Normal 2 6 3 2 2 2 3" xfId="21212"/>
    <cellStyle name="Normal 2 6 3 2 2 2 3 2" xfId="40890"/>
    <cellStyle name="Normal 2 6 3 2 2 2 4" xfId="28574"/>
    <cellStyle name="Normal 2 6 3 2 2 3" xfId="11994"/>
    <cellStyle name="Normal 2 6 3 2 2 3 2" xfId="31672"/>
    <cellStyle name="Normal 2 6 3 2 2 4" xfId="18146"/>
    <cellStyle name="Normal 2 6 3 2 2 4 2" xfId="37824"/>
    <cellStyle name="Normal 2 6 3 2 2 5" xfId="25508"/>
    <cellStyle name="Normal 2 6 3 2 3" xfId="7332"/>
    <cellStyle name="Normal 2 6 3 2 3 2" xfId="13526"/>
    <cellStyle name="Normal 2 6 3 2 3 2 2" xfId="33204"/>
    <cellStyle name="Normal 2 6 3 2 3 3" xfId="19678"/>
    <cellStyle name="Normal 2 6 3 2 3 3 2" xfId="39356"/>
    <cellStyle name="Normal 2 6 3 2 3 4" xfId="27040"/>
    <cellStyle name="Normal 2 6 3 2 4" xfId="10460"/>
    <cellStyle name="Normal 2 6 3 2 4 2" xfId="30138"/>
    <cellStyle name="Normal 2 6 3 2 5" xfId="16612"/>
    <cellStyle name="Normal 2 6 3 2 5 2" xfId="36290"/>
    <cellStyle name="Normal 2 6 3 2 6" xfId="23974"/>
    <cellStyle name="Normal 2 6 3 3" xfId="4998"/>
    <cellStyle name="Normal 2 6 3 3 2" xfId="8098"/>
    <cellStyle name="Normal 2 6 3 3 2 2" xfId="14291"/>
    <cellStyle name="Normal 2 6 3 3 2 2 2" xfId="33969"/>
    <cellStyle name="Normal 2 6 3 3 2 3" xfId="20443"/>
    <cellStyle name="Normal 2 6 3 3 2 3 2" xfId="40121"/>
    <cellStyle name="Normal 2 6 3 3 2 4" xfId="27805"/>
    <cellStyle name="Normal 2 6 3 3 3" xfId="11225"/>
    <cellStyle name="Normal 2 6 3 3 3 2" xfId="30903"/>
    <cellStyle name="Normal 2 6 3 3 4" xfId="17377"/>
    <cellStyle name="Normal 2 6 3 3 4 2" xfId="37055"/>
    <cellStyle name="Normal 2 6 3 3 5" xfId="24739"/>
    <cellStyle name="Normal 2 6 3 4" xfId="6563"/>
    <cellStyle name="Normal 2 6 3 4 2" xfId="12757"/>
    <cellStyle name="Normal 2 6 3 4 2 2" xfId="32435"/>
    <cellStyle name="Normal 2 6 3 4 3" xfId="18909"/>
    <cellStyle name="Normal 2 6 3 4 3 2" xfId="38587"/>
    <cellStyle name="Normal 2 6 3 4 4" xfId="26271"/>
    <cellStyle name="Normal 2 6 3 5" xfId="9691"/>
    <cellStyle name="Normal 2 6 3 5 2" xfId="29369"/>
    <cellStyle name="Normal 2 6 3 6" xfId="15843"/>
    <cellStyle name="Normal 2 6 3 6 2" xfId="35521"/>
    <cellStyle name="Normal 2 6 3 7" xfId="23145"/>
    <cellStyle name="Normal 2 6 4" xfId="296"/>
    <cellStyle name="Normal 2 6 5" xfId="41987"/>
    <cellStyle name="Normal 2 7" xfId="101"/>
    <cellStyle name="Normal 2 7 2" xfId="3741"/>
    <cellStyle name="Normal 2 7 3" xfId="2667"/>
    <cellStyle name="Normal 2 7 3 2" xfId="4157"/>
    <cellStyle name="Normal 2 7 3 2 2" xfId="5782"/>
    <cellStyle name="Normal 2 7 3 2 2 2" xfId="8868"/>
    <cellStyle name="Normal 2 7 3 2 2 2 2" xfId="15061"/>
    <cellStyle name="Normal 2 7 3 2 2 2 2 2" xfId="34739"/>
    <cellStyle name="Normal 2 7 3 2 2 2 3" xfId="21213"/>
    <cellStyle name="Normal 2 7 3 2 2 2 3 2" xfId="40891"/>
    <cellStyle name="Normal 2 7 3 2 2 2 4" xfId="28575"/>
    <cellStyle name="Normal 2 7 3 2 2 3" xfId="11995"/>
    <cellStyle name="Normal 2 7 3 2 2 3 2" xfId="31673"/>
    <cellStyle name="Normal 2 7 3 2 2 4" xfId="18147"/>
    <cellStyle name="Normal 2 7 3 2 2 4 2" xfId="37825"/>
    <cellStyle name="Normal 2 7 3 2 2 5" xfId="25509"/>
    <cellStyle name="Normal 2 7 3 2 3" xfId="7333"/>
    <cellStyle name="Normal 2 7 3 2 3 2" xfId="13527"/>
    <cellStyle name="Normal 2 7 3 2 3 2 2" xfId="33205"/>
    <cellStyle name="Normal 2 7 3 2 3 3" xfId="19679"/>
    <cellStyle name="Normal 2 7 3 2 3 3 2" xfId="39357"/>
    <cellStyle name="Normal 2 7 3 2 3 4" xfId="27041"/>
    <cellStyle name="Normal 2 7 3 2 4" xfId="10461"/>
    <cellStyle name="Normal 2 7 3 2 4 2" xfId="30139"/>
    <cellStyle name="Normal 2 7 3 2 5" xfId="16613"/>
    <cellStyle name="Normal 2 7 3 2 5 2" xfId="36291"/>
    <cellStyle name="Normal 2 7 3 2 6" xfId="23975"/>
    <cellStyle name="Normal 2 7 3 3" xfId="4999"/>
    <cellStyle name="Normal 2 7 3 3 2" xfId="8099"/>
    <cellStyle name="Normal 2 7 3 3 2 2" xfId="14292"/>
    <cellStyle name="Normal 2 7 3 3 2 2 2" xfId="33970"/>
    <cellStyle name="Normal 2 7 3 3 2 3" xfId="20444"/>
    <cellStyle name="Normal 2 7 3 3 2 3 2" xfId="40122"/>
    <cellStyle name="Normal 2 7 3 3 2 4" xfId="27806"/>
    <cellStyle name="Normal 2 7 3 3 3" xfId="11226"/>
    <cellStyle name="Normal 2 7 3 3 3 2" xfId="30904"/>
    <cellStyle name="Normal 2 7 3 3 4" xfId="17378"/>
    <cellStyle name="Normal 2 7 3 3 4 2" xfId="37056"/>
    <cellStyle name="Normal 2 7 3 3 5" xfId="24740"/>
    <cellStyle name="Normal 2 7 3 4" xfId="6564"/>
    <cellStyle name="Normal 2 7 3 4 2" xfId="12758"/>
    <cellStyle name="Normal 2 7 3 4 2 2" xfId="32436"/>
    <cellStyle name="Normal 2 7 3 4 3" xfId="18910"/>
    <cellStyle name="Normal 2 7 3 4 3 2" xfId="38588"/>
    <cellStyle name="Normal 2 7 3 4 4" xfId="26272"/>
    <cellStyle name="Normal 2 7 3 5" xfId="9692"/>
    <cellStyle name="Normal 2 7 3 5 2" xfId="29370"/>
    <cellStyle name="Normal 2 7 3 6" xfId="15844"/>
    <cellStyle name="Normal 2 7 3 6 2" xfId="35522"/>
    <cellStyle name="Normal 2 7 3 7" xfId="23146"/>
    <cellStyle name="Normal 2 7 4" xfId="297"/>
    <cellStyle name="Normal 2 8" xfId="298"/>
    <cellStyle name="Normal 2 8 2" xfId="3742"/>
    <cellStyle name="Normal 2 8 3" xfId="2668"/>
    <cellStyle name="Normal 2 8 3 2" xfId="4158"/>
    <cellStyle name="Normal 2 8 3 2 2" xfId="5783"/>
    <cellStyle name="Normal 2 8 3 2 2 2" xfId="8869"/>
    <cellStyle name="Normal 2 8 3 2 2 2 2" xfId="15062"/>
    <cellStyle name="Normal 2 8 3 2 2 2 2 2" xfId="34740"/>
    <cellStyle name="Normal 2 8 3 2 2 2 3" xfId="21214"/>
    <cellStyle name="Normal 2 8 3 2 2 2 3 2" xfId="40892"/>
    <cellStyle name="Normal 2 8 3 2 2 2 4" xfId="28576"/>
    <cellStyle name="Normal 2 8 3 2 2 3" xfId="11996"/>
    <cellStyle name="Normal 2 8 3 2 2 3 2" xfId="31674"/>
    <cellStyle name="Normal 2 8 3 2 2 4" xfId="18148"/>
    <cellStyle name="Normal 2 8 3 2 2 4 2" xfId="37826"/>
    <cellStyle name="Normal 2 8 3 2 2 5" xfId="25510"/>
    <cellStyle name="Normal 2 8 3 2 3" xfId="7334"/>
    <cellStyle name="Normal 2 8 3 2 3 2" xfId="13528"/>
    <cellStyle name="Normal 2 8 3 2 3 2 2" xfId="33206"/>
    <cellStyle name="Normal 2 8 3 2 3 3" xfId="19680"/>
    <cellStyle name="Normal 2 8 3 2 3 3 2" xfId="39358"/>
    <cellStyle name="Normal 2 8 3 2 3 4" xfId="27042"/>
    <cellStyle name="Normal 2 8 3 2 4" xfId="10462"/>
    <cellStyle name="Normal 2 8 3 2 4 2" xfId="30140"/>
    <cellStyle name="Normal 2 8 3 2 5" xfId="16614"/>
    <cellStyle name="Normal 2 8 3 2 5 2" xfId="36292"/>
    <cellStyle name="Normal 2 8 3 2 6" xfId="23976"/>
    <cellStyle name="Normal 2 8 3 3" xfId="5000"/>
    <cellStyle name="Normal 2 8 3 3 2" xfId="8100"/>
    <cellStyle name="Normal 2 8 3 3 2 2" xfId="14293"/>
    <cellStyle name="Normal 2 8 3 3 2 2 2" xfId="33971"/>
    <cellStyle name="Normal 2 8 3 3 2 3" xfId="20445"/>
    <cellStyle name="Normal 2 8 3 3 2 3 2" xfId="40123"/>
    <cellStyle name="Normal 2 8 3 3 2 4" xfId="27807"/>
    <cellStyle name="Normal 2 8 3 3 3" xfId="11227"/>
    <cellStyle name="Normal 2 8 3 3 3 2" xfId="30905"/>
    <cellStyle name="Normal 2 8 3 3 4" xfId="17379"/>
    <cellStyle name="Normal 2 8 3 3 4 2" xfId="37057"/>
    <cellStyle name="Normal 2 8 3 3 5" xfId="24741"/>
    <cellStyle name="Normal 2 8 3 4" xfId="6565"/>
    <cellStyle name="Normal 2 8 3 4 2" xfId="12759"/>
    <cellStyle name="Normal 2 8 3 4 2 2" xfId="32437"/>
    <cellStyle name="Normal 2 8 3 4 3" xfId="18911"/>
    <cellStyle name="Normal 2 8 3 4 3 2" xfId="38589"/>
    <cellStyle name="Normal 2 8 3 4 4" xfId="26273"/>
    <cellStyle name="Normal 2 8 3 5" xfId="9693"/>
    <cellStyle name="Normal 2 8 3 5 2" xfId="29371"/>
    <cellStyle name="Normal 2 8 3 6" xfId="15845"/>
    <cellStyle name="Normal 2 8 3 6 2" xfId="35523"/>
    <cellStyle name="Normal 2 8 3 7" xfId="23147"/>
    <cellStyle name="Normal 2 9" xfId="299"/>
    <cellStyle name="Normal 2 9 2" xfId="3743"/>
    <cellStyle name="Normal 2 9 3" xfId="2669"/>
    <cellStyle name="Normal 2 9 3 2" xfId="4159"/>
    <cellStyle name="Normal 2 9 3 2 2" xfId="5784"/>
    <cellStyle name="Normal 2 9 3 2 2 2" xfId="8870"/>
    <cellStyle name="Normal 2 9 3 2 2 2 2" xfId="15063"/>
    <cellStyle name="Normal 2 9 3 2 2 2 2 2" xfId="34741"/>
    <cellStyle name="Normal 2 9 3 2 2 2 3" xfId="21215"/>
    <cellStyle name="Normal 2 9 3 2 2 2 3 2" xfId="40893"/>
    <cellStyle name="Normal 2 9 3 2 2 2 4" xfId="28577"/>
    <cellStyle name="Normal 2 9 3 2 2 3" xfId="11997"/>
    <cellStyle name="Normal 2 9 3 2 2 3 2" xfId="31675"/>
    <cellStyle name="Normal 2 9 3 2 2 4" xfId="18149"/>
    <cellStyle name="Normal 2 9 3 2 2 4 2" xfId="37827"/>
    <cellStyle name="Normal 2 9 3 2 2 5" xfId="25511"/>
    <cellStyle name="Normal 2 9 3 2 3" xfId="7335"/>
    <cellStyle name="Normal 2 9 3 2 3 2" xfId="13529"/>
    <cellStyle name="Normal 2 9 3 2 3 2 2" xfId="33207"/>
    <cellStyle name="Normal 2 9 3 2 3 3" xfId="19681"/>
    <cellStyle name="Normal 2 9 3 2 3 3 2" xfId="39359"/>
    <cellStyle name="Normal 2 9 3 2 3 4" xfId="27043"/>
    <cellStyle name="Normal 2 9 3 2 4" xfId="10463"/>
    <cellStyle name="Normal 2 9 3 2 4 2" xfId="30141"/>
    <cellStyle name="Normal 2 9 3 2 5" xfId="16615"/>
    <cellStyle name="Normal 2 9 3 2 5 2" xfId="36293"/>
    <cellStyle name="Normal 2 9 3 2 6" xfId="23977"/>
    <cellStyle name="Normal 2 9 3 3" xfId="5001"/>
    <cellStyle name="Normal 2 9 3 3 2" xfId="8101"/>
    <cellStyle name="Normal 2 9 3 3 2 2" xfId="14294"/>
    <cellStyle name="Normal 2 9 3 3 2 2 2" xfId="33972"/>
    <cellStyle name="Normal 2 9 3 3 2 3" xfId="20446"/>
    <cellStyle name="Normal 2 9 3 3 2 3 2" xfId="40124"/>
    <cellStyle name="Normal 2 9 3 3 2 4" xfId="27808"/>
    <cellStyle name="Normal 2 9 3 3 3" xfId="11228"/>
    <cellStyle name="Normal 2 9 3 3 3 2" xfId="30906"/>
    <cellStyle name="Normal 2 9 3 3 4" xfId="17380"/>
    <cellStyle name="Normal 2 9 3 3 4 2" xfId="37058"/>
    <cellStyle name="Normal 2 9 3 3 5" xfId="24742"/>
    <cellStyle name="Normal 2 9 3 4" xfId="6566"/>
    <cellStyle name="Normal 2 9 3 4 2" xfId="12760"/>
    <cellStyle name="Normal 2 9 3 4 2 2" xfId="32438"/>
    <cellStyle name="Normal 2 9 3 4 3" xfId="18912"/>
    <cellStyle name="Normal 2 9 3 4 3 2" xfId="38590"/>
    <cellStyle name="Normal 2 9 3 4 4" xfId="26274"/>
    <cellStyle name="Normal 2 9 3 5" xfId="9694"/>
    <cellStyle name="Normal 2 9 3 5 2" xfId="29372"/>
    <cellStyle name="Normal 2 9 3 6" xfId="15846"/>
    <cellStyle name="Normal 2 9 3 6 2" xfId="35524"/>
    <cellStyle name="Normal 2 9 3 7" xfId="23148"/>
    <cellStyle name="Normal 2_Gas CBR Summary" xfId="38"/>
    <cellStyle name="Normal 20" xfId="2670"/>
    <cellStyle name="Normal 20 10" xfId="2671"/>
    <cellStyle name="Normal 20 11" xfId="2672"/>
    <cellStyle name="Normal 20 12" xfId="2673"/>
    <cellStyle name="Normal 20 13" xfId="2674"/>
    <cellStyle name="Normal 20 14" xfId="2675"/>
    <cellStyle name="Normal 20 15" xfId="2676"/>
    <cellStyle name="Normal 20 16" xfId="2677"/>
    <cellStyle name="Normal 20 17" xfId="2678"/>
    <cellStyle name="Normal 20 18" xfId="2679"/>
    <cellStyle name="Normal 20 19" xfId="2680"/>
    <cellStyle name="Normal 20 2" xfId="2681"/>
    <cellStyle name="Normal 20 2 2" xfId="41989"/>
    <cellStyle name="Normal 20 20" xfId="2682"/>
    <cellStyle name="Normal 20 21" xfId="2683"/>
    <cellStyle name="Normal 20 22" xfId="2684"/>
    <cellStyle name="Normal 20 23" xfId="2685"/>
    <cellStyle name="Normal 20 24" xfId="2686"/>
    <cellStyle name="Normal 20 25" xfId="23149"/>
    <cellStyle name="Normal 20 26" xfId="41988"/>
    <cellStyle name="Normal 20 3" xfId="2687"/>
    <cellStyle name="Normal 20 4" xfId="2688"/>
    <cellStyle name="Normal 20 5" xfId="2689"/>
    <cellStyle name="Normal 20 6" xfId="2690"/>
    <cellStyle name="Normal 20 7" xfId="2691"/>
    <cellStyle name="Normal 20 8" xfId="2692"/>
    <cellStyle name="Normal 20 9" xfId="2693"/>
    <cellStyle name="Normal 21" xfId="2694"/>
    <cellStyle name="Normal 21 10" xfId="5002"/>
    <cellStyle name="Normal 21 10 2" xfId="8102"/>
    <cellStyle name="Normal 21 10 2 2" xfId="14295"/>
    <cellStyle name="Normal 21 10 2 2 2" xfId="33973"/>
    <cellStyle name="Normal 21 10 2 3" xfId="20447"/>
    <cellStyle name="Normal 21 10 2 3 2" xfId="40125"/>
    <cellStyle name="Normal 21 10 2 4" xfId="27809"/>
    <cellStyle name="Normal 21 10 3" xfId="11229"/>
    <cellStyle name="Normal 21 10 3 2" xfId="30907"/>
    <cellStyle name="Normal 21 10 4" xfId="17381"/>
    <cellStyle name="Normal 21 10 4 2" xfId="37059"/>
    <cellStyle name="Normal 21 10 5" xfId="24743"/>
    <cellStyle name="Normal 21 11" xfId="6567"/>
    <cellStyle name="Normal 21 11 2" xfId="12761"/>
    <cellStyle name="Normal 21 11 2 2" xfId="32439"/>
    <cellStyle name="Normal 21 11 3" xfId="18913"/>
    <cellStyle name="Normal 21 11 3 2" xfId="38591"/>
    <cellStyle name="Normal 21 11 4" xfId="26275"/>
    <cellStyle name="Normal 21 12" xfId="9695"/>
    <cellStyle name="Normal 21 12 2" xfId="29373"/>
    <cellStyle name="Normal 21 13" xfId="15847"/>
    <cellStyle name="Normal 21 13 2" xfId="35525"/>
    <cellStyle name="Normal 21 14" xfId="23150"/>
    <cellStyle name="Normal 21 2" xfId="2695"/>
    <cellStyle name="Normal 21 2 10" xfId="9696"/>
    <cellStyle name="Normal 21 2 10 2" xfId="29374"/>
    <cellStyle name="Normal 21 2 11" xfId="15848"/>
    <cellStyle name="Normal 21 2 11 2" xfId="35526"/>
    <cellStyle name="Normal 21 2 12" xfId="41990"/>
    <cellStyle name="Normal 21 2 13" xfId="23151"/>
    <cellStyle name="Normal 21 2 2" xfId="2696"/>
    <cellStyle name="Normal 21 2 2 2" xfId="4162"/>
    <cellStyle name="Normal 21 2 2 2 2" xfId="5787"/>
    <cellStyle name="Normal 21 2 2 2 2 2" xfId="8873"/>
    <cellStyle name="Normal 21 2 2 2 2 2 2" xfId="15066"/>
    <cellStyle name="Normal 21 2 2 2 2 2 2 2" xfId="34744"/>
    <cellStyle name="Normal 21 2 2 2 2 2 3" xfId="21218"/>
    <cellStyle name="Normal 21 2 2 2 2 2 3 2" xfId="40896"/>
    <cellStyle name="Normal 21 2 2 2 2 2 4" xfId="28580"/>
    <cellStyle name="Normal 21 2 2 2 2 3" xfId="12000"/>
    <cellStyle name="Normal 21 2 2 2 2 3 2" xfId="31678"/>
    <cellStyle name="Normal 21 2 2 2 2 4" xfId="18152"/>
    <cellStyle name="Normal 21 2 2 2 2 4 2" xfId="37830"/>
    <cellStyle name="Normal 21 2 2 2 2 5" xfId="25514"/>
    <cellStyle name="Normal 21 2 2 2 3" xfId="7338"/>
    <cellStyle name="Normal 21 2 2 2 3 2" xfId="13532"/>
    <cellStyle name="Normal 21 2 2 2 3 2 2" xfId="33210"/>
    <cellStyle name="Normal 21 2 2 2 3 3" xfId="19684"/>
    <cellStyle name="Normal 21 2 2 2 3 3 2" xfId="39362"/>
    <cellStyle name="Normal 21 2 2 2 3 4" xfId="27046"/>
    <cellStyle name="Normal 21 2 2 2 4" xfId="10466"/>
    <cellStyle name="Normal 21 2 2 2 4 2" xfId="30144"/>
    <cellStyle name="Normal 21 2 2 2 5" xfId="16618"/>
    <cellStyle name="Normal 21 2 2 2 5 2" xfId="36296"/>
    <cellStyle name="Normal 21 2 2 2 6" xfId="23980"/>
    <cellStyle name="Normal 21 2 2 3" xfId="5004"/>
    <cellStyle name="Normal 21 2 2 3 2" xfId="8104"/>
    <cellStyle name="Normal 21 2 2 3 2 2" xfId="14297"/>
    <cellStyle name="Normal 21 2 2 3 2 2 2" xfId="33975"/>
    <cellStyle name="Normal 21 2 2 3 2 3" xfId="20449"/>
    <cellStyle name="Normal 21 2 2 3 2 3 2" xfId="40127"/>
    <cellStyle name="Normal 21 2 2 3 2 4" xfId="27811"/>
    <cellStyle name="Normal 21 2 2 3 3" xfId="11231"/>
    <cellStyle name="Normal 21 2 2 3 3 2" xfId="30909"/>
    <cellStyle name="Normal 21 2 2 3 4" xfId="17383"/>
    <cellStyle name="Normal 21 2 2 3 4 2" xfId="37061"/>
    <cellStyle name="Normal 21 2 2 3 5" xfId="24745"/>
    <cellStyle name="Normal 21 2 2 4" xfId="6569"/>
    <cellStyle name="Normal 21 2 2 4 2" xfId="12763"/>
    <cellStyle name="Normal 21 2 2 4 2 2" xfId="32441"/>
    <cellStyle name="Normal 21 2 2 4 3" xfId="18915"/>
    <cellStyle name="Normal 21 2 2 4 3 2" xfId="38593"/>
    <cellStyle name="Normal 21 2 2 4 4" xfId="26277"/>
    <cellStyle name="Normal 21 2 2 5" xfId="9697"/>
    <cellStyle name="Normal 21 2 2 5 2" xfId="29375"/>
    <cellStyle name="Normal 21 2 2 6" xfId="15849"/>
    <cellStyle name="Normal 21 2 2 6 2" xfId="35527"/>
    <cellStyle name="Normal 21 2 2 7" xfId="23152"/>
    <cellStyle name="Normal 21 2 3" xfId="2697"/>
    <cellStyle name="Normal 21 2 3 2" xfId="4163"/>
    <cellStyle name="Normal 21 2 3 2 2" xfId="5788"/>
    <cellStyle name="Normal 21 2 3 2 2 2" xfId="8874"/>
    <cellStyle name="Normal 21 2 3 2 2 2 2" xfId="15067"/>
    <cellStyle name="Normal 21 2 3 2 2 2 2 2" xfId="34745"/>
    <cellStyle name="Normal 21 2 3 2 2 2 3" xfId="21219"/>
    <cellStyle name="Normal 21 2 3 2 2 2 3 2" xfId="40897"/>
    <cellStyle name="Normal 21 2 3 2 2 2 4" xfId="28581"/>
    <cellStyle name="Normal 21 2 3 2 2 3" xfId="12001"/>
    <cellStyle name="Normal 21 2 3 2 2 3 2" xfId="31679"/>
    <cellStyle name="Normal 21 2 3 2 2 4" xfId="18153"/>
    <cellStyle name="Normal 21 2 3 2 2 4 2" xfId="37831"/>
    <cellStyle name="Normal 21 2 3 2 2 5" xfId="25515"/>
    <cellStyle name="Normal 21 2 3 2 3" xfId="7339"/>
    <cellStyle name="Normal 21 2 3 2 3 2" xfId="13533"/>
    <cellStyle name="Normal 21 2 3 2 3 2 2" xfId="33211"/>
    <cellStyle name="Normal 21 2 3 2 3 3" xfId="19685"/>
    <cellStyle name="Normal 21 2 3 2 3 3 2" xfId="39363"/>
    <cellStyle name="Normal 21 2 3 2 3 4" xfId="27047"/>
    <cellStyle name="Normal 21 2 3 2 4" xfId="10467"/>
    <cellStyle name="Normal 21 2 3 2 4 2" xfId="30145"/>
    <cellStyle name="Normal 21 2 3 2 5" xfId="16619"/>
    <cellStyle name="Normal 21 2 3 2 5 2" xfId="36297"/>
    <cellStyle name="Normal 21 2 3 2 6" xfId="23981"/>
    <cellStyle name="Normal 21 2 3 3" xfId="5005"/>
    <cellStyle name="Normal 21 2 3 3 2" xfId="8105"/>
    <cellStyle name="Normal 21 2 3 3 2 2" xfId="14298"/>
    <cellStyle name="Normal 21 2 3 3 2 2 2" xfId="33976"/>
    <cellStyle name="Normal 21 2 3 3 2 3" xfId="20450"/>
    <cellStyle name="Normal 21 2 3 3 2 3 2" xfId="40128"/>
    <cellStyle name="Normal 21 2 3 3 2 4" xfId="27812"/>
    <cellStyle name="Normal 21 2 3 3 3" xfId="11232"/>
    <cellStyle name="Normal 21 2 3 3 3 2" xfId="30910"/>
    <cellStyle name="Normal 21 2 3 3 4" xfId="17384"/>
    <cellStyle name="Normal 21 2 3 3 4 2" xfId="37062"/>
    <cellStyle name="Normal 21 2 3 3 5" xfId="24746"/>
    <cellStyle name="Normal 21 2 3 4" xfId="6570"/>
    <cellStyle name="Normal 21 2 3 4 2" xfId="12764"/>
    <cellStyle name="Normal 21 2 3 4 2 2" xfId="32442"/>
    <cellStyle name="Normal 21 2 3 4 3" xfId="18916"/>
    <cellStyle name="Normal 21 2 3 4 3 2" xfId="38594"/>
    <cellStyle name="Normal 21 2 3 4 4" xfId="26278"/>
    <cellStyle name="Normal 21 2 3 5" xfId="9698"/>
    <cellStyle name="Normal 21 2 3 5 2" xfId="29376"/>
    <cellStyle name="Normal 21 2 3 6" xfId="15850"/>
    <cellStyle name="Normal 21 2 3 6 2" xfId="35528"/>
    <cellStyle name="Normal 21 2 3 7" xfId="23153"/>
    <cellStyle name="Normal 21 2 4" xfId="2698"/>
    <cellStyle name="Normal 21 2 4 2" xfId="4164"/>
    <cellStyle name="Normal 21 2 4 2 2" xfId="5789"/>
    <cellStyle name="Normal 21 2 4 2 2 2" xfId="8875"/>
    <cellStyle name="Normal 21 2 4 2 2 2 2" xfId="15068"/>
    <cellStyle name="Normal 21 2 4 2 2 2 2 2" xfId="34746"/>
    <cellStyle name="Normal 21 2 4 2 2 2 3" xfId="21220"/>
    <cellStyle name="Normal 21 2 4 2 2 2 3 2" xfId="40898"/>
    <cellStyle name="Normal 21 2 4 2 2 2 4" xfId="28582"/>
    <cellStyle name="Normal 21 2 4 2 2 3" xfId="12002"/>
    <cellStyle name="Normal 21 2 4 2 2 3 2" xfId="31680"/>
    <cellStyle name="Normal 21 2 4 2 2 4" xfId="18154"/>
    <cellStyle name="Normal 21 2 4 2 2 4 2" xfId="37832"/>
    <cellStyle name="Normal 21 2 4 2 2 5" xfId="25516"/>
    <cellStyle name="Normal 21 2 4 2 3" xfId="7340"/>
    <cellStyle name="Normal 21 2 4 2 3 2" xfId="13534"/>
    <cellStyle name="Normal 21 2 4 2 3 2 2" xfId="33212"/>
    <cellStyle name="Normal 21 2 4 2 3 3" xfId="19686"/>
    <cellStyle name="Normal 21 2 4 2 3 3 2" xfId="39364"/>
    <cellStyle name="Normal 21 2 4 2 3 4" xfId="27048"/>
    <cellStyle name="Normal 21 2 4 2 4" xfId="10468"/>
    <cellStyle name="Normal 21 2 4 2 4 2" xfId="30146"/>
    <cellStyle name="Normal 21 2 4 2 5" xfId="16620"/>
    <cellStyle name="Normal 21 2 4 2 5 2" xfId="36298"/>
    <cellStyle name="Normal 21 2 4 2 6" xfId="23982"/>
    <cellStyle name="Normal 21 2 4 3" xfId="5006"/>
    <cellStyle name="Normal 21 2 4 3 2" xfId="8106"/>
    <cellStyle name="Normal 21 2 4 3 2 2" xfId="14299"/>
    <cellStyle name="Normal 21 2 4 3 2 2 2" xfId="33977"/>
    <cellStyle name="Normal 21 2 4 3 2 3" xfId="20451"/>
    <cellStyle name="Normal 21 2 4 3 2 3 2" xfId="40129"/>
    <cellStyle name="Normal 21 2 4 3 2 4" xfId="27813"/>
    <cellStyle name="Normal 21 2 4 3 3" xfId="11233"/>
    <cellStyle name="Normal 21 2 4 3 3 2" xfId="30911"/>
    <cellStyle name="Normal 21 2 4 3 4" xfId="17385"/>
    <cellStyle name="Normal 21 2 4 3 4 2" xfId="37063"/>
    <cellStyle name="Normal 21 2 4 3 5" xfId="24747"/>
    <cellStyle name="Normal 21 2 4 4" xfId="6571"/>
    <cellStyle name="Normal 21 2 4 4 2" xfId="12765"/>
    <cellStyle name="Normal 21 2 4 4 2 2" xfId="32443"/>
    <cellStyle name="Normal 21 2 4 4 3" xfId="18917"/>
    <cellStyle name="Normal 21 2 4 4 3 2" xfId="38595"/>
    <cellStyle name="Normal 21 2 4 4 4" xfId="26279"/>
    <cellStyle name="Normal 21 2 4 5" xfId="9699"/>
    <cellStyle name="Normal 21 2 4 5 2" xfId="29377"/>
    <cellStyle name="Normal 21 2 4 6" xfId="15851"/>
    <cellStyle name="Normal 21 2 4 6 2" xfId="35529"/>
    <cellStyle name="Normal 21 2 4 7" xfId="23154"/>
    <cellStyle name="Normal 21 2 5" xfId="2699"/>
    <cellStyle name="Normal 21 2 5 2" xfId="4165"/>
    <cellStyle name="Normal 21 2 5 2 2" xfId="5790"/>
    <cellStyle name="Normal 21 2 5 2 2 2" xfId="8876"/>
    <cellStyle name="Normal 21 2 5 2 2 2 2" xfId="15069"/>
    <cellStyle name="Normal 21 2 5 2 2 2 2 2" xfId="34747"/>
    <cellStyle name="Normal 21 2 5 2 2 2 3" xfId="21221"/>
    <cellStyle name="Normal 21 2 5 2 2 2 3 2" xfId="40899"/>
    <cellStyle name="Normal 21 2 5 2 2 2 4" xfId="28583"/>
    <cellStyle name="Normal 21 2 5 2 2 3" xfId="12003"/>
    <cellStyle name="Normal 21 2 5 2 2 3 2" xfId="31681"/>
    <cellStyle name="Normal 21 2 5 2 2 4" xfId="18155"/>
    <cellStyle name="Normal 21 2 5 2 2 4 2" xfId="37833"/>
    <cellStyle name="Normal 21 2 5 2 2 5" xfId="25517"/>
    <cellStyle name="Normal 21 2 5 2 3" xfId="7341"/>
    <cellStyle name="Normal 21 2 5 2 3 2" xfId="13535"/>
    <cellStyle name="Normal 21 2 5 2 3 2 2" xfId="33213"/>
    <cellStyle name="Normal 21 2 5 2 3 3" xfId="19687"/>
    <cellStyle name="Normal 21 2 5 2 3 3 2" xfId="39365"/>
    <cellStyle name="Normal 21 2 5 2 3 4" xfId="27049"/>
    <cellStyle name="Normal 21 2 5 2 4" xfId="10469"/>
    <cellStyle name="Normal 21 2 5 2 4 2" xfId="30147"/>
    <cellStyle name="Normal 21 2 5 2 5" xfId="16621"/>
    <cellStyle name="Normal 21 2 5 2 5 2" xfId="36299"/>
    <cellStyle name="Normal 21 2 5 2 6" xfId="23983"/>
    <cellStyle name="Normal 21 2 5 3" xfId="5007"/>
    <cellStyle name="Normal 21 2 5 3 2" xfId="8107"/>
    <cellStyle name="Normal 21 2 5 3 2 2" xfId="14300"/>
    <cellStyle name="Normal 21 2 5 3 2 2 2" xfId="33978"/>
    <cellStyle name="Normal 21 2 5 3 2 3" xfId="20452"/>
    <cellStyle name="Normal 21 2 5 3 2 3 2" xfId="40130"/>
    <cellStyle name="Normal 21 2 5 3 2 4" xfId="27814"/>
    <cellStyle name="Normal 21 2 5 3 3" xfId="11234"/>
    <cellStyle name="Normal 21 2 5 3 3 2" xfId="30912"/>
    <cellStyle name="Normal 21 2 5 3 4" xfId="17386"/>
    <cellStyle name="Normal 21 2 5 3 4 2" xfId="37064"/>
    <cellStyle name="Normal 21 2 5 3 5" xfId="24748"/>
    <cellStyle name="Normal 21 2 5 4" xfId="6572"/>
    <cellStyle name="Normal 21 2 5 4 2" xfId="12766"/>
    <cellStyle name="Normal 21 2 5 4 2 2" xfId="32444"/>
    <cellStyle name="Normal 21 2 5 4 3" xfId="18918"/>
    <cellStyle name="Normal 21 2 5 4 3 2" xfId="38596"/>
    <cellStyle name="Normal 21 2 5 4 4" xfId="26280"/>
    <cellStyle name="Normal 21 2 5 5" xfId="9700"/>
    <cellStyle name="Normal 21 2 5 5 2" xfId="29378"/>
    <cellStyle name="Normal 21 2 5 6" xfId="15852"/>
    <cellStyle name="Normal 21 2 5 6 2" xfId="35530"/>
    <cellStyle name="Normal 21 2 5 7" xfId="23155"/>
    <cellStyle name="Normal 21 2 6" xfId="2700"/>
    <cellStyle name="Normal 21 2 6 2" xfId="4166"/>
    <cellStyle name="Normal 21 2 6 2 2" xfId="5791"/>
    <cellStyle name="Normal 21 2 6 2 2 2" xfId="8877"/>
    <cellStyle name="Normal 21 2 6 2 2 2 2" xfId="15070"/>
    <cellStyle name="Normal 21 2 6 2 2 2 2 2" xfId="34748"/>
    <cellStyle name="Normal 21 2 6 2 2 2 3" xfId="21222"/>
    <cellStyle name="Normal 21 2 6 2 2 2 3 2" xfId="40900"/>
    <cellStyle name="Normal 21 2 6 2 2 2 4" xfId="28584"/>
    <cellStyle name="Normal 21 2 6 2 2 3" xfId="12004"/>
    <cellStyle name="Normal 21 2 6 2 2 3 2" xfId="31682"/>
    <cellStyle name="Normal 21 2 6 2 2 4" xfId="18156"/>
    <cellStyle name="Normal 21 2 6 2 2 4 2" xfId="37834"/>
    <cellStyle name="Normal 21 2 6 2 2 5" xfId="25518"/>
    <cellStyle name="Normal 21 2 6 2 3" xfId="7342"/>
    <cellStyle name="Normal 21 2 6 2 3 2" xfId="13536"/>
    <cellStyle name="Normal 21 2 6 2 3 2 2" xfId="33214"/>
    <cellStyle name="Normal 21 2 6 2 3 3" xfId="19688"/>
    <cellStyle name="Normal 21 2 6 2 3 3 2" xfId="39366"/>
    <cellStyle name="Normal 21 2 6 2 3 4" xfId="27050"/>
    <cellStyle name="Normal 21 2 6 2 4" xfId="10470"/>
    <cellStyle name="Normal 21 2 6 2 4 2" xfId="30148"/>
    <cellStyle name="Normal 21 2 6 2 5" xfId="16622"/>
    <cellStyle name="Normal 21 2 6 2 5 2" xfId="36300"/>
    <cellStyle name="Normal 21 2 6 2 6" xfId="23984"/>
    <cellStyle name="Normal 21 2 6 3" xfId="5008"/>
    <cellStyle name="Normal 21 2 6 3 2" xfId="8108"/>
    <cellStyle name="Normal 21 2 6 3 2 2" xfId="14301"/>
    <cellStyle name="Normal 21 2 6 3 2 2 2" xfId="33979"/>
    <cellStyle name="Normal 21 2 6 3 2 3" xfId="20453"/>
    <cellStyle name="Normal 21 2 6 3 2 3 2" xfId="40131"/>
    <cellStyle name="Normal 21 2 6 3 2 4" xfId="27815"/>
    <cellStyle name="Normal 21 2 6 3 3" xfId="11235"/>
    <cellStyle name="Normal 21 2 6 3 3 2" xfId="30913"/>
    <cellStyle name="Normal 21 2 6 3 4" xfId="17387"/>
    <cellStyle name="Normal 21 2 6 3 4 2" xfId="37065"/>
    <cellStyle name="Normal 21 2 6 3 5" xfId="24749"/>
    <cellStyle name="Normal 21 2 6 4" xfId="6573"/>
    <cellStyle name="Normal 21 2 6 4 2" xfId="12767"/>
    <cellStyle name="Normal 21 2 6 4 2 2" xfId="32445"/>
    <cellStyle name="Normal 21 2 6 4 3" xfId="18919"/>
    <cellStyle name="Normal 21 2 6 4 3 2" xfId="38597"/>
    <cellStyle name="Normal 21 2 6 4 4" xfId="26281"/>
    <cellStyle name="Normal 21 2 6 5" xfId="9701"/>
    <cellStyle name="Normal 21 2 6 5 2" xfId="29379"/>
    <cellStyle name="Normal 21 2 6 6" xfId="15853"/>
    <cellStyle name="Normal 21 2 6 6 2" xfId="35531"/>
    <cellStyle name="Normal 21 2 6 7" xfId="23156"/>
    <cellStyle name="Normal 21 2 7" xfId="4161"/>
    <cellStyle name="Normal 21 2 7 2" xfId="5786"/>
    <cellStyle name="Normal 21 2 7 2 2" xfId="8872"/>
    <cellStyle name="Normal 21 2 7 2 2 2" xfId="15065"/>
    <cellStyle name="Normal 21 2 7 2 2 2 2" xfId="34743"/>
    <cellStyle name="Normal 21 2 7 2 2 3" xfId="21217"/>
    <cellStyle name="Normal 21 2 7 2 2 3 2" xfId="40895"/>
    <cellStyle name="Normal 21 2 7 2 2 4" xfId="28579"/>
    <cellStyle name="Normal 21 2 7 2 3" xfId="11999"/>
    <cellStyle name="Normal 21 2 7 2 3 2" xfId="31677"/>
    <cellStyle name="Normal 21 2 7 2 4" xfId="18151"/>
    <cellStyle name="Normal 21 2 7 2 4 2" xfId="37829"/>
    <cellStyle name="Normal 21 2 7 2 5" xfId="25513"/>
    <cellStyle name="Normal 21 2 7 3" xfId="7337"/>
    <cellStyle name="Normal 21 2 7 3 2" xfId="13531"/>
    <cellStyle name="Normal 21 2 7 3 2 2" xfId="33209"/>
    <cellStyle name="Normal 21 2 7 3 3" xfId="19683"/>
    <cellStyle name="Normal 21 2 7 3 3 2" xfId="39361"/>
    <cellStyle name="Normal 21 2 7 3 4" xfId="27045"/>
    <cellStyle name="Normal 21 2 7 4" xfId="10465"/>
    <cellStyle name="Normal 21 2 7 4 2" xfId="30143"/>
    <cellStyle name="Normal 21 2 7 5" xfId="16617"/>
    <cellStyle name="Normal 21 2 7 5 2" xfId="36295"/>
    <cellStyle name="Normal 21 2 7 6" xfId="23979"/>
    <cellStyle name="Normal 21 2 8" xfId="5003"/>
    <cellStyle name="Normal 21 2 8 2" xfId="8103"/>
    <cellStyle name="Normal 21 2 8 2 2" xfId="14296"/>
    <cellStyle name="Normal 21 2 8 2 2 2" xfId="33974"/>
    <cellStyle name="Normal 21 2 8 2 3" xfId="20448"/>
    <cellStyle name="Normal 21 2 8 2 3 2" xfId="40126"/>
    <cellStyle name="Normal 21 2 8 2 4" xfId="27810"/>
    <cellStyle name="Normal 21 2 8 3" xfId="11230"/>
    <cellStyle name="Normal 21 2 8 3 2" xfId="30908"/>
    <cellStyle name="Normal 21 2 8 4" xfId="17382"/>
    <cellStyle name="Normal 21 2 8 4 2" xfId="37060"/>
    <cellStyle name="Normal 21 2 8 5" xfId="24744"/>
    <cellStyle name="Normal 21 2 9" xfId="6568"/>
    <cellStyle name="Normal 21 2 9 2" xfId="12762"/>
    <cellStyle name="Normal 21 2 9 2 2" xfId="32440"/>
    <cellStyle name="Normal 21 2 9 3" xfId="18914"/>
    <cellStyle name="Normal 21 2 9 3 2" xfId="38592"/>
    <cellStyle name="Normal 21 2 9 4" xfId="26276"/>
    <cellStyle name="Normal 21 3" xfId="2701"/>
    <cellStyle name="Normal 21 3 2" xfId="2702"/>
    <cellStyle name="Normal 21 3 2 2" xfId="4168"/>
    <cellStyle name="Normal 21 3 2 2 2" xfId="5793"/>
    <cellStyle name="Normal 21 3 2 2 2 2" xfId="8879"/>
    <cellStyle name="Normal 21 3 2 2 2 2 2" xfId="15072"/>
    <cellStyle name="Normal 21 3 2 2 2 2 2 2" xfId="34750"/>
    <cellStyle name="Normal 21 3 2 2 2 2 3" xfId="21224"/>
    <cellStyle name="Normal 21 3 2 2 2 2 3 2" xfId="40902"/>
    <cellStyle name="Normal 21 3 2 2 2 2 4" xfId="28586"/>
    <cellStyle name="Normal 21 3 2 2 2 3" xfId="12006"/>
    <cellStyle name="Normal 21 3 2 2 2 3 2" xfId="31684"/>
    <cellStyle name="Normal 21 3 2 2 2 4" xfId="18158"/>
    <cellStyle name="Normal 21 3 2 2 2 4 2" xfId="37836"/>
    <cellStyle name="Normal 21 3 2 2 2 5" xfId="25520"/>
    <cellStyle name="Normal 21 3 2 2 3" xfId="7344"/>
    <cellStyle name="Normal 21 3 2 2 3 2" xfId="13538"/>
    <cellStyle name="Normal 21 3 2 2 3 2 2" xfId="33216"/>
    <cellStyle name="Normal 21 3 2 2 3 3" xfId="19690"/>
    <cellStyle name="Normal 21 3 2 2 3 3 2" xfId="39368"/>
    <cellStyle name="Normal 21 3 2 2 3 4" xfId="27052"/>
    <cellStyle name="Normal 21 3 2 2 4" xfId="10472"/>
    <cellStyle name="Normal 21 3 2 2 4 2" xfId="30150"/>
    <cellStyle name="Normal 21 3 2 2 5" xfId="16624"/>
    <cellStyle name="Normal 21 3 2 2 5 2" xfId="36302"/>
    <cellStyle name="Normal 21 3 2 2 6" xfId="23986"/>
    <cellStyle name="Normal 21 3 2 3" xfId="5010"/>
    <cellStyle name="Normal 21 3 2 3 2" xfId="8110"/>
    <cellStyle name="Normal 21 3 2 3 2 2" xfId="14303"/>
    <cellStyle name="Normal 21 3 2 3 2 2 2" xfId="33981"/>
    <cellStyle name="Normal 21 3 2 3 2 3" xfId="20455"/>
    <cellStyle name="Normal 21 3 2 3 2 3 2" xfId="40133"/>
    <cellStyle name="Normal 21 3 2 3 2 4" xfId="27817"/>
    <cellStyle name="Normal 21 3 2 3 3" xfId="11237"/>
    <cellStyle name="Normal 21 3 2 3 3 2" xfId="30915"/>
    <cellStyle name="Normal 21 3 2 3 4" xfId="17389"/>
    <cellStyle name="Normal 21 3 2 3 4 2" xfId="37067"/>
    <cellStyle name="Normal 21 3 2 3 5" xfId="24751"/>
    <cellStyle name="Normal 21 3 2 4" xfId="6575"/>
    <cellStyle name="Normal 21 3 2 4 2" xfId="12769"/>
    <cellStyle name="Normal 21 3 2 4 2 2" xfId="32447"/>
    <cellStyle name="Normal 21 3 2 4 3" xfId="18921"/>
    <cellStyle name="Normal 21 3 2 4 3 2" xfId="38599"/>
    <cellStyle name="Normal 21 3 2 4 4" xfId="26283"/>
    <cellStyle name="Normal 21 3 2 5" xfId="9703"/>
    <cellStyle name="Normal 21 3 2 5 2" xfId="29381"/>
    <cellStyle name="Normal 21 3 2 6" xfId="15855"/>
    <cellStyle name="Normal 21 3 2 6 2" xfId="35533"/>
    <cellStyle name="Normal 21 3 2 7" xfId="23158"/>
    <cellStyle name="Normal 21 3 3" xfId="4167"/>
    <cellStyle name="Normal 21 3 3 2" xfId="5792"/>
    <cellStyle name="Normal 21 3 3 2 2" xfId="8878"/>
    <cellStyle name="Normal 21 3 3 2 2 2" xfId="15071"/>
    <cellStyle name="Normal 21 3 3 2 2 2 2" xfId="34749"/>
    <cellStyle name="Normal 21 3 3 2 2 3" xfId="21223"/>
    <cellStyle name="Normal 21 3 3 2 2 3 2" xfId="40901"/>
    <cellStyle name="Normal 21 3 3 2 2 4" xfId="28585"/>
    <cellStyle name="Normal 21 3 3 2 3" xfId="12005"/>
    <cellStyle name="Normal 21 3 3 2 3 2" xfId="31683"/>
    <cellStyle name="Normal 21 3 3 2 4" xfId="18157"/>
    <cellStyle name="Normal 21 3 3 2 4 2" xfId="37835"/>
    <cellStyle name="Normal 21 3 3 2 5" xfId="25519"/>
    <cellStyle name="Normal 21 3 3 3" xfId="7343"/>
    <cellStyle name="Normal 21 3 3 3 2" xfId="13537"/>
    <cellStyle name="Normal 21 3 3 3 2 2" xfId="33215"/>
    <cellStyle name="Normal 21 3 3 3 3" xfId="19689"/>
    <cellStyle name="Normal 21 3 3 3 3 2" xfId="39367"/>
    <cellStyle name="Normal 21 3 3 3 4" xfId="27051"/>
    <cellStyle name="Normal 21 3 3 4" xfId="10471"/>
    <cellStyle name="Normal 21 3 3 4 2" xfId="30149"/>
    <cellStyle name="Normal 21 3 3 5" xfId="16623"/>
    <cellStyle name="Normal 21 3 3 5 2" xfId="36301"/>
    <cellStyle name="Normal 21 3 3 6" xfId="23985"/>
    <cellStyle name="Normal 21 3 4" xfId="5009"/>
    <cellStyle name="Normal 21 3 4 2" xfId="8109"/>
    <cellStyle name="Normal 21 3 4 2 2" xfId="14302"/>
    <cellStyle name="Normal 21 3 4 2 2 2" xfId="33980"/>
    <cellStyle name="Normal 21 3 4 2 3" xfId="20454"/>
    <cellStyle name="Normal 21 3 4 2 3 2" xfId="40132"/>
    <cellStyle name="Normal 21 3 4 2 4" xfId="27816"/>
    <cellStyle name="Normal 21 3 4 3" xfId="11236"/>
    <cellStyle name="Normal 21 3 4 3 2" xfId="30914"/>
    <cellStyle name="Normal 21 3 4 4" xfId="17388"/>
    <cellStyle name="Normal 21 3 4 4 2" xfId="37066"/>
    <cellStyle name="Normal 21 3 4 5" xfId="24750"/>
    <cellStyle name="Normal 21 3 5" xfId="6574"/>
    <cellStyle name="Normal 21 3 5 2" xfId="12768"/>
    <cellStyle name="Normal 21 3 5 2 2" xfId="32446"/>
    <cellStyle name="Normal 21 3 5 3" xfId="18920"/>
    <cellStyle name="Normal 21 3 5 3 2" xfId="38598"/>
    <cellStyle name="Normal 21 3 5 4" xfId="26282"/>
    <cellStyle name="Normal 21 3 6" xfId="9702"/>
    <cellStyle name="Normal 21 3 6 2" xfId="29380"/>
    <cellStyle name="Normal 21 3 7" xfId="15854"/>
    <cellStyle name="Normal 21 3 7 2" xfId="35532"/>
    <cellStyle name="Normal 21 3 8" xfId="23157"/>
    <cellStyle name="Normal 21 4" xfId="2703"/>
    <cellStyle name="Normal 21 4 2" xfId="4169"/>
    <cellStyle name="Normal 21 4 2 2" xfId="5794"/>
    <cellStyle name="Normal 21 4 2 2 2" xfId="8880"/>
    <cellStyle name="Normal 21 4 2 2 2 2" xfId="15073"/>
    <cellStyle name="Normal 21 4 2 2 2 2 2" xfId="34751"/>
    <cellStyle name="Normal 21 4 2 2 2 3" xfId="21225"/>
    <cellStyle name="Normal 21 4 2 2 2 3 2" xfId="40903"/>
    <cellStyle name="Normal 21 4 2 2 2 4" xfId="28587"/>
    <cellStyle name="Normal 21 4 2 2 3" xfId="12007"/>
    <cellStyle name="Normal 21 4 2 2 3 2" xfId="31685"/>
    <cellStyle name="Normal 21 4 2 2 4" xfId="18159"/>
    <cellStyle name="Normal 21 4 2 2 4 2" xfId="37837"/>
    <cellStyle name="Normal 21 4 2 2 5" xfId="25521"/>
    <cellStyle name="Normal 21 4 2 3" xfId="7345"/>
    <cellStyle name="Normal 21 4 2 3 2" xfId="13539"/>
    <cellStyle name="Normal 21 4 2 3 2 2" xfId="33217"/>
    <cellStyle name="Normal 21 4 2 3 3" xfId="19691"/>
    <cellStyle name="Normal 21 4 2 3 3 2" xfId="39369"/>
    <cellStyle name="Normal 21 4 2 3 4" xfId="27053"/>
    <cellStyle name="Normal 21 4 2 4" xfId="10473"/>
    <cellStyle name="Normal 21 4 2 4 2" xfId="30151"/>
    <cellStyle name="Normal 21 4 2 5" xfId="16625"/>
    <cellStyle name="Normal 21 4 2 5 2" xfId="36303"/>
    <cellStyle name="Normal 21 4 2 6" xfId="23987"/>
    <cellStyle name="Normal 21 4 3" xfId="5011"/>
    <cellStyle name="Normal 21 4 3 2" xfId="8111"/>
    <cellStyle name="Normal 21 4 3 2 2" xfId="14304"/>
    <cellStyle name="Normal 21 4 3 2 2 2" xfId="33982"/>
    <cellStyle name="Normal 21 4 3 2 3" xfId="20456"/>
    <cellStyle name="Normal 21 4 3 2 3 2" xfId="40134"/>
    <cellStyle name="Normal 21 4 3 2 4" xfId="27818"/>
    <cellStyle name="Normal 21 4 3 3" xfId="11238"/>
    <cellStyle name="Normal 21 4 3 3 2" xfId="30916"/>
    <cellStyle name="Normal 21 4 3 4" xfId="17390"/>
    <cellStyle name="Normal 21 4 3 4 2" xfId="37068"/>
    <cellStyle name="Normal 21 4 3 5" xfId="24752"/>
    <cellStyle name="Normal 21 4 4" xfId="6576"/>
    <cellStyle name="Normal 21 4 4 2" xfId="12770"/>
    <cellStyle name="Normal 21 4 4 2 2" xfId="32448"/>
    <cellStyle name="Normal 21 4 4 3" xfId="18922"/>
    <cellStyle name="Normal 21 4 4 3 2" xfId="38600"/>
    <cellStyle name="Normal 21 4 4 4" xfId="26284"/>
    <cellStyle name="Normal 21 4 5" xfId="9704"/>
    <cellStyle name="Normal 21 4 5 2" xfId="29382"/>
    <cellStyle name="Normal 21 4 6" xfId="15856"/>
    <cellStyle name="Normal 21 4 6 2" xfId="35534"/>
    <cellStyle name="Normal 21 4 7" xfId="23159"/>
    <cellStyle name="Normal 21 5" xfId="2704"/>
    <cellStyle name="Normal 21 5 2" xfId="4170"/>
    <cellStyle name="Normal 21 5 2 2" xfId="5795"/>
    <cellStyle name="Normal 21 5 2 2 2" xfId="8881"/>
    <cellStyle name="Normal 21 5 2 2 2 2" xfId="15074"/>
    <cellStyle name="Normal 21 5 2 2 2 2 2" xfId="34752"/>
    <cellStyle name="Normal 21 5 2 2 2 3" xfId="21226"/>
    <cellStyle name="Normal 21 5 2 2 2 3 2" xfId="40904"/>
    <cellStyle name="Normal 21 5 2 2 2 4" xfId="28588"/>
    <cellStyle name="Normal 21 5 2 2 3" xfId="12008"/>
    <cellStyle name="Normal 21 5 2 2 3 2" xfId="31686"/>
    <cellStyle name="Normal 21 5 2 2 4" xfId="18160"/>
    <cellStyle name="Normal 21 5 2 2 4 2" xfId="37838"/>
    <cellStyle name="Normal 21 5 2 2 5" xfId="25522"/>
    <cellStyle name="Normal 21 5 2 3" xfId="7346"/>
    <cellStyle name="Normal 21 5 2 3 2" xfId="13540"/>
    <cellStyle name="Normal 21 5 2 3 2 2" xfId="33218"/>
    <cellStyle name="Normal 21 5 2 3 3" xfId="19692"/>
    <cellStyle name="Normal 21 5 2 3 3 2" xfId="39370"/>
    <cellStyle name="Normal 21 5 2 3 4" xfId="27054"/>
    <cellStyle name="Normal 21 5 2 4" xfId="10474"/>
    <cellStyle name="Normal 21 5 2 4 2" xfId="30152"/>
    <cellStyle name="Normal 21 5 2 5" xfId="16626"/>
    <cellStyle name="Normal 21 5 2 5 2" xfId="36304"/>
    <cellStyle name="Normal 21 5 2 6" xfId="23988"/>
    <cellStyle name="Normal 21 5 3" xfId="5012"/>
    <cellStyle name="Normal 21 5 3 2" xfId="8112"/>
    <cellStyle name="Normal 21 5 3 2 2" xfId="14305"/>
    <cellStyle name="Normal 21 5 3 2 2 2" xfId="33983"/>
    <cellStyle name="Normal 21 5 3 2 3" xfId="20457"/>
    <cellStyle name="Normal 21 5 3 2 3 2" xfId="40135"/>
    <cellStyle name="Normal 21 5 3 2 4" xfId="27819"/>
    <cellStyle name="Normal 21 5 3 3" xfId="11239"/>
    <cellStyle name="Normal 21 5 3 3 2" xfId="30917"/>
    <cellStyle name="Normal 21 5 3 4" xfId="17391"/>
    <cellStyle name="Normal 21 5 3 4 2" xfId="37069"/>
    <cellStyle name="Normal 21 5 3 5" xfId="24753"/>
    <cellStyle name="Normal 21 5 4" xfId="6577"/>
    <cellStyle name="Normal 21 5 4 2" xfId="12771"/>
    <cellStyle name="Normal 21 5 4 2 2" xfId="32449"/>
    <cellStyle name="Normal 21 5 4 3" xfId="18923"/>
    <cellStyle name="Normal 21 5 4 3 2" xfId="38601"/>
    <cellStyle name="Normal 21 5 4 4" xfId="26285"/>
    <cellStyle name="Normal 21 5 5" xfId="9705"/>
    <cellStyle name="Normal 21 5 5 2" xfId="29383"/>
    <cellStyle name="Normal 21 5 6" xfId="15857"/>
    <cellStyle name="Normal 21 5 6 2" xfId="35535"/>
    <cellStyle name="Normal 21 5 7" xfId="23160"/>
    <cellStyle name="Normal 21 6" xfId="2705"/>
    <cellStyle name="Normal 21 6 2" xfId="4171"/>
    <cellStyle name="Normal 21 6 2 2" xfId="5796"/>
    <cellStyle name="Normal 21 6 2 2 2" xfId="8882"/>
    <cellStyle name="Normal 21 6 2 2 2 2" xfId="15075"/>
    <cellStyle name="Normal 21 6 2 2 2 2 2" xfId="34753"/>
    <cellStyle name="Normal 21 6 2 2 2 3" xfId="21227"/>
    <cellStyle name="Normal 21 6 2 2 2 3 2" xfId="40905"/>
    <cellStyle name="Normal 21 6 2 2 2 4" xfId="28589"/>
    <cellStyle name="Normal 21 6 2 2 3" xfId="12009"/>
    <cellStyle name="Normal 21 6 2 2 3 2" xfId="31687"/>
    <cellStyle name="Normal 21 6 2 2 4" xfId="18161"/>
    <cellStyle name="Normal 21 6 2 2 4 2" xfId="37839"/>
    <cellStyle name="Normal 21 6 2 2 5" xfId="25523"/>
    <cellStyle name="Normal 21 6 2 3" xfId="7347"/>
    <cellStyle name="Normal 21 6 2 3 2" xfId="13541"/>
    <cellStyle name="Normal 21 6 2 3 2 2" xfId="33219"/>
    <cellStyle name="Normal 21 6 2 3 3" xfId="19693"/>
    <cellStyle name="Normal 21 6 2 3 3 2" xfId="39371"/>
    <cellStyle name="Normal 21 6 2 3 4" xfId="27055"/>
    <cellStyle name="Normal 21 6 2 4" xfId="10475"/>
    <cellStyle name="Normal 21 6 2 4 2" xfId="30153"/>
    <cellStyle name="Normal 21 6 2 5" xfId="16627"/>
    <cellStyle name="Normal 21 6 2 5 2" xfId="36305"/>
    <cellStyle name="Normal 21 6 2 6" xfId="23989"/>
    <cellStyle name="Normal 21 6 3" xfId="5013"/>
    <cellStyle name="Normal 21 6 3 2" xfId="8113"/>
    <cellStyle name="Normal 21 6 3 2 2" xfId="14306"/>
    <cellStyle name="Normal 21 6 3 2 2 2" xfId="33984"/>
    <cellStyle name="Normal 21 6 3 2 3" xfId="20458"/>
    <cellStyle name="Normal 21 6 3 2 3 2" xfId="40136"/>
    <cellStyle name="Normal 21 6 3 2 4" xfId="27820"/>
    <cellStyle name="Normal 21 6 3 3" xfId="11240"/>
    <cellStyle name="Normal 21 6 3 3 2" xfId="30918"/>
    <cellStyle name="Normal 21 6 3 4" xfId="17392"/>
    <cellStyle name="Normal 21 6 3 4 2" xfId="37070"/>
    <cellStyle name="Normal 21 6 3 5" xfId="24754"/>
    <cellStyle name="Normal 21 6 4" xfId="6578"/>
    <cellStyle name="Normal 21 6 4 2" xfId="12772"/>
    <cellStyle name="Normal 21 6 4 2 2" xfId="32450"/>
    <cellStyle name="Normal 21 6 4 3" xfId="18924"/>
    <cellStyle name="Normal 21 6 4 3 2" xfId="38602"/>
    <cellStyle name="Normal 21 6 4 4" xfId="26286"/>
    <cellStyle name="Normal 21 6 5" xfId="9706"/>
    <cellStyle name="Normal 21 6 5 2" xfId="29384"/>
    <cellStyle name="Normal 21 6 6" xfId="15858"/>
    <cellStyle name="Normal 21 6 6 2" xfId="35536"/>
    <cellStyle name="Normal 21 6 7" xfId="23161"/>
    <cellStyle name="Normal 21 7" xfId="2706"/>
    <cellStyle name="Normal 21 8" xfId="2707"/>
    <cellStyle name="Normal 21 8 2" xfId="4172"/>
    <cellStyle name="Normal 21 8 2 2" xfId="5797"/>
    <cellStyle name="Normal 21 8 2 2 2" xfId="8883"/>
    <cellStyle name="Normal 21 8 2 2 2 2" xfId="15076"/>
    <cellStyle name="Normal 21 8 2 2 2 2 2" xfId="34754"/>
    <cellStyle name="Normal 21 8 2 2 2 3" xfId="21228"/>
    <cellStyle name="Normal 21 8 2 2 2 3 2" xfId="40906"/>
    <cellStyle name="Normal 21 8 2 2 2 4" xfId="28590"/>
    <cellStyle name="Normal 21 8 2 2 3" xfId="12010"/>
    <cellStyle name="Normal 21 8 2 2 3 2" xfId="31688"/>
    <cellStyle name="Normal 21 8 2 2 4" xfId="18162"/>
    <cellStyle name="Normal 21 8 2 2 4 2" xfId="37840"/>
    <cellStyle name="Normal 21 8 2 2 5" xfId="25524"/>
    <cellStyle name="Normal 21 8 2 3" xfId="7348"/>
    <cellStyle name="Normal 21 8 2 3 2" xfId="13542"/>
    <cellStyle name="Normal 21 8 2 3 2 2" xfId="33220"/>
    <cellStyle name="Normal 21 8 2 3 3" xfId="19694"/>
    <cellStyle name="Normal 21 8 2 3 3 2" xfId="39372"/>
    <cellStyle name="Normal 21 8 2 3 4" xfId="27056"/>
    <cellStyle name="Normal 21 8 2 4" xfId="10476"/>
    <cellStyle name="Normal 21 8 2 4 2" xfId="30154"/>
    <cellStyle name="Normal 21 8 2 5" xfId="16628"/>
    <cellStyle name="Normal 21 8 2 5 2" xfId="36306"/>
    <cellStyle name="Normal 21 8 2 6" xfId="23990"/>
    <cellStyle name="Normal 21 8 3" xfId="5014"/>
    <cellStyle name="Normal 21 8 3 2" xfId="8114"/>
    <cellStyle name="Normal 21 8 3 2 2" xfId="14307"/>
    <cellStyle name="Normal 21 8 3 2 2 2" xfId="33985"/>
    <cellStyle name="Normal 21 8 3 2 3" xfId="20459"/>
    <cellStyle name="Normal 21 8 3 2 3 2" xfId="40137"/>
    <cellStyle name="Normal 21 8 3 2 4" xfId="27821"/>
    <cellStyle name="Normal 21 8 3 3" xfId="11241"/>
    <cellStyle name="Normal 21 8 3 3 2" xfId="30919"/>
    <cellStyle name="Normal 21 8 3 4" xfId="17393"/>
    <cellStyle name="Normal 21 8 3 4 2" xfId="37071"/>
    <cellStyle name="Normal 21 8 3 5" xfId="24755"/>
    <cellStyle name="Normal 21 8 4" xfId="6579"/>
    <cellStyle name="Normal 21 8 4 2" xfId="12773"/>
    <cellStyle name="Normal 21 8 4 2 2" xfId="32451"/>
    <cellStyle name="Normal 21 8 4 3" xfId="18925"/>
    <cellStyle name="Normal 21 8 4 3 2" xfId="38603"/>
    <cellStyle name="Normal 21 8 4 4" xfId="26287"/>
    <cellStyle name="Normal 21 8 5" xfId="9707"/>
    <cellStyle name="Normal 21 8 5 2" xfId="29385"/>
    <cellStyle name="Normal 21 8 6" xfId="15859"/>
    <cellStyle name="Normal 21 8 6 2" xfId="35537"/>
    <cellStyle name="Normal 21 8 7" xfId="23162"/>
    <cellStyle name="Normal 21 9" xfId="4160"/>
    <cellStyle name="Normal 21 9 2" xfId="5785"/>
    <cellStyle name="Normal 21 9 2 2" xfId="8871"/>
    <cellStyle name="Normal 21 9 2 2 2" xfId="15064"/>
    <cellStyle name="Normal 21 9 2 2 2 2" xfId="34742"/>
    <cellStyle name="Normal 21 9 2 2 3" xfId="21216"/>
    <cellStyle name="Normal 21 9 2 2 3 2" xfId="40894"/>
    <cellStyle name="Normal 21 9 2 2 4" xfId="28578"/>
    <cellStyle name="Normal 21 9 2 3" xfId="11998"/>
    <cellStyle name="Normal 21 9 2 3 2" xfId="31676"/>
    <cellStyle name="Normal 21 9 2 4" xfId="18150"/>
    <cellStyle name="Normal 21 9 2 4 2" xfId="37828"/>
    <cellStyle name="Normal 21 9 2 5" xfId="25512"/>
    <cellStyle name="Normal 21 9 3" xfId="7336"/>
    <cellStyle name="Normal 21 9 3 2" xfId="13530"/>
    <cellStyle name="Normal 21 9 3 2 2" xfId="33208"/>
    <cellStyle name="Normal 21 9 3 3" xfId="19682"/>
    <cellStyle name="Normal 21 9 3 3 2" xfId="39360"/>
    <cellStyle name="Normal 21 9 3 4" xfId="27044"/>
    <cellStyle name="Normal 21 9 4" xfId="10464"/>
    <cellStyle name="Normal 21 9 4 2" xfId="30142"/>
    <cellStyle name="Normal 21 9 5" xfId="16616"/>
    <cellStyle name="Normal 21 9 5 2" xfId="36294"/>
    <cellStyle name="Normal 21 9 6" xfId="23978"/>
    <cellStyle name="Normal 22" xfId="2708"/>
    <cellStyle name="Normal 22 10" xfId="6580"/>
    <cellStyle name="Normal 22 10 2" xfId="12774"/>
    <cellStyle name="Normal 22 10 2 2" xfId="32452"/>
    <cellStyle name="Normal 22 10 3" xfId="18926"/>
    <cellStyle name="Normal 22 10 3 2" xfId="38604"/>
    <cellStyle name="Normal 22 10 4" xfId="26288"/>
    <cellStyle name="Normal 22 11" xfId="9708"/>
    <cellStyle name="Normal 22 11 2" xfId="29386"/>
    <cellStyle name="Normal 22 12" xfId="15860"/>
    <cellStyle name="Normal 22 12 2" xfId="35538"/>
    <cellStyle name="Normal 22 13" xfId="23163"/>
    <cellStyle name="Normal 22 2" xfId="2709"/>
    <cellStyle name="Normal 22 2 10" xfId="9709"/>
    <cellStyle name="Normal 22 2 10 2" xfId="29387"/>
    <cellStyle name="Normal 22 2 11" xfId="15861"/>
    <cellStyle name="Normal 22 2 11 2" xfId="35539"/>
    <cellStyle name="Normal 22 2 12" xfId="23164"/>
    <cellStyle name="Normal 22 2 2" xfId="2710"/>
    <cellStyle name="Normal 22 2 2 2" xfId="4175"/>
    <cellStyle name="Normal 22 2 2 2 2" xfId="5800"/>
    <cellStyle name="Normal 22 2 2 2 2 2" xfId="8886"/>
    <cellStyle name="Normal 22 2 2 2 2 2 2" xfId="15079"/>
    <cellStyle name="Normal 22 2 2 2 2 2 2 2" xfId="34757"/>
    <cellStyle name="Normal 22 2 2 2 2 2 3" xfId="21231"/>
    <cellStyle name="Normal 22 2 2 2 2 2 3 2" xfId="40909"/>
    <cellStyle name="Normal 22 2 2 2 2 2 4" xfId="28593"/>
    <cellStyle name="Normal 22 2 2 2 2 3" xfId="12013"/>
    <cellStyle name="Normal 22 2 2 2 2 3 2" xfId="31691"/>
    <cellStyle name="Normal 22 2 2 2 2 4" xfId="18165"/>
    <cellStyle name="Normal 22 2 2 2 2 4 2" xfId="37843"/>
    <cellStyle name="Normal 22 2 2 2 2 5" xfId="25527"/>
    <cellStyle name="Normal 22 2 2 2 3" xfId="7351"/>
    <cellStyle name="Normal 22 2 2 2 3 2" xfId="13545"/>
    <cellStyle name="Normal 22 2 2 2 3 2 2" xfId="33223"/>
    <cellStyle name="Normal 22 2 2 2 3 3" xfId="19697"/>
    <cellStyle name="Normal 22 2 2 2 3 3 2" xfId="39375"/>
    <cellStyle name="Normal 22 2 2 2 3 4" xfId="27059"/>
    <cellStyle name="Normal 22 2 2 2 4" xfId="10479"/>
    <cellStyle name="Normal 22 2 2 2 4 2" xfId="30157"/>
    <cellStyle name="Normal 22 2 2 2 5" xfId="16631"/>
    <cellStyle name="Normal 22 2 2 2 5 2" xfId="36309"/>
    <cellStyle name="Normal 22 2 2 2 6" xfId="23993"/>
    <cellStyle name="Normal 22 2 2 3" xfId="5017"/>
    <cellStyle name="Normal 22 2 2 3 2" xfId="8117"/>
    <cellStyle name="Normal 22 2 2 3 2 2" xfId="14310"/>
    <cellStyle name="Normal 22 2 2 3 2 2 2" xfId="33988"/>
    <cellStyle name="Normal 22 2 2 3 2 3" xfId="20462"/>
    <cellStyle name="Normal 22 2 2 3 2 3 2" xfId="40140"/>
    <cellStyle name="Normal 22 2 2 3 2 4" xfId="27824"/>
    <cellStyle name="Normal 22 2 2 3 3" xfId="11244"/>
    <cellStyle name="Normal 22 2 2 3 3 2" xfId="30922"/>
    <cellStyle name="Normal 22 2 2 3 4" xfId="17396"/>
    <cellStyle name="Normal 22 2 2 3 4 2" xfId="37074"/>
    <cellStyle name="Normal 22 2 2 3 5" xfId="24758"/>
    <cellStyle name="Normal 22 2 2 4" xfId="6582"/>
    <cellStyle name="Normal 22 2 2 4 2" xfId="12776"/>
    <cellStyle name="Normal 22 2 2 4 2 2" xfId="32454"/>
    <cellStyle name="Normal 22 2 2 4 3" xfId="18928"/>
    <cellStyle name="Normal 22 2 2 4 3 2" xfId="38606"/>
    <cellStyle name="Normal 22 2 2 4 4" xfId="26290"/>
    <cellStyle name="Normal 22 2 2 5" xfId="9710"/>
    <cellStyle name="Normal 22 2 2 5 2" xfId="29388"/>
    <cellStyle name="Normal 22 2 2 6" xfId="15862"/>
    <cellStyle name="Normal 22 2 2 6 2" xfId="35540"/>
    <cellStyle name="Normal 22 2 2 7" xfId="23165"/>
    <cellStyle name="Normal 22 2 3" xfId="2711"/>
    <cellStyle name="Normal 22 2 3 2" xfId="4176"/>
    <cellStyle name="Normal 22 2 3 2 2" xfId="5801"/>
    <cellStyle name="Normal 22 2 3 2 2 2" xfId="8887"/>
    <cellStyle name="Normal 22 2 3 2 2 2 2" xfId="15080"/>
    <cellStyle name="Normal 22 2 3 2 2 2 2 2" xfId="34758"/>
    <cellStyle name="Normal 22 2 3 2 2 2 3" xfId="21232"/>
    <cellStyle name="Normal 22 2 3 2 2 2 3 2" xfId="40910"/>
    <cellStyle name="Normal 22 2 3 2 2 2 4" xfId="28594"/>
    <cellStyle name="Normal 22 2 3 2 2 3" xfId="12014"/>
    <cellStyle name="Normal 22 2 3 2 2 3 2" xfId="31692"/>
    <cellStyle name="Normal 22 2 3 2 2 4" xfId="18166"/>
    <cellStyle name="Normal 22 2 3 2 2 4 2" xfId="37844"/>
    <cellStyle name="Normal 22 2 3 2 2 5" xfId="25528"/>
    <cellStyle name="Normal 22 2 3 2 3" xfId="7352"/>
    <cellStyle name="Normal 22 2 3 2 3 2" xfId="13546"/>
    <cellStyle name="Normal 22 2 3 2 3 2 2" xfId="33224"/>
    <cellStyle name="Normal 22 2 3 2 3 3" xfId="19698"/>
    <cellStyle name="Normal 22 2 3 2 3 3 2" xfId="39376"/>
    <cellStyle name="Normal 22 2 3 2 3 4" xfId="27060"/>
    <cellStyle name="Normal 22 2 3 2 4" xfId="10480"/>
    <cellStyle name="Normal 22 2 3 2 4 2" xfId="30158"/>
    <cellStyle name="Normal 22 2 3 2 5" xfId="16632"/>
    <cellStyle name="Normal 22 2 3 2 5 2" xfId="36310"/>
    <cellStyle name="Normal 22 2 3 2 6" xfId="23994"/>
    <cellStyle name="Normal 22 2 3 3" xfId="5018"/>
    <cellStyle name="Normal 22 2 3 3 2" xfId="8118"/>
    <cellStyle name="Normal 22 2 3 3 2 2" xfId="14311"/>
    <cellStyle name="Normal 22 2 3 3 2 2 2" xfId="33989"/>
    <cellStyle name="Normal 22 2 3 3 2 3" xfId="20463"/>
    <cellStyle name="Normal 22 2 3 3 2 3 2" xfId="40141"/>
    <cellStyle name="Normal 22 2 3 3 2 4" xfId="27825"/>
    <cellStyle name="Normal 22 2 3 3 3" xfId="11245"/>
    <cellStyle name="Normal 22 2 3 3 3 2" xfId="30923"/>
    <cellStyle name="Normal 22 2 3 3 4" xfId="17397"/>
    <cellStyle name="Normal 22 2 3 3 4 2" xfId="37075"/>
    <cellStyle name="Normal 22 2 3 3 5" xfId="24759"/>
    <cellStyle name="Normal 22 2 3 4" xfId="6583"/>
    <cellStyle name="Normal 22 2 3 4 2" xfId="12777"/>
    <cellStyle name="Normal 22 2 3 4 2 2" xfId="32455"/>
    <cellStyle name="Normal 22 2 3 4 3" xfId="18929"/>
    <cellStyle name="Normal 22 2 3 4 3 2" xfId="38607"/>
    <cellStyle name="Normal 22 2 3 4 4" xfId="26291"/>
    <cellStyle name="Normal 22 2 3 5" xfId="9711"/>
    <cellStyle name="Normal 22 2 3 5 2" xfId="29389"/>
    <cellStyle name="Normal 22 2 3 6" xfId="15863"/>
    <cellStyle name="Normal 22 2 3 6 2" xfId="35541"/>
    <cellStyle name="Normal 22 2 3 7" xfId="23166"/>
    <cellStyle name="Normal 22 2 4" xfId="2712"/>
    <cellStyle name="Normal 22 2 4 2" xfId="4177"/>
    <cellStyle name="Normal 22 2 4 2 2" xfId="5802"/>
    <cellStyle name="Normal 22 2 4 2 2 2" xfId="8888"/>
    <cellStyle name="Normal 22 2 4 2 2 2 2" xfId="15081"/>
    <cellStyle name="Normal 22 2 4 2 2 2 2 2" xfId="34759"/>
    <cellStyle name="Normal 22 2 4 2 2 2 3" xfId="21233"/>
    <cellStyle name="Normal 22 2 4 2 2 2 3 2" xfId="40911"/>
    <cellStyle name="Normal 22 2 4 2 2 2 4" xfId="28595"/>
    <cellStyle name="Normal 22 2 4 2 2 3" xfId="12015"/>
    <cellStyle name="Normal 22 2 4 2 2 3 2" xfId="31693"/>
    <cellStyle name="Normal 22 2 4 2 2 4" xfId="18167"/>
    <cellStyle name="Normal 22 2 4 2 2 4 2" xfId="37845"/>
    <cellStyle name="Normal 22 2 4 2 2 5" xfId="25529"/>
    <cellStyle name="Normal 22 2 4 2 3" xfId="7353"/>
    <cellStyle name="Normal 22 2 4 2 3 2" xfId="13547"/>
    <cellStyle name="Normal 22 2 4 2 3 2 2" xfId="33225"/>
    <cellStyle name="Normal 22 2 4 2 3 3" xfId="19699"/>
    <cellStyle name="Normal 22 2 4 2 3 3 2" xfId="39377"/>
    <cellStyle name="Normal 22 2 4 2 3 4" xfId="27061"/>
    <cellStyle name="Normal 22 2 4 2 4" xfId="10481"/>
    <cellStyle name="Normal 22 2 4 2 4 2" xfId="30159"/>
    <cellStyle name="Normal 22 2 4 2 5" xfId="16633"/>
    <cellStyle name="Normal 22 2 4 2 5 2" xfId="36311"/>
    <cellStyle name="Normal 22 2 4 2 6" xfId="23995"/>
    <cellStyle name="Normal 22 2 4 3" xfId="5019"/>
    <cellStyle name="Normal 22 2 4 3 2" xfId="8119"/>
    <cellStyle name="Normal 22 2 4 3 2 2" xfId="14312"/>
    <cellStyle name="Normal 22 2 4 3 2 2 2" xfId="33990"/>
    <cellStyle name="Normal 22 2 4 3 2 3" xfId="20464"/>
    <cellStyle name="Normal 22 2 4 3 2 3 2" xfId="40142"/>
    <cellStyle name="Normal 22 2 4 3 2 4" xfId="27826"/>
    <cellStyle name="Normal 22 2 4 3 3" xfId="11246"/>
    <cellStyle name="Normal 22 2 4 3 3 2" xfId="30924"/>
    <cellStyle name="Normal 22 2 4 3 4" xfId="17398"/>
    <cellStyle name="Normal 22 2 4 3 4 2" xfId="37076"/>
    <cellStyle name="Normal 22 2 4 3 5" xfId="24760"/>
    <cellStyle name="Normal 22 2 4 4" xfId="6584"/>
    <cellStyle name="Normal 22 2 4 4 2" xfId="12778"/>
    <cellStyle name="Normal 22 2 4 4 2 2" xfId="32456"/>
    <cellStyle name="Normal 22 2 4 4 3" xfId="18930"/>
    <cellStyle name="Normal 22 2 4 4 3 2" xfId="38608"/>
    <cellStyle name="Normal 22 2 4 4 4" xfId="26292"/>
    <cellStyle name="Normal 22 2 4 5" xfId="9712"/>
    <cellStyle name="Normal 22 2 4 5 2" xfId="29390"/>
    <cellStyle name="Normal 22 2 4 6" xfId="15864"/>
    <cellStyle name="Normal 22 2 4 6 2" xfId="35542"/>
    <cellStyle name="Normal 22 2 4 7" xfId="23167"/>
    <cellStyle name="Normal 22 2 5" xfId="2713"/>
    <cellStyle name="Normal 22 2 5 2" xfId="4178"/>
    <cellStyle name="Normal 22 2 5 2 2" xfId="5803"/>
    <cellStyle name="Normal 22 2 5 2 2 2" xfId="8889"/>
    <cellStyle name="Normal 22 2 5 2 2 2 2" xfId="15082"/>
    <cellStyle name="Normal 22 2 5 2 2 2 2 2" xfId="34760"/>
    <cellStyle name="Normal 22 2 5 2 2 2 3" xfId="21234"/>
    <cellStyle name="Normal 22 2 5 2 2 2 3 2" xfId="40912"/>
    <cellStyle name="Normal 22 2 5 2 2 2 4" xfId="28596"/>
    <cellStyle name="Normal 22 2 5 2 2 3" xfId="12016"/>
    <cellStyle name="Normal 22 2 5 2 2 3 2" xfId="31694"/>
    <cellStyle name="Normal 22 2 5 2 2 4" xfId="18168"/>
    <cellStyle name="Normal 22 2 5 2 2 4 2" xfId="37846"/>
    <cellStyle name="Normal 22 2 5 2 2 5" xfId="25530"/>
    <cellStyle name="Normal 22 2 5 2 3" xfId="7354"/>
    <cellStyle name="Normal 22 2 5 2 3 2" xfId="13548"/>
    <cellStyle name="Normal 22 2 5 2 3 2 2" xfId="33226"/>
    <cellStyle name="Normal 22 2 5 2 3 3" xfId="19700"/>
    <cellStyle name="Normal 22 2 5 2 3 3 2" xfId="39378"/>
    <cellStyle name="Normal 22 2 5 2 3 4" xfId="27062"/>
    <cellStyle name="Normal 22 2 5 2 4" xfId="10482"/>
    <cellStyle name="Normal 22 2 5 2 4 2" xfId="30160"/>
    <cellStyle name="Normal 22 2 5 2 5" xfId="16634"/>
    <cellStyle name="Normal 22 2 5 2 5 2" xfId="36312"/>
    <cellStyle name="Normal 22 2 5 2 6" xfId="23996"/>
    <cellStyle name="Normal 22 2 5 3" xfId="5020"/>
    <cellStyle name="Normal 22 2 5 3 2" xfId="8120"/>
    <cellStyle name="Normal 22 2 5 3 2 2" xfId="14313"/>
    <cellStyle name="Normal 22 2 5 3 2 2 2" xfId="33991"/>
    <cellStyle name="Normal 22 2 5 3 2 3" xfId="20465"/>
    <cellStyle name="Normal 22 2 5 3 2 3 2" xfId="40143"/>
    <cellStyle name="Normal 22 2 5 3 2 4" xfId="27827"/>
    <cellStyle name="Normal 22 2 5 3 3" xfId="11247"/>
    <cellStyle name="Normal 22 2 5 3 3 2" xfId="30925"/>
    <cellStyle name="Normal 22 2 5 3 4" xfId="17399"/>
    <cellStyle name="Normal 22 2 5 3 4 2" xfId="37077"/>
    <cellStyle name="Normal 22 2 5 3 5" xfId="24761"/>
    <cellStyle name="Normal 22 2 5 4" xfId="6585"/>
    <cellStyle name="Normal 22 2 5 4 2" xfId="12779"/>
    <cellStyle name="Normal 22 2 5 4 2 2" xfId="32457"/>
    <cellStyle name="Normal 22 2 5 4 3" xfId="18931"/>
    <cellStyle name="Normal 22 2 5 4 3 2" xfId="38609"/>
    <cellStyle name="Normal 22 2 5 4 4" xfId="26293"/>
    <cellStyle name="Normal 22 2 5 5" xfId="9713"/>
    <cellStyle name="Normal 22 2 5 5 2" xfId="29391"/>
    <cellStyle name="Normal 22 2 5 6" xfId="15865"/>
    <cellStyle name="Normal 22 2 5 6 2" xfId="35543"/>
    <cellStyle name="Normal 22 2 5 7" xfId="23168"/>
    <cellStyle name="Normal 22 2 6" xfId="2714"/>
    <cellStyle name="Normal 22 2 7" xfId="4174"/>
    <cellStyle name="Normal 22 2 7 2" xfId="5799"/>
    <cellStyle name="Normal 22 2 7 2 2" xfId="8885"/>
    <cellStyle name="Normal 22 2 7 2 2 2" xfId="15078"/>
    <cellStyle name="Normal 22 2 7 2 2 2 2" xfId="34756"/>
    <cellStyle name="Normal 22 2 7 2 2 3" xfId="21230"/>
    <cellStyle name="Normal 22 2 7 2 2 3 2" xfId="40908"/>
    <cellStyle name="Normal 22 2 7 2 2 4" xfId="28592"/>
    <cellStyle name="Normal 22 2 7 2 3" xfId="12012"/>
    <cellStyle name="Normal 22 2 7 2 3 2" xfId="31690"/>
    <cellStyle name="Normal 22 2 7 2 4" xfId="18164"/>
    <cellStyle name="Normal 22 2 7 2 4 2" xfId="37842"/>
    <cellStyle name="Normal 22 2 7 2 5" xfId="25526"/>
    <cellStyle name="Normal 22 2 7 3" xfId="7350"/>
    <cellStyle name="Normal 22 2 7 3 2" xfId="13544"/>
    <cellStyle name="Normal 22 2 7 3 2 2" xfId="33222"/>
    <cellStyle name="Normal 22 2 7 3 3" xfId="19696"/>
    <cellStyle name="Normal 22 2 7 3 3 2" xfId="39374"/>
    <cellStyle name="Normal 22 2 7 3 4" xfId="27058"/>
    <cellStyle name="Normal 22 2 7 4" xfId="10478"/>
    <cellStyle name="Normal 22 2 7 4 2" xfId="30156"/>
    <cellStyle name="Normal 22 2 7 5" xfId="16630"/>
    <cellStyle name="Normal 22 2 7 5 2" xfId="36308"/>
    <cellStyle name="Normal 22 2 7 6" xfId="23992"/>
    <cellStyle name="Normal 22 2 8" xfId="5016"/>
    <cellStyle name="Normal 22 2 8 2" xfId="8116"/>
    <cellStyle name="Normal 22 2 8 2 2" xfId="14309"/>
    <cellStyle name="Normal 22 2 8 2 2 2" xfId="33987"/>
    <cellStyle name="Normal 22 2 8 2 3" xfId="20461"/>
    <cellStyle name="Normal 22 2 8 2 3 2" xfId="40139"/>
    <cellStyle name="Normal 22 2 8 2 4" xfId="27823"/>
    <cellStyle name="Normal 22 2 8 3" xfId="11243"/>
    <cellStyle name="Normal 22 2 8 3 2" xfId="30921"/>
    <cellStyle name="Normal 22 2 8 4" xfId="17395"/>
    <cellStyle name="Normal 22 2 8 4 2" xfId="37073"/>
    <cellStyle name="Normal 22 2 8 5" xfId="24757"/>
    <cellStyle name="Normal 22 2 9" xfId="6581"/>
    <cellStyle name="Normal 22 2 9 2" xfId="12775"/>
    <cellStyle name="Normal 22 2 9 2 2" xfId="32453"/>
    <cellStyle name="Normal 22 2 9 3" xfId="18927"/>
    <cellStyle name="Normal 22 2 9 3 2" xfId="38605"/>
    <cellStyle name="Normal 22 2 9 4" xfId="26289"/>
    <cellStyle name="Normal 22 3" xfId="2715"/>
    <cellStyle name="Normal 22 3 2" xfId="4179"/>
    <cellStyle name="Normal 22 3 2 2" xfId="5804"/>
    <cellStyle name="Normal 22 3 2 2 2" xfId="8890"/>
    <cellStyle name="Normal 22 3 2 2 2 2" xfId="15083"/>
    <cellStyle name="Normal 22 3 2 2 2 2 2" xfId="34761"/>
    <cellStyle name="Normal 22 3 2 2 2 3" xfId="21235"/>
    <cellStyle name="Normal 22 3 2 2 2 3 2" xfId="40913"/>
    <cellStyle name="Normal 22 3 2 2 2 4" xfId="28597"/>
    <cellStyle name="Normal 22 3 2 2 3" xfId="12017"/>
    <cellStyle name="Normal 22 3 2 2 3 2" xfId="31695"/>
    <cellStyle name="Normal 22 3 2 2 4" xfId="18169"/>
    <cellStyle name="Normal 22 3 2 2 4 2" xfId="37847"/>
    <cellStyle name="Normal 22 3 2 2 5" xfId="25531"/>
    <cellStyle name="Normal 22 3 2 3" xfId="7355"/>
    <cellStyle name="Normal 22 3 2 3 2" xfId="13549"/>
    <cellStyle name="Normal 22 3 2 3 2 2" xfId="33227"/>
    <cellStyle name="Normal 22 3 2 3 3" xfId="19701"/>
    <cellStyle name="Normal 22 3 2 3 3 2" xfId="39379"/>
    <cellStyle name="Normal 22 3 2 3 4" xfId="27063"/>
    <cellStyle name="Normal 22 3 2 4" xfId="10483"/>
    <cellStyle name="Normal 22 3 2 4 2" xfId="30161"/>
    <cellStyle name="Normal 22 3 2 5" xfId="16635"/>
    <cellStyle name="Normal 22 3 2 5 2" xfId="36313"/>
    <cellStyle name="Normal 22 3 2 6" xfId="23997"/>
    <cellStyle name="Normal 22 3 3" xfId="5021"/>
    <cellStyle name="Normal 22 3 3 2" xfId="8121"/>
    <cellStyle name="Normal 22 3 3 2 2" xfId="14314"/>
    <cellStyle name="Normal 22 3 3 2 2 2" xfId="33992"/>
    <cellStyle name="Normal 22 3 3 2 3" xfId="20466"/>
    <cellStyle name="Normal 22 3 3 2 3 2" xfId="40144"/>
    <cellStyle name="Normal 22 3 3 2 4" xfId="27828"/>
    <cellStyle name="Normal 22 3 3 3" xfId="11248"/>
    <cellStyle name="Normal 22 3 3 3 2" xfId="30926"/>
    <cellStyle name="Normal 22 3 3 4" xfId="17400"/>
    <cellStyle name="Normal 22 3 3 4 2" xfId="37078"/>
    <cellStyle name="Normal 22 3 3 5" xfId="24762"/>
    <cellStyle name="Normal 22 3 4" xfId="6586"/>
    <cellStyle name="Normal 22 3 4 2" xfId="12780"/>
    <cellStyle name="Normal 22 3 4 2 2" xfId="32458"/>
    <cellStyle name="Normal 22 3 4 3" xfId="18932"/>
    <cellStyle name="Normal 22 3 4 3 2" xfId="38610"/>
    <cellStyle name="Normal 22 3 4 4" xfId="26294"/>
    <cellStyle name="Normal 22 3 5" xfId="9714"/>
    <cellStyle name="Normal 22 3 5 2" xfId="29392"/>
    <cellStyle name="Normal 22 3 6" xfId="15866"/>
    <cellStyle name="Normal 22 3 6 2" xfId="35544"/>
    <cellStyle name="Normal 22 3 7" xfId="23169"/>
    <cellStyle name="Normal 22 4" xfId="2716"/>
    <cellStyle name="Normal 22 4 2" xfId="4180"/>
    <cellStyle name="Normal 22 4 2 2" xfId="5805"/>
    <cellStyle name="Normal 22 4 2 2 2" xfId="8891"/>
    <cellStyle name="Normal 22 4 2 2 2 2" xfId="15084"/>
    <cellStyle name="Normal 22 4 2 2 2 2 2" xfId="34762"/>
    <cellStyle name="Normal 22 4 2 2 2 3" xfId="21236"/>
    <cellStyle name="Normal 22 4 2 2 2 3 2" xfId="40914"/>
    <cellStyle name="Normal 22 4 2 2 2 4" xfId="28598"/>
    <cellStyle name="Normal 22 4 2 2 3" xfId="12018"/>
    <cellStyle name="Normal 22 4 2 2 3 2" xfId="31696"/>
    <cellStyle name="Normal 22 4 2 2 4" xfId="18170"/>
    <cellStyle name="Normal 22 4 2 2 4 2" xfId="37848"/>
    <cellStyle name="Normal 22 4 2 2 5" xfId="25532"/>
    <cellStyle name="Normal 22 4 2 3" xfId="7356"/>
    <cellStyle name="Normal 22 4 2 3 2" xfId="13550"/>
    <cellStyle name="Normal 22 4 2 3 2 2" xfId="33228"/>
    <cellStyle name="Normal 22 4 2 3 3" xfId="19702"/>
    <cellStyle name="Normal 22 4 2 3 3 2" xfId="39380"/>
    <cellStyle name="Normal 22 4 2 3 4" xfId="27064"/>
    <cellStyle name="Normal 22 4 2 4" xfId="10484"/>
    <cellStyle name="Normal 22 4 2 4 2" xfId="30162"/>
    <cellStyle name="Normal 22 4 2 5" xfId="16636"/>
    <cellStyle name="Normal 22 4 2 5 2" xfId="36314"/>
    <cellStyle name="Normal 22 4 2 6" xfId="23998"/>
    <cellStyle name="Normal 22 4 3" xfId="5022"/>
    <cellStyle name="Normal 22 4 3 2" xfId="8122"/>
    <cellStyle name="Normal 22 4 3 2 2" xfId="14315"/>
    <cellStyle name="Normal 22 4 3 2 2 2" xfId="33993"/>
    <cellStyle name="Normal 22 4 3 2 3" xfId="20467"/>
    <cellStyle name="Normal 22 4 3 2 3 2" xfId="40145"/>
    <cellStyle name="Normal 22 4 3 2 4" xfId="27829"/>
    <cellStyle name="Normal 22 4 3 3" xfId="11249"/>
    <cellStyle name="Normal 22 4 3 3 2" xfId="30927"/>
    <cellStyle name="Normal 22 4 3 4" xfId="17401"/>
    <cellStyle name="Normal 22 4 3 4 2" xfId="37079"/>
    <cellStyle name="Normal 22 4 3 5" xfId="24763"/>
    <cellStyle name="Normal 22 4 4" xfId="6587"/>
    <cellStyle name="Normal 22 4 4 2" xfId="12781"/>
    <cellStyle name="Normal 22 4 4 2 2" xfId="32459"/>
    <cellStyle name="Normal 22 4 4 3" xfId="18933"/>
    <cellStyle name="Normal 22 4 4 3 2" xfId="38611"/>
    <cellStyle name="Normal 22 4 4 4" xfId="26295"/>
    <cellStyle name="Normal 22 4 5" xfId="9715"/>
    <cellStyle name="Normal 22 4 5 2" xfId="29393"/>
    <cellStyle name="Normal 22 4 6" xfId="15867"/>
    <cellStyle name="Normal 22 4 6 2" xfId="35545"/>
    <cellStyle name="Normal 22 4 7" xfId="23170"/>
    <cellStyle name="Normal 22 5" xfId="2717"/>
    <cellStyle name="Normal 22 5 2" xfId="4181"/>
    <cellStyle name="Normal 22 5 2 2" xfId="5806"/>
    <cellStyle name="Normal 22 5 2 2 2" xfId="8892"/>
    <cellStyle name="Normal 22 5 2 2 2 2" xfId="15085"/>
    <cellStyle name="Normal 22 5 2 2 2 2 2" xfId="34763"/>
    <cellStyle name="Normal 22 5 2 2 2 3" xfId="21237"/>
    <cellStyle name="Normal 22 5 2 2 2 3 2" xfId="40915"/>
    <cellStyle name="Normal 22 5 2 2 2 4" xfId="28599"/>
    <cellStyle name="Normal 22 5 2 2 3" xfId="12019"/>
    <cellStyle name="Normal 22 5 2 2 3 2" xfId="31697"/>
    <cellStyle name="Normal 22 5 2 2 4" xfId="18171"/>
    <cellStyle name="Normal 22 5 2 2 4 2" xfId="37849"/>
    <cellStyle name="Normal 22 5 2 2 5" xfId="25533"/>
    <cellStyle name="Normal 22 5 2 3" xfId="7357"/>
    <cellStyle name="Normal 22 5 2 3 2" xfId="13551"/>
    <cellStyle name="Normal 22 5 2 3 2 2" xfId="33229"/>
    <cellStyle name="Normal 22 5 2 3 3" xfId="19703"/>
    <cellStyle name="Normal 22 5 2 3 3 2" xfId="39381"/>
    <cellStyle name="Normal 22 5 2 3 4" xfId="27065"/>
    <cellStyle name="Normal 22 5 2 4" xfId="10485"/>
    <cellStyle name="Normal 22 5 2 4 2" xfId="30163"/>
    <cellStyle name="Normal 22 5 2 5" xfId="16637"/>
    <cellStyle name="Normal 22 5 2 5 2" xfId="36315"/>
    <cellStyle name="Normal 22 5 2 6" xfId="23999"/>
    <cellStyle name="Normal 22 5 3" xfId="5023"/>
    <cellStyle name="Normal 22 5 3 2" xfId="8123"/>
    <cellStyle name="Normal 22 5 3 2 2" xfId="14316"/>
    <cellStyle name="Normal 22 5 3 2 2 2" xfId="33994"/>
    <cellStyle name="Normal 22 5 3 2 3" xfId="20468"/>
    <cellStyle name="Normal 22 5 3 2 3 2" xfId="40146"/>
    <cellStyle name="Normal 22 5 3 2 4" xfId="27830"/>
    <cellStyle name="Normal 22 5 3 3" xfId="11250"/>
    <cellStyle name="Normal 22 5 3 3 2" xfId="30928"/>
    <cellStyle name="Normal 22 5 3 4" xfId="17402"/>
    <cellStyle name="Normal 22 5 3 4 2" xfId="37080"/>
    <cellStyle name="Normal 22 5 3 5" xfId="24764"/>
    <cellStyle name="Normal 22 5 4" xfId="6588"/>
    <cellStyle name="Normal 22 5 4 2" xfId="12782"/>
    <cellStyle name="Normal 22 5 4 2 2" xfId="32460"/>
    <cellStyle name="Normal 22 5 4 3" xfId="18934"/>
    <cellStyle name="Normal 22 5 4 3 2" xfId="38612"/>
    <cellStyle name="Normal 22 5 4 4" xfId="26296"/>
    <cellStyle name="Normal 22 5 5" xfId="9716"/>
    <cellStyle name="Normal 22 5 5 2" xfId="29394"/>
    <cellStyle name="Normal 22 5 6" xfId="15868"/>
    <cellStyle name="Normal 22 5 6 2" xfId="35546"/>
    <cellStyle name="Normal 22 5 7" xfId="23171"/>
    <cellStyle name="Normal 22 6" xfId="2718"/>
    <cellStyle name="Normal 22 6 2" xfId="4182"/>
    <cellStyle name="Normal 22 6 2 2" xfId="5807"/>
    <cellStyle name="Normal 22 6 2 2 2" xfId="8893"/>
    <cellStyle name="Normal 22 6 2 2 2 2" xfId="15086"/>
    <cellStyle name="Normal 22 6 2 2 2 2 2" xfId="34764"/>
    <cellStyle name="Normal 22 6 2 2 2 3" xfId="21238"/>
    <cellStyle name="Normal 22 6 2 2 2 3 2" xfId="40916"/>
    <cellStyle name="Normal 22 6 2 2 2 4" xfId="28600"/>
    <cellStyle name="Normal 22 6 2 2 3" xfId="12020"/>
    <cellStyle name="Normal 22 6 2 2 3 2" xfId="31698"/>
    <cellStyle name="Normal 22 6 2 2 4" xfId="18172"/>
    <cellStyle name="Normal 22 6 2 2 4 2" xfId="37850"/>
    <cellStyle name="Normal 22 6 2 2 5" xfId="25534"/>
    <cellStyle name="Normal 22 6 2 3" xfId="7358"/>
    <cellStyle name="Normal 22 6 2 3 2" xfId="13552"/>
    <cellStyle name="Normal 22 6 2 3 2 2" xfId="33230"/>
    <cellStyle name="Normal 22 6 2 3 3" xfId="19704"/>
    <cellStyle name="Normal 22 6 2 3 3 2" xfId="39382"/>
    <cellStyle name="Normal 22 6 2 3 4" xfId="27066"/>
    <cellStyle name="Normal 22 6 2 4" xfId="10486"/>
    <cellStyle name="Normal 22 6 2 4 2" xfId="30164"/>
    <cellStyle name="Normal 22 6 2 5" xfId="16638"/>
    <cellStyle name="Normal 22 6 2 5 2" xfId="36316"/>
    <cellStyle name="Normal 22 6 2 6" xfId="24000"/>
    <cellStyle name="Normal 22 6 3" xfId="5024"/>
    <cellStyle name="Normal 22 6 3 2" xfId="8124"/>
    <cellStyle name="Normal 22 6 3 2 2" xfId="14317"/>
    <cellStyle name="Normal 22 6 3 2 2 2" xfId="33995"/>
    <cellStyle name="Normal 22 6 3 2 3" xfId="20469"/>
    <cellStyle name="Normal 22 6 3 2 3 2" xfId="40147"/>
    <cellStyle name="Normal 22 6 3 2 4" xfId="27831"/>
    <cellStyle name="Normal 22 6 3 3" xfId="11251"/>
    <cellStyle name="Normal 22 6 3 3 2" xfId="30929"/>
    <cellStyle name="Normal 22 6 3 4" xfId="17403"/>
    <cellStyle name="Normal 22 6 3 4 2" xfId="37081"/>
    <cellStyle name="Normal 22 6 3 5" xfId="24765"/>
    <cellStyle name="Normal 22 6 4" xfId="6589"/>
    <cellStyle name="Normal 22 6 4 2" xfId="12783"/>
    <cellStyle name="Normal 22 6 4 2 2" xfId="32461"/>
    <cellStyle name="Normal 22 6 4 3" xfId="18935"/>
    <cellStyle name="Normal 22 6 4 3 2" xfId="38613"/>
    <cellStyle name="Normal 22 6 4 4" xfId="26297"/>
    <cellStyle name="Normal 22 6 5" xfId="9717"/>
    <cellStyle name="Normal 22 6 5 2" xfId="29395"/>
    <cellStyle name="Normal 22 6 6" xfId="15869"/>
    <cellStyle name="Normal 22 6 6 2" xfId="35547"/>
    <cellStyle name="Normal 22 6 7" xfId="23172"/>
    <cellStyle name="Normal 22 7" xfId="2719"/>
    <cellStyle name="Normal 22 8" xfId="4173"/>
    <cellStyle name="Normal 22 8 2" xfId="5798"/>
    <cellStyle name="Normal 22 8 2 2" xfId="8884"/>
    <cellStyle name="Normal 22 8 2 2 2" xfId="15077"/>
    <cellStyle name="Normal 22 8 2 2 2 2" xfId="34755"/>
    <cellStyle name="Normal 22 8 2 2 3" xfId="21229"/>
    <cellStyle name="Normal 22 8 2 2 3 2" xfId="40907"/>
    <cellStyle name="Normal 22 8 2 2 4" xfId="28591"/>
    <cellStyle name="Normal 22 8 2 3" xfId="12011"/>
    <cellStyle name="Normal 22 8 2 3 2" xfId="31689"/>
    <cellStyle name="Normal 22 8 2 4" xfId="18163"/>
    <cellStyle name="Normal 22 8 2 4 2" xfId="37841"/>
    <cellStyle name="Normal 22 8 2 5" xfId="25525"/>
    <cellStyle name="Normal 22 8 3" xfId="7349"/>
    <cellStyle name="Normal 22 8 3 2" xfId="13543"/>
    <cellStyle name="Normal 22 8 3 2 2" xfId="33221"/>
    <cellStyle name="Normal 22 8 3 3" xfId="19695"/>
    <cellStyle name="Normal 22 8 3 3 2" xfId="39373"/>
    <cellStyle name="Normal 22 8 3 4" xfId="27057"/>
    <cellStyle name="Normal 22 8 4" xfId="10477"/>
    <cellStyle name="Normal 22 8 4 2" xfId="30155"/>
    <cellStyle name="Normal 22 8 5" xfId="16629"/>
    <cellStyle name="Normal 22 8 5 2" xfId="36307"/>
    <cellStyle name="Normal 22 8 6" xfId="23991"/>
    <cellStyle name="Normal 22 9" xfId="5015"/>
    <cellStyle name="Normal 22 9 2" xfId="8115"/>
    <cellStyle name="Normal 22 9 2 2" xfId="14308"/>
    <cellStyle name="Normal 22 9 2 2 2" xfId="33986"/>
    <cellStyle name="Normal 22 9 2 3" xfId="20460"/>
    <cellStyle name="Normal 22 9 2 3 2" xfId="40138"/>
    <cellStyle name="Normal 22 9 2 4" xfId="27822"/>
    <cellStyle name="Normal 22 9 3" xfId="11242"/>
    <cellStyle name="Normal 22 9 3 2" xfId="30920"/>
    <cellStyle name="Normal 22 9 4" xfId="17394"/>
    <cellStyle name="Normal 22 9 4 2" xfId="37072"/>
    <cellStyle name="Normal 22 9 5" xfId="24756"/>
    <cellStyle name="Normal 23" xfId="2720"/>
    <cellStyle name="Normal 23 10" xfId="6590"/>
    <cellStyle name="Normal 23 10 2" xfId="12784"/>
    <cellStyle name="Normal 23 10 2 2" xfId="32462"/>
    <cellStyle name="Normal 23 10 3" xfId="18936"/>
    <cellStyle name="Normal 23 10 3 2" xfId="38614"/>
    <cellStyle name="Normal 23 10 4" xfId="26298"/>
    <cellStyle name="Normal 23 11" xfId="9718"/>
    <cellStyle name="Normal 23 11 2" xfId="29396"/>
    <cellStyle name="Normal 23 12" xfId="15870"/>
    <cellStyle name="Normal 23 12 2" xfId="35548"/>
    <cellStyle name="Normal 23 13" xfId="23173"/>
    <cellStyle name="Normal 23 2" xfId="2721"/>
    <cellStyle name="Normal 23 2 10" xfId="15871"/>
    <cellStyle name="Normal 23 2 10 2" xfId="35549"/>
    <cellStyle name="Normal 23 2 11" xfId="41991"/>
    <cellStyle name="Normal 23 2 12" xfId="23174"/>
    <cellStyle name="Normal 23 2 2" xfId="2722"/>
    <cellStyle name="Normal 23 2 2 2" xfId="4185"/>
    <cellStyle name="Normal 23 2 2 2 2" xfId="5810"/>
    <cellStyle name="Normal 23 2 2 2 2 2" xfId="8896"/>
    <cellStyle name="Normal 23 2 2 2 2 2 2" xfId="15089"/>
    <cellStyle name="Normal 23 2 2 2 2 2 2 2" xfId="34767"/>
    <cellStyle name="Normal 23 2 2 2 2 2 3" xfId="21241"/>
    <cellStyle name="Normal 23 2 2 2 2 2 3 2" xfId="40919"/>
    <cellStyle name="Normal 23 2 2 2 2 2 4" xfId="28603"/>
    <cellStyle name="Normal 23 2 2 2 2 3" xfId="12023"/>
    <cellStyle name="Normal 23 2 2 2 2 3 2" xfId="31701"/>
    <cellStyle name="Normal 23 2 2 2 2 4" xfId="18175"/>
    <cellStyle name="Normal 23 2 2 2 2 4 2" xfId="37853"/>
    <cellStyle name="Normal 23 2 2 2 2 5" xfId="25537"/>
    <cellStyle name="Normal 23 2 2 2 3" xfId="7361"/>
    <cellStyle name="Normal 23 2 2 2 3 2" xfId="13555"/>
    <cellStyle name="Normal 23 2 2 2 3 2 2" xfId="33233"/>
    <cellStyle name="Normal 23 2 2 2 3 3" xfId="19707"/>
    <cellStyle name="Normal 23 2 2 2 3 3 2" xfId="39385"/>
    <cellStyle name="Normal 23 2 2 2 3 4" xfId="27069"/>
    <cellStyle name="Normal 23 2 2 2 4" xfId="10489"/>
    <cellStyle name="Normal 23 2 2 2 4 2" xfId="30167"/>
    <cellStyle name="Normal 23 2 2 2 5" xfId="16641"/>
    <cellStyle name="Normal 23 2 2 2 5 2" xfId="36319"/>
    <cellStyle name="Normal 23 2 2 2 6" xfId="24003"/>
    <cellStyle name="Normal 23 2 2 3" xfId="5027"/>
    <cellStyle name="Normal 23 2 2 3 2" xfId="8127"/>
    <cellStyle name="Normal 23 2 2 3 2 2" xfId="14320"/>
    <cellStyle name="Normal 23 2 2 3 2 2 2" xfId="33998"/>
    <cellStyle name="Normal 23 2 2 3 2 3" xfId="20472"/>
    <cellStyle name="Normal 23 2 2 3 2 3 2" xfId="40150"/>
    <cellStyle name="Normal 23 2 2 3 2 4" xfId="27834"/>
    <cellStyle name="Normal 23 2 2 3 3" xfId="11254"/>
    <cellStyle name="Normal 23 2 2 3 3 2" xfId="30932"/>
    <cellStyle name="Normal 23 2 2 3 4" xfId="17406"/>
    <cellStyle name="Normal 23 2 2 3 4 2" xfId="37084"/>
    <cellStyle name="Normal 23 2 2 3 5" xfId="24768"/>
    <cellStyle name="Normal 23 2 2 4" xfId="6592"/>
    <cellStyle name="Normal 23 2 2 4 2" xfId="12786"/>
    <cellStyle name="Normal 23 2 2 4 2 2" xfId="32464"/>
    <cellStyle name="Normal 23 2 2 4 3" xfId="18938"/>
    <cellStyle name="Normal 23 2 2 4 3 2" xfId="38616"/>
    <cellStyle name="Normal 23 2 2 4 4" xfId="26300"/>
    <cellStyle name="Normal 23 2 2 5" xfId="9720"/>
    <cellStyle name="Normal 23 2 2 5 2" xfId="29398"/>
    <cellStyle name="Normal 23 2 2 6" xfId="15872"/>
    <cellStyle name="Normal 23 2 2 6 2" xfId="35550"/>
    <cellStyle name="Normal 23 2 2 7" xfId="23175"/>
    <cellStyle name="Normal 23 2 3" xfId="2723"/>
    <cellStyle name="Normal 23 2 3 2" xfId="4186"/>
    <cellStyle name="Normal 23 2 3 2 2" xfId="5811"/>
    <cellStyle name="Normal 23 2 3 2 2 2" xfId="8897"/>
    <cellStyle name="Normal 23 2 3 2 2 2 2" xfId="15090"/>
    <cellStyle name="Normal 23 2 3 2 2 2 2 2" xfId="34768"/>
    <cellStyle name="Normal 23 2 3 2 2 2 3" xfId="21242"/>
    <cellStyle name="Normal 23 2 3 2 2 2 3 2" xfId="40920"/>
    <cellStyle name="Normal 23 2 3 2 2 2 4" xfId="28604"/>
    <cellStyle name="Normal 23 2 3 2 2 3" xfId="12024"/>
    <cellStyle name="Normal 23 2 3 2 2 3 2" xfId="31702"/>
    <cellStyle name="Normal 23 2 3 2 2 4" xfId="18176"/>
    <cellStyle name="Normal 23 2 3 2 2 4 2" xfId="37854"/>
    <cellStyle name="Normal 23 2 3 2 2 5" xfId="25538"/>
    <cellStyle name="Normal 23 2 3 2 3" xfId="7362"/>
    <cellStyle name="Normal 23 2 3 2 3 2" xfId="13556"/>
    <cellStyle name="Normal 23 2 3 2 3 2 2" xfId="33234"/>
    <cellStyle name="Normal 23 2 3 2 3 3" xfId="19708"/>
    <cellStyle name="Normal 23 2 3 2 3 3 2" xfId="39386"/>
    <cellStyle name="Normal 23 2 3 2 3 4" xfId="27070"/>
    <cellStyle name="Normal 23 2 3 2 4" xfId="10490"/>
    <cellStyle name="Normal 23 2 3 2 4 2" xfId="30168"/>
    <cellStyle name="Normal 23 2 3 2 5" xfId="16642"/>
    <cellStyle name="Normal 23 2 3 2 5 2" xfId="36320"/>
    <cellStyle name="Normal 23 2 3 2 6" xfId="24004"/>
    <cellStyle name="Normal 23 2 3 3" xfId="5028"/>
    <cellStyle name="Normal 23 2 3 3 2" xfId="8128"/>
    <cellStyle name="Normal 23 2 3 3 2 2" xfId="14321"/>
    <cellStyle name="Normal 23 2 3 3 2 2 2" xfId="33999"/>
    <cellStyle name="Normal 23 2 3 3 2 3" xfId="20473"/>
    <cellStyle name="Normal 23 2 3 3 2 3 2" xfId="40151"/>
    <cellStyle name="Normal 23 2 3 3 2 4" xfId="27835"/>
    <cellStyle name="Normal 23 2 3 3 3" xfId="11255"/>
    <cellStyle name="Normal 23 2 3 3 3 2" xfId="30933"/>
    <cellStyle name="Normal 23 2 3 3 4" xfId="17407"/>
    <cellStyle name="Normal 23 2 3 3 4 2" xfId="37085"/>
    <cellStyle name="Normal 23 2 3 3 5" xfId="24769"/>
    <cellStyle name="Normal 23 2 3 4" xfId="6593"/>
    <cellStyle name="Normal 23 2 3 4 2" xfId="12787"/>
    <cellStyle name="Normal 23 2 3 4 2 2" xfId="32465"/>
    <cellStyle name="Normal 23 2 3 4 3" xfId="18939"/>
    <cellStyle name="Normal 23 2 3 4 3 2" xfId="38617"/>
    <cellStyle name="Normal 23 2 3 4 4" xfId="26301"/>
    <cellStyle name="Normal 23 2 3 5" xfId="9721"/>
    <cellStyle name="Normal 23 2 3 5 2" xfId="29399"/>
    <cellStyle name="Normal 23 2 3 6" xfId="15873"/>
    <cellStyle name="Normal 23 2 3 6 2" xfId="35551"/>
    <cellStyle name="Normal 23 2 3 7" xfId="23176"/>
    <cellStyle name="Normal 23 2 4" xfId="2724"/>
    <cellStyle name="Normal 23 2 4 2" xfId="4187"/>
    <cellStyle name="Normal 23 2 4 2 2" xfId="5812"/>
    <cellStyle name="Normal 23 2 4 2 2 2" xfId="8898"/>
    <cellStyle name="Normal 23 2 4 2 2 2 2" xfId="15091"/>
    <cellStyle name="Normal 23 2 4 2 2 2 2 2" xfId="34769"/>
    <cellStyle name="Normal 23 2 4 2 2 2 3" xfId="21243"/>
    <cellStyle name="Normal 23 2 4 2 2 2 3 2" xfId="40921"/>
    <cellStyle name="Normal 23 2 4 2 2 2 4" xfId="28605"/>
    <cellStyle name="Normal 23 2 4 2 2 3" xfId="12025"/>
    <cellStyle name="Normal 23 2 4 2 2 3 2" xfId="31703"/>
    <cellStyle name="Normal 23 2 4 2 2 4" xfId="18177"/>
    <cellStyle name="Normal 23 2 4 2 2 4 2" xfId="37855"/>
    <cellStyle name="Normal 23 2 4 2 2 5" xfId="25539"/>
    <cellStyle name="Normal 23 2 4 2 3" xfId="7363"/>
    <cellStyle name="Normal 23 2 4 2 3 2" xfId="13557"/>
    <cellStyle name="Normal 23 2 4 2 3 2 2" xfId="33235"/>
    <cellStyle name="Normal 23 2 4 2 3 3" xfId="19709"/>
    <cellStyle name="Normal 23 2 4 2 3 3 2" xfId="39387"/>
    <cellStyle name="Normal 23 2 4 2 3 4" xfId="27071"/>
    <cellStyle name="Normal 23 2 4 2 4" xfId="10491"/>
    <cellStyle name="Normal 23 2 4 2 4 2" xfId="30169"/>
    <cellStyle name="Normal 23 2 4 2 5" xfId="16643"/>
    <cellStyle name="Normal 23 2 4 2 5 2" xfId="36321"/>
    <cellStyle name="Normal 23 2 4 2 6" xfId="24005"/>
    <cellStyle name="Normal 23 2 4 3" xfId="5029"/>
    <cellStyle name="Normal 23 2 4 3 2" xfId="8129"/>
    <cellStyle name="Normal 23 2 4 3 2 2" xfId="14322"/>
    <cellStyle name="Normal 23 2 4 3 2 2 2" xfId="34000"/>
    <cellStyle name="Normal 23 2 4 3 2 3" xfId="20474"/>
    <cellStyle name="Normal 23 2 4 3 2 3 2" xfId="40152"/>
    <cellStyle name="Normal 23 2 4 3 2 4" xfId="27836"/>
    <cellStyle name="Normal 23 2 4 3 3" xfId="11256"/>
    <cellStyle name="Normal 23 2 4 3 3 2" xfId="30934"/>
    <cellStyle name="Normal 23 2 4 3 4" xfId="17408"/>
    <cellStyle name="Normal 23 2 4 3 4 2" xfId="37086"/>
    <cellStyle name="Normal 23 2 4 3 5" xfId="24770"/>
    <cellStyle name="Normal 23 2 4 4" xfId="6594"/>
    <cellStyle name="Normal 23 2 4 4 2" xfId="12788"/>
    <cellStyle name="Normal 23 2 4 4 2 2" xfId="32466"/>
    <cellStyle name="Normal 23 2 4 4 3" xfId="18940"/>
    <cellStyle name="Normal 23 2 4 4 3 2" xfId="38618"/>
    <cellStyle name="Normal 23 2 4 4 4" xfId="26302"/>
    <cellStyle name="Normal 23 2 4 5" xfId="9722"/>
    <cellStyle name="Normal 23 2 4 5 2" xfId="29400"/>
    <cellStyle name="Normal 23 2 4 6" xfId="15874"/>
    <cellStyle name="Normal 23 2 4 6 2" xfId="35552"/>
    <cellStyle name="Normal 23 2 4 7" xfId="23177"/>
    <cellStyle name="Normal 23 2 5" xfId="2725"/>
    <cellStyle name="Normal 23 2 5 2" xfId="4188"/>
    <cellStyle name="Normal 23 2 5 2 2" xfId="5813"/>
    <cellStyle name="Normal 23 2 5 2 2 2" xfId="8899"/>
    <cellStyle name="Normal 23 2 5 2 2 2 2" xfId="15092"/>
    <cellStyle name="Normal 23 2 5 2 2 2 2 2" xfId="34770"/>
    <cellStyle name="Normal 23 2 5 2 2 2 3" xfId="21244"/>
    <cellStyle name="Normal 23 2 5 2 2 2 3 2" xfId="40922"/>
    <cellStyle name="Normal 23 2 5 2 2 2 4" xfId="28606"/>
    <cellStyle name="Normal 23 2 5 2 2 3" xfId="12026"/>
    <cellStyle name="Normal 23 2 5 2 2 3 2" xfId="31704"/>
    <cellStyle name="Normal 23 2 5 2 2 4" xfId="18178"/>
    <cellStyle name="Normal 23 2 5 2 2 4 2" xfId="37856"/>
    <cellStyle name="Normal 23 2 5 2 2 5" xfId="25540"/>
    <cellStyle name="Normal 23 2 5 2 3" xfId="7364"/>
    <cellStyle name="Normal 23 2 5 2 3 2" xfId="13558"/>
    <cellStyle name="Normal 23 2 5 2 3 2 2" xfId="33236"/>
    <cellStyle name="Normal 23 2 5 2 3 3" xfId="19710"/>
    <cellStyle name="Normal 23 2 5 2 3 3 2" xfId="39388"/>
    <cellStyle name="Normal 23 2 5 2 3 4" xfId="27072"/>
    <cellStyle name="Normal 23 2 5 2 4" xfId="10492"/>
    <cellStyle name="Normal 23 2 5 2 4 2" xfId="30170"/>
    <cellStyle name="Normal 23 2 5 2 5" xfId="16644"/>
    <cellStyle name="Normal 23 2 5 2 5 2" xfId="36322"/>
    <cellStyle name="Normal 23 2 5 2 6" xfId="24006"/>
    <cellStyle name="Normal 23 2 5 3" xfId="5030"/>
    <cellStyle name="Normal 23 2 5 3 2" xfId="8130"/>
    <cellStyle name="Normal 23 2 5 3 2 2" xfId="14323"/>
    <cellStyle name="Normal 23 2 5 3 2 2 2" xfId="34001"/>
    <cellStyle name="Normal 23 2 5 3 2 3" xfId="20475"/>
    <cellStyle name="Normal 23 2 5 3 2 3 2" xfId="40153"/>
    <cellStyle name="Normal 23 2 5 3 2 4" xfId="27837"/>
    <cellStyle name="Normal 23 2 5 3 3" xfId="11257"/>
    <cellStyle name="Normal 23 2 5 3 3 2" xfId="30935"/>
    <cellStyle name="Normal 23 2 5 3 4" xfId="17409"/>
    <cellStyle name="Normal 23 2 5 3 4 2" xfId="37087"/>
    <cellStyle name="Normal 23 2 5 3 5" xfId="24771"/>
    <cellStyle name="Normal 23 2 5 4" xfId="6595"/>
    <cellStyle name="Normal 23 2 5 4 2" xfId="12789"/>
    <cellStyle name="Normal 23 2 5 4 2 2" xfId="32467"/>
    <cellStyle name="Normal 23 2 5 4 3" xfId="18941"/>
    <cellStyle name="Normal 23 2 5 4 3 2" xfId="38619"/>
    <cellStyle name="Normal 23 2 5 4 4" xfId="26303"/>
    <cellStyle name="Normal 23 2 5 5" xfId="9723"/>
    <cellStyle name="Normal 23 2 5 5 2" xfId="29401"/>
    <cellStyle name="Normal 23 2 5 6" xfId="15875"/>
    <cellStyle name="Normal 23 2 5 6 2" xfId="35553"/>
    <cellStyle name="Normal 23 2 5 7" xfId="23178"/>
    <cellStyle name="Normal 23 2 6" xfId="4184"/>
    <cellStyle name="Normal 23 2 6 2" xfId="5809"/>
    <cellStyle name="Normal 23 2 6 2 2" xfId="8895"/>
    <cellStyle name="Normal 23 2 6 2 2 2" xfId="15088"/>
    <cellStyle name="Normal 23 2 6 2 2 2 2" xfId="34766"/>
    <cellStyle name="Normal 23 2 6 2 2 3" xfId="21240"/>
    <cellStyle name="Normal 23 2 6 2 2 3 2" xfId="40918"/>
    <cellStyle name="Normal 23 2 6 2 2 4" xfId="28602"/>
    <cellStyle name="Normal 23 2 6 2 3" xfId="12022"/>
    <cellStyle name="Normal 23 2 6 2 3 2" xfId="31700"/>
    <cellStyle name="Normal 23 2 6 2 4" xfId="18174"/>
    <cellStyle name="Normal 23 2 6 2 4 2" xfId="37852"/>
    <cellStyle name="Normal 23 2 6 2 5" xfId="25536"/>
    <cellStyle name="Normal 23 2 6 3" xfId="7360"/>
    <cellStyle name="Normal 23 2 6 3 2" xfId="13554"/>
    <cellStyle name="Normal 23 2 6 3 2 2" xfId="33232"/>
    <cellStyle name="Normal 23 2 6 3 3" xfId="19706"/>
    <cellStyle name="Normal 23 2 6 3 3 2" xfId="39384"/>
    <cellStyle name="Normal 23 2 6 3 4" xfId="27068"/>
    <cellStyle name="Normal 23 2 6 4" xfId="10488"/>
    <cellStyle name="Normal 23 2 6 4 2" xfId="30166"/>
    <cellStyle name="Normal 23 2 6 5" xfId="16640"/>
    <cellStyle name="Normal 23 2 6 5 2" xfId="36318"/>
    <cellStyle name="Normal 23 2 6 6" xfId="24002"/>
    <cellStyle name="Normal 23 2 7" xfId="5026"/>
    <cellStyle name="Normal 23 2 7 2" xfId="8126"/>
    <cellStyle name="Normal 23 2 7 2 2" xfId="14319"/>
    <cellStyle name="Normal 23 2 7 2 2 2" xfId="33997"/>
    <cellStyle name="Normal 23 2 7 2 3" xfId="20471"/>
    <cellStyle name="Normal 23 2 7 2 3 2" xfId="40149"/>
    <cellStyle name="Normal 23 2 7 2 4" xfId="27833"/>
    <cellStyle name="Normal 23 2 7 3" xfId="11253"/>
    <cellStyle name="Normal 23 2 7 3 2" xfId="30931"/>
    <cellStyle name="Normal 23 2 7 4" xfId="17405"/>
    <cellStyle name="Normal 23 2 7 4 2" xfId="37083"/>
    <cellStyle name="Normal 23 2 7 5" xfId="24767"/>
    <cellStyle name="Normal 23 2 8" xfId="6591"/>
    <cellStyle name="Normal 23 2 8 2" xfId="12785"/>
    <cellStyle name="Normal 23 2 8 2 2" xfId="32463"/>
    <cellStyle name="Normal 23 2 8 3" xfId="18937"/>
    <cellStyle name="Normal 23 2 8 3 2" xfId="38615"/>
    <cellStyle name="Normal 23 2 8 4" xfId="26299"/>
    <cellStyle name="Normal 23 2 9" xfId="9719"/>
    <cellStyle name="Normal 23 2 9 2" xfId="29397"/>
    <cellStyle name="Normal 23 3" xfId="2726"/>
    <cellStyle name="Normal 23 3 2" xfId="4189"/>
    <cellStyle name="Normal 23 3 2 2" xfId="5814"/>
    <cellStyle name="Normal 23 3 2 2 2" xfId="8900"/>
    <cellStyle name="Normal 23 3 2 2 2 2" xfId="15093"/>
    <cellStyle name="Normal 23 3 2 2 2 2 2" xfId="34771"/>
    <cellStyle name="Normal 23 3 2 2 2 3" xfId="21245"/>
    <cellStyle name="Normal 23 3 2 2 2 3 2" xfId="40923"/>
    <cellStyle name="Normal 23 3 2 2 2 4" xfId="28607"/>
    <cellStyle name="Normal 23 3 2 2 3" xfId="12027"/>
    <cellStyle name="Normal 23 3 2 2 3 2" xfId="31705"/>
    <cellStyle name="Normal 23 3 2 2 4" xfId="18179"/>
    <cellStyle name="Normal 23 3 2 2 4 2" xfId="37857"/>
    <cellStyle name="Normal 23 3 2 2 5" xfId="25541"/>
    <cellStyle name="Normal 23 3 2 3" xfId="7365"/>
    <cellStyle name="Normal 23 3 2 3 2" xfId="13559"/>
    <cellStyle name="Normal 23 3 2 3 2 2" xfId="33237"/>
    <cellStyle name="Normal 23 3 2 3 3" xfId="19711"/>
    <cellStyle name="Normal 23 3 2 3 3 2" xfId="39389"/>
    <cellStyle name="Normal 23 3 2 3 4" xfId="27073"/>
    <cellStyle name="Normal 23 3 2 4" xfId="10493"/>
    <cellStyle name="Normal 23 3 2 4 2" xfId="30171"/>
    <cellStyle name="Normal 23 3 2 5" xfId="16645"/>
    <cellStyle name="Normal 23 3 2 5 2" xfId="36323"/>
    <cellStyle name="Normal 23 3 2 6" xfId="24007"/>
    <cellStyle name="Normal 23 3 3" xfId="5031"/>
    <cellStyle name="Normal 23 3 3 2" xfId="8131"/>
    <cellStyle name="Normal 23 3 3 2 2" xfId="14324"/>
    <cellStyle name="Normal 23 3 3 2 2 2" xfId="34002"/>
    <cellStyle name="Normal 23 3 3 2 3" xfId="20476"/>
    <cellStyle name="Normal 23 3 3 2 3 2" xfId="40154"/>
    <cellStyle name="Normal 23 3 3 2 4" xfId="27838"/>
    <cellStyle name="Normal 23 3 3 3" xfId="11258"/>
    <cellStyle name="Normal 23 3 3 3 2" xfId="30936"/>
    <cellStyle name="Normal 23 3 3 4" xfId="17410"/>
    <cellStyle name="Normal 23 3 3 4 2" xfId="37088"/>
    <cellStyle name="Normal 23 3 3 5" xfId="24772"/>
    <cellStyle name="Normal 23 3 4" xfId="6596"/>
    <cellStyle name="Normal 23 3 4 2" xfId="12790"/>
    <cellStyle name="Normal 23 3 4 2 2" xfId="32468"/>
    <cellStyle name="Normal 23 3 4 3" xfId="18942"/>
    <cellStyle name="Normal 23 3 4 3 2" xfId="38620"/>
    <cellStyle name="Normal 23 3 4 4" xfId="26304"/>
    <cellStyle name="Normal 23 3 5" xfId="9724"/>
    <cellStyle name="Normal 23 3 5 2" xfId="29402"/>
    <cellStyle name="Normal 23 3 6" xfId="15876"/>
    <cellStyle name="Normal 23 3 6 2" xfId="35554"/>
    <cellStyle name="Normal 23 3 7" xfId="23179"/>
    <cellStyle name="Normal 23 4" xfId="2727"/>
    <cellStyle name="Normal 23 4 2" xfId="4190"/>
    <cellStyle name="Normal 23 4 2 2" xfId="5815"/>
    <cellStyle name="Normal 23 4 2 2 2" xfId="8901"/>
    <cellStyle name="Normal 23 4 2 2 2 2" xfId="15094"/>
    <cellStyle name="Normal 23 4 2 2 2 2 2" xfId="34772"/>
    <cellStyle name="Normal 23 4 2 2 2 3" xfId="21246"/>
    <cellStyle name="Normal 23 4 2 2 2 3 2" xfId="40924"/>
    <cellStyle name="Normal 23 4 2 2 2 4" xfId="28608"/>
    <cellStyle name="Normal 23 4 2 2 3" xfId="12028"/>
    <cellStyle name="Normal 23 4 2 2 3 2" xfId="31706"/>
    <cellStyle name="Normal 23 4 2 2 4" xfId="18180"/>
    <cellStyle name="Normal 23 4 2 2 4 2" xfId="37858"/>
    <cellStyle name="Normal 23 4 2 2 5" xfId="25542"/>
    <cellStyle name="Normal 23 4 2 3" xfId="7366"/>
    <cellStyle name="Normal 23 4 2 3 2" xfId="13560"/>
    <cellStyle name="Normal 23 4 2 3 2 2" xfId="33238"/>
    <cellStyle name="Normal 23 4 2 3 3" xfId="19712"/>
    <cellStyle name="Normal 23 4 2 3 3 2" xfId="39390"/>
    <cellStyle name="Normal 23 4 2 3 4" xfId="27074"/>
    <cellStyle name="Normal 23 4 2 4" xfId="10494"/>
    <cellStyle name="Normal 23 4 2 4 2" xfId="30172"/>
    <cellStyle name="Normal 23 4 2 5" xfId="16646"/>
    <cellStyle name="Normal 23 4 2 5 2" xfId="36324"/>
    <cellStyle name="Normal 23 4 2 6" xfId="24008"/>
    <cellStyle name="Normal 23 4 3" xfId="5032"/>
    <cellStyle name="Normal 23 4 3 2" xfId="8132"/>
    <cellStyle name="Normal 23 4 3 2 2" xfId="14325"/>
    <cellStyle name="Normal 23 4 3 2 2 2" xfId="34003"/>
    <cellStyle name="Normal 23 4 3 2 3" xfId="20477"/>
    <cellStyle name="Normal 23 4 3 2 3 2" xfId="40155"/>
    <cellStyle name="Normal 23 4 3 2 4" xfId="27839"/>
    <cellStyle name="Normal 23 4 3 3" xfId="11259"/>
    <cellStyle name="Normal 23 4 3 3 2" xfId="30937"/>
    <cellStyle name="Normal 23 4 3 4" xfId="17411"/>
    <cellStyle name="Normal 23 4 3 4 2" xfId="37089"/>
    <cellStyle name="Normal 23 4 3 5" xfId="24773"/>
    <cellStyle name="Normal 23 4 4" xfId="6597"/>
    <cellStyle name="Normal 23 4 4 2" xfId="12791"/>
    <cellStyle name="Normal 23 4 4 2 2" xfId="32469"/>
    <cellStyle name="Normal 23 4 4 3" xfId="18943"/>
    <cellStyle name="Normal 23 4 4 3 2" xfId="38621"/>
    <cellStyle name="Normal 23 4 4 4" xfId="26305"/>
    <cellStyle name="Normal 23 4 5" xfId="9725"/>
    <cellStyle name="Normal 23 4 5 2" xfId="29403"/>
    <cellStyle name="Normal 23 4 6" xfId="15877"/>
    <cellStyle name="Normal 23 4 6 2" xfId="35555"/>
    <cellStyle name="Normal 23 4 7" xfId="23180"/>
    <cellStyle name="Normal 23 5" xfId="2728"/>
    <cellStyle name="Normal 23 5 2" xfId="4191"/>
    <cellStyle name="Normal 23 5 2 2" xfId="5816"/>
    <cellStyle name="Normal 23 5 2 2 2" xfId="8902"/>
    <cellStyle name="Normal 23 5 2 2 2 2" xfId="15095"/>
    <cellStyle name="Normal 23 5 2 2 2 2 2" xfId="34773"/>
    <cellStyle name="Normal 23 5 2 2 2 3" xfId="21247"/>
    <cellStyle name="Normal 23 5 2 2 2 3 2" xfId="40925"/>
    <cellStyle name="Normal 23 5 2 2 2 4" xfId="28609"/>
    <cellStyle name="Normal 23 5 2 2 3" xfId="12029"/>
    <cellStyle name="Normal 23 5 2 2 3 2" xfId="31707"/>
    <cellStyle name="Normal 23 5 2 2 4" xfId="18181"/>
    <cellStyle name="Normal 23 5 2 2 4 2" xfId="37859"/>
    <cellStyle name="Normal 23 5 2 2 5" xfId="25543"/>
    <cellStyle name="Normal 23 5 2 3" xfId="7367"/>
    <cellStyle name="Normal 23 5 2 3 2" xfId="13561"/>
    <cellStyle name="Normal 23 5 2 3 2 2" xfId="33239"/>
    <cellStyle name="Normal 23 5 2 3 3" xfId="19713"/>
    <cellStyle name="Normal 23 5 2 3 3 2" xfId="39391"/>
    <cellStyle name="Normal 23 5 2 3 4" xfId="27075"/>
    <cellStyle name="Normal 23 5 2 4" xfId="10495"/>
    <cellStyle name="Normal 23 5 2 4 2" xfId="30173"/>
    <cellStyle name="Normal 23 5 2 5" xfId="16647"/>
    <cellStyle name="Normal 23 5 2 5 2" xfId="36325"/>
    <cellStyle name="Normal 23 5 2 6" xfId="24009"/>
    <cellStyle name="Normal 23 5 3" xfId="5033"/>
    <cellStyle name="Normal 23 5 3 2" xfId="8133"/>
    <cellStyle name="Normal 23 5 3 2 2" xfId="14326"/>
    <cellStyle name="Normal 23 5 3 2 2 2" xfId="34004"/>
    <cellStyle name="Normal 23 5 3 2 3" xfId="20478"/>
    <cellStyle name="Normal 23 5 3 2 3 2" xfId="40156"/>
    <cellStyle name="Normal 23 5 3 2 4" xfId="27840"/>
    <cellStyle name="Normal 23 5 3 3" xfId="11260"/>
    <cellStyle name="Normal 23 5 3 3 2" xfId="30938"/>
    <cellStyle name="Normal 23 5 3 4" xfId="17412"/>
    <cellStyle name="Normal 23 5 3 4 2" xfId="37090"/>
    <cellStyle name="Normal 23 5 3 5" xfId="24774"/>
    <cellStyle name="Normal 23 5 4" xfId="6598"/>
    <cellStyle name="Normal 23 5 4 2" xfId="12792"/>
    <cellStyle name="Normal 23 5 4 2 2" xfId="32470"/>
    <cellStyle name="Normal 23 5 4 3" xfId="18944"/>
    <cellStyle name="Normal 23 5 4 3 2" xfId="38622"/>
    <cellStyle name="Normal 23 5 4 4" xfId="26306"/>
    <cellStyle name="Normal 23 5 5" xfId="9726"/>
    <cellStyle name="Normal 23 5 5 2" xfId="29404"/>
    <cellStyle name="Normal 23 5 6" xfId="15878"/>
    <cellStyle name="Normal 23 5 6 2" xfId="35556"/>
    <cellStyle name="Normal 23 5 7" xfId="23181"/>
    <cellStyle name="Normal 23 6" xfId="2729"/>
    <cellStyle name="Normal 23 6 2" xfId="4192"/>
    <cellStyle name="Normal 23 6 2 2" xfId="5817"/>
    <cellStyle name="Normal 23 6 2 2 2" xfId="8903"/>
    <cellStyle name="Normal 23 6 2 2 2 2" xfId="15096"/>
    <cellStyle name="Normal 23 6 2 2 2 2 2" xfId="34774"/>
    <cellStyle name="Normal 23 6 2 2 2 3" xfId="21248"/>
    <cellStyle name="Normal 23 6 2 2 2 3 2" xfId="40926"/>
    <cellStyle name="Normal 23 6 2 2 2 4" xfId="28610"/>
    <cellStyle name="Normal 23 6 2 2 3" xfId="12030"/>
    <cellStyle name="Normal 23 6 2 2 3 2" xfId="31708"/>
    <cellStyle name="Normal 23 6 2 2 4" xfId="18182"/>
    <cellStyle name="Normal 23 6 2 2 4 2" xfId="37860"/>
    <cellStyle name="Normal 23 6 2 2 5" xfId="25544"/>
    <cellStyle name="Normal 23 6 2 3" xfId="7368"/>
    <cellStyle name="Normal 23 6 2 3 2" xfId="13562"/>
    <cellStyle name="Normal 23 6 2 3 2 2" xfId="33240"/>
    <cellStyle name="Normal 23 6 2 3 3" xfId="19714"/>
    <cellStyle name="Normal 23 6 2 3 3 2" xfId="39392"/>
    <cellStyle name="Normal 23 6 2 3 4" xfId="27076"/>
    <cellStyle name="Normal 23 6 2 4" xfId="10496"/>
    <cellStyle name="Normal 23 6 2 4 2" xfId="30174"/>
    <cellStyle name="Normal 23 6 2 5" xfId="16648"/>
    <cellStyle name="Normal 23 6 2 5 2" xfId="36326"/>
    <cellStyle name="Normal 23 6 2 6" xfId="24010"/>
    <cellStyle name="Normal 23 6 3" xfId="5034"/>
    <cellStyle name="Normal 23 6 3 2" xfId="8134"/>
    <cellStyle name="Normal 23 6 3 2 2" xfId="14327"/>
    <cellStyle name="Normal 23 6 3 2 2 2" xfId="34005"/>
    <cellStyle name="Normal 23 6 3 2 3" xfId="20479"/>
    <cellStyle name="Normal 23 6 3 2 3 2" xfId="40157"/>
    <cellStyle name="Normal 23 6 3 2 4" xfId="27841"/>
    <cellStyle name="Normal 23 6 3 3" xfId="11261"/>
    <cellStyle name="Normal 23 6 3 3 2" xfId="30939"/>
    <cellStyle name="Normal 23 6 3 4" xfId="17413"/>
    <cellStyle name="Normal 23 6 3 4 2" xfId="37091"/>
    <cellStyle name="Normal 23 6 3 5" xfId="24775"/>
    <cellStyle name="Normal 23 6 4" xfId="6599"/>
    <cellStyle name="Normal 23 6 4 2" xfId="12793"/>
    <cellStyle name="Normal 23 6 4 2 2" xfId="32471"/>
    <cellStyle name="Normal 23 6 4 3" xfId="18945"/>
    <cellStyle name="Normal 23 6 4 3 2" xfId="38623"/>
    <cellStyle name="Normal 23 6 4 4" xfId="26307"/>
    <cellStyle name="Normal 23 6 5" xfId="9727"/>
    <cellStyle name="Normal 23 6 5 2" xfId="29405"/>
    <cellStyle name="Normal 23 6 6" xfId="15879"/>
    <cellStyle name="Normal 23 6 6 2" xfId="35557"/>
    <cellStyle name="Normal 23 6 7" xfId="23182"/>
    <cellStyle name="Normal 23 7" xfId="2730"/>
    <cellStyle name="Normal 23 8" xfId="4183"/>
    <cellStyle name="Normal 23 8 2" xfId="5808"/>
    <cellStyle name="Normal 23 8 2 2" xfId="8894"/>
    <cellStyle name="Normal 23 8 2 2 2" xfId="15087"/>
    <cellStyle name="Normal 23 8 2 2 2 2" xfId="34765"/>
    <cellStyle name="Normal 23 8 2 2 3" xfId="21239"/>
    <cellStyle name="Normal 23 8 2 2 3 2" xfId="40917"/>
    <cellStyle name="Normal 23 8 2 2 4" xfId="28601"/>
    <cellStyle name="Normal 23 8 2 3" xfId="12021"/>
    <cellStyle name="Normal 23 8 2 3 2" xfId="31699"/>
    <cellStyle name="Normal 23 8 2 4" xfId="18173"/>
    <cellStyle name="Normal 23 8 2 4 2" xfId="37851"/>
    <cellStyle name="Normal 23 8 2 5" xfId="25535"/>
    <cellStyle name="Normal 23 8 3" xfId="7359"/>
    <cellStyle name="Normal 23 8 3 2" xfId="13553"/>
    <cellStyle name="Normal 23 8 3 2 2" xfId="33231"/>
    <cellStyle name="Normal 23 8 3 3" xfId="19705"/>
    <cellStyle name="Normal 23 8 3 3 2" xfId="39383"/>
    <cellStyle name="Normal 23 8 3 4" xfId="27067"/>
    <cellStyle name="Normal 23 8 4" xfId="10487"/>
    <cellStyle name="Normal 23 8 4 2" xfId="30165"/>
    <cellStyle name="Normal 23 8 5" xfId="16639"/>
    <cellStyle name="Normal 23 8 5 2" xfId="36317"/>
    <cellStyle name="Normal 23 8 6" xfId="24001"/>
    <cellStyle name="Normal 23 9" xfId="5025"/>
    <cellStyle name="Normal 23 9 2" xfId="8125"/>
    <cellStyle name="Normal 23 9 2 2" xfId="14318"/>
    <cellStyle name="Normal 23 9 2 2 2" xfId="33996"/>
    <cellStyle name="Normal 23 9 2 3" xfId="20470"/>
    <cellStyle name="Normal 23 9 2 3 2" xfId="40148"/>
    <cellStyle name="Normal 23 9 2 4" xfId="27832"/>
    <cellStyle name="Normal 23 9 3" xfId="11252"/>
    <cellStyle name="Normal 23 9 3 2" xfId="30930"/>
    <cellStyle name="Normal 23 9 4" xfId="17404"/>
    <cellStyle name="Normal 23 9 4 2" xfId="37082"/>
    <cellStyle name="Normal 23 9 5" xfId="24766"/>
    <cellStyle name="Normal 24" xfId="2731"/>
    <cellStyle name="Normal 24 10" xfId="6600"/>
    <cellStyle name="Normal 24 10 2" xfId="12794"/>
    <cellStyle name="Normal 24 10 2 2" xfId="32472"/>
    <cellStyle name="Normal 24 10 3" xfId="18946"/>
    <cellStyle name="Normal 24 10 3 2" xfId="38624"/>
    <cellStyle name="Normal 24 10 4" xfId="26308"/>
    <cellStyle name="Normal 24 11" xfId="9728"/>
    <cellStyle name="Normal 24 11 2" xfId="29406"/>
    <cellStyle name="Normal 24 12" xfId="15880"/>
    <cellStyle name="Normal 24 12 2" xfId="35558"/>
    <cellStyle name="Normal 24 13" xfId="23183"/>
    <cellStyle name="Normal 24 2" xfId="2732"/>
    <cellStyle name="Normal 24 2 10" xfId="15881"/>
    <cellStyle name="Normal 24 2 10 2" xfId="35559"/>
    <cellStyle name="Normal 24 2 11" xfId="23184"/>
    <cellStyle name="Normal 24 2 2" xfId="2733"/>
    <cellStyle name="Normal 24 2 2 2" xfId="4195"/>
    <cellStyle name="Normal 24 2 2 2 2" xfId="5820"/>
    <cellStyle name="Normal 24 2 2 2 2 2" xfId="8906"/>
    <cellStyle name="Normal 24 2 2 2 2 2 2" xfId="15099"/>
    <cellStyle name="Normal 24 2 2 2 2 2 2 2" xfId="34777"/>
    <cellStyle name="Normal 24 2 2 2 2 2 3" xfId="21251"/>
    <cellStyle name="Normal 24 2 2 2 2 2 3 2" xfId="40929"/>
    <cellStyle name="Normal 24 2 2 2 2 2 4" xfId="28613"/>
    <cellStyle name="Normal 24 2 2 2 2 3" xfId="12033"/>
    <cellStyle name="Normal 24 2 2 2 2 3 2" xfId="31711"/>
    <cellStyle name="Normal 24 2 2 2 2 4" xfId="18185"/>
    <cellStyle name="Normal 24 2 2 2 2 4 2" xfId="37863"/>
    <cellStyle name="Normal 24 2 2 2 2 5" xfId="25547"/>
    <cellStyle name="Normal 24 2 2 2 3" xfId="7371"/>
    <cellStyle name="Normal 24 2 2 2 3 2" xfId="13565"/>
    <cellStyle name="Normal 24 2 2 2 3 2 2" xfId="33243"/>
    <cellStyle name="Normal 24 2 2 2 3 3" xfId="19717"/>
    <cellStyle name="Normal 24 2 2 2 3 3 2" xfId="39395"/>
    <cellStyle name="Normal 24 2 2 2 3 4" xfId="27079"/>
    <cellStyle name="Normal 24 2 2 2 4" xfId="10499"/>
    <cellStyle name="Normal 24 2 2 2 4 2" xfId="30177"/>
    <cellStyle name="Normal 24 2 2 2 5" xfId="16651"/>
    <cellStyle name="Normal 24 2 2 2 5 2" xfId="36329"/>
    <cellStyle name="Normal 24 2 2 2 6" xfId="24013"/>
    <cellStyle name="Normal 24 2 2 3" xfId="5037"/>
    <cellStyle name="Normal 24 2 2 3 2" xfId="8137"/>
    <cellStyle name="Normal 24 2 2 3 2 2" xfId="14330"/>
    <cellStyle name="Normal 24 2 2 3 2 2 2" xfId="34008"/>
    <cellStyle name="Normal 24 2 2 3 2 3" xfId="20482"/>
    <cellStyle name="Normal 24 2 2 3 2 3 2" xfId="40160"/>
    <cellStyle name="Normal 24 2 2 3 2 4" xfId="27844"/>
    <cellStyle name="Normal 24 2 2 3 3" xfId="11264"/>
    <cellStyle name="Normal 24 2 2 3 3 2" xfId="30942"/>
    <cellStyle name="Normal 24 2 2 3 4" xfId="17416"/>
    <cellStyle name="Normal 24 2 2 3 4 2" xfId="37094"/>
    <cellStyle name="Normal 24 2 2 3 5" xfId="24778"/>
    <cellStyle name="Normal 24 2 2 4" xfId="6602"/>
    <cellStyle name="Normal 24 2 2 4 2" xfId="12796"/>
    <cellStyle name="Normal 24 2 2 4 2 2" xfId="32474"/>
    <cellStyle name="Normal 24 2 2 4 3" xfId="18948"/>
    <cellStyle name="Normal 24 2 2 4 3 2" xfId="38626"/>
    <cellStyle name="Normal 24 2 2 4 4" xfId="26310"/>
    <cellStyle name="Normal 24 2 2 5" xfId="9730"/>
    <cellStyle name="Normal 24 2 2 5 2" xfId="29408"/>
    <cellStyle name="Normal 24 2 2 6" xfId="15882"/>
    <cellStyle name="Normal 24 2 2 6 2" xfId="35560"/>
    <cellStyle name="Normal 24 2 2 7" xfId="23185"/>
    <cellStyle name="Normal 24 2 3" xfId="2734"/>
    <cellStyle name="Normal 24 2 3 2" xfId="4196"/>
    <cellStyle name="Normal 24 2 3 2 2" xfId="5821"/>
    <cellStyle name="Normal 24 2 3 2 2 2" xfId="8907"/>
    <cellStyle name="Normal 24 2 3 2 2 2 2" xfId="15100"/>
    <cellStyle name="Normal 24 2 3 2 2 2 2 2" xfId="34778"/>
    <cellStyle name="Normal 24 2 3 2 2 2 3" xfId="21252"/>
    <cellStyle name="Normal 24 2 3 2 2 2 3 2" xfId="40930"/>
    <cellStyle name="Normal 24 2 3 2 2 2 4" xfId="28614"/>
    <cellStyle name="Normal 24 2 3 2 2 3" xfId="12034"/>
    <cellStyle name="Normal 24 2 3 2 2 3 2" xfId="31712"/>
    <cellStyle name="Normal 24 2 3 2 2 4" xfId="18186"/>
    <cellStyle name="Normal 24 2 3 2 2 4 2" xfId="37864"/>
    <cellStyle name="Normal 24 2 3 2 2 5" xfId="25548"/>
    <cellStyle name="Normal 24 2 3 2 3" xfId="7372"/>
    <cellStyle name="Normal 24 2 3 2 3 2" xfId="13566"/>
    <cellStyle name="Normal 24 2 3 2 3 2 2" xfId="33244"/>
    <cellStyle name="Normal 24 2 3 2 3 3" xfId="19718"/>
    <cellStyle name="Normal 24 2 3 2 3 3 2" xfId="39396"/>
    <cellStyle name="Normal 24 2 3 2 3 4" xfId="27080"/>
    <cellStyle name="Normal 24 2 3 2 4" xfId="10500"/>
    <cellStyle name="Normal 24 2 3 2 4 2" xfId="30178"/>
    <cellStyle name="Normal 24 2 3 2 5" xfId="16652"/>
    <cellStyle name="Normal 24 2 3 2 5 2" xfId="36330"/>
    <cellStyle name="Normal 24 2 3 2 6" xfId="24014"/>
    <cellStyle name="Normal 24 2 3 3" xfId="5038"/>
    <cellStyle name="Normal 24 2 3 3 2" xfId="8138"/>
    <cellStyle name="Normal 24 2 3 3 2 2" xfId="14331"/>
    <cellStyle name="Normal 24 2 3 3 2 2 2" xfId="34009"/>
    <cellStyle name="Normal 24 2 3 3 2 3" xfId="20483"/>
    <cellStyle name="Normal 24 2 3 3 2 3 2" xfId="40161"/>
    <cellStyle name="Normal 24 2 3 3 2 4" xfId="27845"/>
    <cellStyle name="Normal 24 2 3 3 3" xfId="11265"/>
    <cellStyle name="Normal 24 2 3 3 3 2" xfId="30943"/>
    <cellStyle name="Normal 24 2 3 3 4" xfId="17417"/>
    <cellStyle name="Normal 24 2 3 3 4 2" xfId="37095"/>
    <cellStyle name="Normal 24 2 3 3 5" xfId="24779"/>
    <cellStyle name="Normal 24 2 3 4" xfId="6603"/>
    <cellStyle name="Normal 24 2 3 4 2" xfId="12797"/>
    <cellStyle name="Normal 24 2 3 4 2 2" xfId="32475"/>
    <cellStyle name="Normal 24 2 3 4 3" xfId="18949"/>
    <cellStyle name="Normal 24 2 3 4 3 2" xfId="38627"/>
    <cellStyle name="Normal 24 2 3 4 4" xfId="26311"/>
    <cellStyle name="Normal 24 2 3 5" xfId="9731"/>
    <cellStyle name="Normal 24 2 3 5 2" xfId="29409"/>
    <cellStyle name="Normal 24 2 3 6" xfId="15883"/>
    <cellStyle name="Normal 24 2 3 6 2" xfId="35561"/>
    <cellStyle name="Normal 24 2 3 7" xfId="23186"/>
    <cellStyle name="Normal 24 2 4" xfId="2735"/>
    <cellStyle name="Normal 24 2 4 2" xfId="4197"/>
    <cellStyle name="Normal 24 2 4 2 2" xfId="5822"/>
    <cellStyle name="Normal 24 2 4 2 2 2" xfId="8908"/>
    <cellStyle name="Normal 24 2 4 2 2 2 2" xfId="15101"/>
    <cellStyle name="Normal 24 2 4 2 2 2 2 2" xfId="34779"/>
    <cellStyle name="Normal 24 2 4 2 2 2 3" xfId="21253"/>
    <cellStyle name="Normal 24 2 4 2 2 2 3 2" xfId="40931"/>
    <cellStyle name="Normal 24 2 4 2 2 2 4" xfId="28615"/>
    <cellStyle name="Normal 24 2 4 2 2 3" xfId="12035"/>
    <cellStyle name="Normal 24 2 4 2 2 3 2" xfId="31713"/>
    <cellStyle name="Normal 24 2 4 2 2 4" xfId="18187"/>
    <cellStyle name="Normal 24 2 4 2 2 4 2" xfId="37865"/>
    <cellStyle name="Normal 24 2 4 2 2 5" xfId="25549"/>
    <cellStyle name="Normal 24 2 4 2 3" xfId="7373"/>
    <cellStyle name="Normal 24 2 4 2 3 2" xfId="13567"/>
    <cellStyle name="Normal 24 2 4 2 3 2 2" xfId="33245"/>
    <cellStyle name="Normal 24 2 4 2 3 3" xfId="19719"/>
    <cellStyle name="Normal 24 2 4 2 3 3 2" xfId="39397"/>
    <cellStyle name="Normal 24 2 4 2 3 4" xfId="27081"/>
    <cellStyle name="Normal 24 2 4 2 4" xfId="10501"/>
    <cellStyle name="Normal 24 2 4 2 4 2" xfId="30179"/>
    <cellStyle name="Normal 24 2 4 2 5" xfId="16653"/>
    <cellStyle name="Normal 24 2 4 2 5 2" xfId="36331"/>
    <cellStyle name="Normal 24 2 4 2 6" xfId="24015"/>
    <cellStyle name="Normal 24 2 4 3" xfId="5039"/>
    <cellStyle name="Normal 24 2 4 3 2" xfId="8139"/>
    <cellStyle name="Normal 24 2 4 3 2 2" xfId="14332"/>
    <cellStyle name="Normal 24 2 4 3 2 2 2" xfId="34010"/>
    <cellStyle name="Normal 24 2 4 3 2 3" xfId="20484"/>
    <cellStyle name="Normal 24 2 4 3 2 3 2" xfId="40162"/>
    <cellStyle name="Normal 24 2 4 3 2 4" xfId="27846"/>
    <cellStyle name="Normal 24 2 4 3 3" xfId="11266"/>
    <cellStyle name="Normal 24 2 4 3 3 2" xfId="30944"/>
    <cellStyle name="Normal 24 2 4 3 4" xfId="17418"/>
    <cellStyle name="Normal 24 2 4 3 4 2" xfId="37096"/>
    <cellStyle name="Normal 24 2 4 3 5" xfId="24780"/>
    <cellStyle name="Normal 24 2 4 4" xfId="6604"/>
    <cellStyle name="Normal 24 2 4 4 2" xfId="12798"/>
    <cellStyle name="Normal 24 2 4 4 2 2" xfId="32476"/>
    <cellStyle name="Normal 24 2 4 4 3" xfId="18950"/>
    <cellStyle name="Normal 24 2 4 4 3 2" xfId="38628"/>
    <cellStyle name="Normal 24 2 4 4 4" xfId="26312"/>
    <cellStyle name="Normal 24 2 4 5" xfId="9732"/>
    <cellStyle name="Normal 24 2 4 5 2" xfId="29410"/>
    <cellStyle name="Normal 24 2 4 6" xfId="15884"/>
    <cellStyle name="Normal 24 2 4 6 2" xfId="35562"/>
    <cellStyle name="Normal 24 2 4 7" xfId="23187"/>
    <cellStyle name="Normal 24 2 5" xfId="2736"/>
    <cellStyle name="Normal 24 2 5 2" xfId="4198"/>
    <cellStyle name="Normal 24 2 5 2 2" xfId="5823"/>
    <cellStyle name="Normal 24 2 5 2 2 2" xfId="8909"/>
    <cellStyle name="Normal 24 2 5 2 2 2 2" xfId="15102"/>
    <cellStyle name="Normal 24 2 5 2 2 2 2 2" xfId="34780"/>
    <cellStyle name="Normal 24 2 5 2 2 2 3" xfId="21254"/>
    <cellStyle name="Normal 24 2 5 2 2 2 3 2" xfId="40932"/>
    <cellStyle name="Normal 24 2 5 2 2 2 4" xfId="28616"/>
    <cellStyle name="Normal 24 2 5 2 2 3" xfId="12036"/>
    <cellStyle name="Normal 24 2 5 2 2 3 2" xfId="31714"/>
    <cellStyle name="Normal 24 2 5 2 2 4" xfId="18188"/>
    <cellStyle name="Normal 24 2 5 2 2 4 2" xfId="37866"/>
    <cellStyle name="Normal 24 2 5 2 2 5" xfId="25550"/>
    <cellStyle name="Normal 24 2 5 2 3" xfId="7374"/>
    <cellStyle name="Normal 24 2 5 2 3 2" xfId="13568"/>
    <cellStyle name="Normal 24 2 5 2 3 2 2" xfId="33246"/>
    <cellStyle name="Normal 24 2 5 2 3 3" xfId="19720"/>
    <cellStyle name="Normal 24 2 5 2 3 3 2" xfId="39398"/>
    <cellStyle name="Normal 24 2 5 2 3 4" xfId="27082"/>
    <cellStyle name="Normal 24 2 5 2 4" xfId="10502"/>
    <cellStyle name="Normal 24 2 5 2 4 2" xfId="30180"/>
    <cellStyle name="Normal 24 2 5 2 5" xfId="16654"/>
    <cellStyle name="Normal 24 2 5 2 5 2" xfId="36332"/>
    <cellStyle name="Normal 24 2 5 2 6" xfId="24016"/>
    <cellStyle name="Normal 24 2 5 3" xfId="5040"/>
    <cellStyle name="Normal 24 2 5 3 2" xfId="8140"/>
    <cellStyle name="Normal 24 2 5 3 2 2" xfId="14333"/>
    <cellStyle name="Normal 24 2 5 3 2 2 2" xfId="34011"/>
    <cellStyle name="Normal 24 2 5 3 2 3" xfId="20485"/>
    <cellStyle name="Normal 24 2 5 3 2 3 2" xfId="40163"/>
    <cellStyle name="Normal 24 2 5 3 2 4" xfId="27847"/>
    <cellStyle name="Normal 24 2 5 3 3" xfId="11267"/>
    <cellStyle name="Normal 24 2 5 3 3 2" xfId="30945"/>
    <cellStyle name="Normal 24 2 5 3 4" xfId="17419"/>
    <cellStyle name="Normal 24 2 5 3 4 2" xfId="37097"/>
    <cellStyle name="Normal 24 2 5 3 5" xfId="24781"/>
    <cellStyle name="Normal 24 2 5 4" xfId="6605"/>
    <cellStyle name="Normal 24 2 5 4 2" xfId="12799"/>
    <cellStyle name="Normal 24 2 5 4 2 2" xfId="32477"/>
    <cellStyle name="Normal 24 2 5 4 3" xfId="18951"/>
    <cellStyle name="Normal 24 2 5 4 3 2" xfId="38629"/>
    <cellStyle name="Normal 24 2 5 4 4" xfId="26313"/>
    <cellStyle name="Normal 24 2 5 5" xfId="9733"/>
    <cellStyle name="Normal 24 2 5 5 2" xfId="29411"/>
    <cellStyle name="Normal 24 2 5 6" xfId="15885"/>
    <cellStyle name="Normal 24 2 5 6 2" xfId="35563"/>
    <cellStyle name="Normal 24 2 5 7" xfId="23188"/>
    <cellStyle name="Normal 24 2 6" xfId="4194"/>
    <cellStyle name="Normal 24 2 6 2" xfId="5819"/>
    <cellStyle name="Normal 24 2 6 2 2" xfId="8905"/>
    <cellStyle name="Normal 24 2 6 2 2 2" xfId="15098"/>
    <cellStyle name="Normal 24 2 6 2 2 2 2" xfId="34776"/>
    <cellStyle name="Normal 24 2 6 2 2 3" xfId="21250"/>
    <cellStyle name="Normal 24 2 6 2 2 3 2" xfId="40928"/>
    <cellStyle name="Normal 24 2 6 2 2 4" xfId="28612"/>
    <cellStyle name="Normal 24 2 6 2 3" xfId="12032"/>
    <cellStyle name="Normal 24 2 6 2 3 2" xfId="31710"/>
    <cellStyle name="Normal 24 2 6 2 4" xfId="18184"/>
    <cellStyle name="Normal 24 2 6 2 4 2" xfId="37862"/>
    <cellStyle name="Normal 24 2 6 2 5" xfId="25546"/>
    <cellStyle name="Normal 24 2 6 3" xfId="7370"/>
    <cellStyle name="Normal 24 2 6 3 2" xfId="13564"/>
    <cellStyle name="Normal 24 2 6 3 2 2" xfId="33242"/>
    <cellStyle name="Normal 24 2 6 3 3" xfId="19716"/>
    <cellStyle name="Normal 24 2 6 3 3 2" xfId="39394"/>
    <cellStyle name="Normal 24 2 6 3 4" xfId="27078"/>
    <cellStyle name="Normal 24 2 6 4" xfId="10498"/>
    <cellStyle name="Normal 24 2 6 4 2" xfId="30176"/>
    <cellStyle name="Normal 24 2 6 5" xfId="16650"/>
    <cellStyle name="Normal 24 2 6 5 2" xfId="36328"/>
    <cellStyle name="Normal 24 2 6 6" xfId="24012"/>
    <cellStyle name="Normal 24 2 7" xfId="5036"/>
    <cellStyle name="Normal 24 2 7 2" xfId="8136"/>
    <cellStyle name="Normal 24 2 7 2 2" xfId="14329"/>
    <cellStyle name="Normal 24 2 7 2 2 2" xfId="34007"/>
    <cellStyle name="Normal 24 2 7 2 3" xfId="20481"/>
    <cellStyle name="Normal 24 2 7 2 3 2" xfId="40159"/>
    <cellStyle name="Normal 24 2 7 2 4" xfId="27843"/>
    <cellStyle name="Normal 24 2 7 3" xfId="11263"/>
    <cellStyle name="Normal 24 2 7 3 2" xfId="30941"/>
    <cellStyle name="Normal 24 2 7 4" xfId="17415"/>
    <cellStyle name="Normal 24 2 7 4 2" xfId="37093"/>
    <cellStyle name="Normal 24 2 7 5" xfId="24777"/>
    <cellStyle name="Normal 24 2 8" xfId="6601"/>
    <cellStyle name="Normal 24 2 8 2" xfId="12795"/>
    <cellStyle name="Normal 24 2 8 2 2" xfId="32473"/>
    <cellStyle name="Normal 24 2 8 3" xfId="18947"/>
    <cellStyle name="Normal 24 2 8 3 2" xfId="38625"/>
    <cellStyle name="Normal 24 2 8 4" xfId="26309"/>
    <cellStyle name="Normal 24 2 9" xfId="9729"/>
    <cellStyle name="Normal 24 2 9 2" xfId="29407"/>
    <cellStyle name="Normal 24 3" xfId="2737"/>
    <cellStyle name="Normal 24 3 2" xfId="4199"/>
    <cellStyle name="Normal 24 3 2 2" xfId="5824"/>
    <cellStyle name="Normal 24 3 2 2 2" xfId="8910"/>
    <cellStyle name="Normal 24 3 2 2 2 2" xfId="15103"/>
    <cellStyle name="Normal 24 3 2 2 2 2 2" xfId="34781"/>
    <cellStyle name="Normal 24 3 2 2 2 3" xfId="21255"/>
    <cellStyle name="Normal 24 3 2 2 2 3 2" xfId="40933"/>
    <cellStyle name="Normal 24 3 2 2 2 4" xfId="28617"/>
    <cellStyle name="Normal 24 3 2 2 3" xfId="12037"/>
    <cellStyle name="Normal 24 3 2 2 3 2" xfId="31715"/>
    <cellStyle name="Normal 24 3 2 2 4" xfId="18189"/>
    <cellStyle name="Normal 24 3 2 2 4 2" xfId="37867"/>
    <cellStyle name="Normal 24 3 2 2 5" xfId="25551"/>
    <cellStyle name="Normal 24 3 2 3" xfId="7375"/>
    <cellStyle name="Normal 24 3 2 3 2" xfId="13569"/>
    <cellStyle name="Normal 24 3 2 3 2 2" xfId="33247"/>
    <cellStyle name="Normal 24 3 2 3 3" xfId="19721"/>
    <cellStyle name="Normal 24 3 2 3 3 2" xfId="39399"/>
    <cellStyle name="Normal 24 3 2 3 4" xfId="27083"/>
    <cellStyle name="Normal 24 3 2 4" xfId="10503"/>
    <cellStyle name="Normal 24 3 2 4 2" xfId="30181"/>
    <cellStyle name="Normal 24 3 2 5" xfId="16655"/>
    <cellStyle name="Normal 24 3 2 5 2" xfId="36333"/>
    <cellStyle name="Normal 24 3 2 6" xfId="24017"/>
    <cellStyle name="Normal 24 3 3" xfId="5041"/>
    <cellStyle name="Normal 24 3 3 2" xfId="8141"/>
    <cellStyle name="Normal 24 3 3 2 2" xfId="14334"/>
    <cellStyle name="Normal 24 3 3 2 2 2" xfId="34012"/>
    <cellStyle name="Normal 24 3 3 2 3" xfId="20486"/>
    <cellStyle name="Normal 24 3 3 2 3 2" xfId="40164"/>
    <cellStyle name="Normal 24 3 3 2 4" xfId="27848"/>
    <cellStyle name="Normal 24 3 3 3" xfId="11268"/>
    <cellStyle name="Normal 24 3 3 3 2" xfId="30946"/>
    <cellStyle name="Normal 24 3 3 4" xfId="17420"/>
    <cellStyle name="Normal 24 3 3 4 2" xfId="37098"/>
    <cellStyle name="Normal 24 3 3 5" xfId="24782"/>
    <cellStyle name="Normal 24 3 4" xfId="6606"/>
    <cellStyle name="Normal 24 3 4 2" xfId="12800"/>
    <cellStyle name="Normal 24 3 4 2 2" xfId="32478"/>
    <cellStyle name="Normal 24 3 4 3" xfId="18952"/>
    <cellStyle name="Normal 24 3 4 3 2" xfId="38630"/>
    <cellStyle name="Normal 24 3 4 4" xfId="26314"/>
    <cellStyle name="Normal 24 3 5" xfId="9734"/>
    <cellStyle name="Normal 24 3 5 2" xfId="29412"/>
    <cellStyle name="Normal 24 3 6" xfId="15886"/>
    <cellStyle name="Normal 24 3 6 2" xfId="35564"/>
    <cellStyle name="Normal 24 3 7" xfId="23189"/>
    <cellStyle name="Normal 24 4" xfId="2738"/>
    <cellStyle name="Normal 24 4 2" xfId="4200"/>
    <cellStyle name="Normal 24 4 2 2" xfId="5825"/>
    <cellStyle name="Normal 24 4 2 2 2" xfId="8911"/>
    <cellStyle name="Normal 24 4 2 2 2 2" xfId="15104"/>
    <cellStyle name="Normal 24 4 2 2 2 2 2" xfId="34782"/>
    <cellStyle name="Normal 24 4 2 2 2 3" xfId="21256"/>
    <cellStyle name="Normal 24 4 2 2 2 3 2" xfId="40934"/>
    <cellStyle name="Normal 24 4 2 2 2 4" xfId="28618"/>
    <cellStyle name="Normal 24 4 2 2 3" xfId="12038"/>
    <cellStyle name="Normal 24 4 2 2 3 2" xfId="31716"/>
    <cellStyle name="Normal 24 4 2 2 4" xfId="18190"/>
    <cellStyle name="Normal 24 4 2 2 4 2" xfId="37868"/>
    <cellStyle name="Normal 24 4 2 2 5" xfId="25552"/>
    <cellStyle name="Normal 24 4 2 3" xfId="7376"/>
    <cellStyle name="Normal 24 4 2 3 2" xfId="13570"/>
    <cellStyle name="Normal 24 4 2 3 2 2" xfId="33248"/>
    <cellStyle name="Normal 24 4 2 3 3" xfId="19722"/>
    <cellStyle name="Normal 24 4 2 3 3 2" xfId="39400"/>
    <cellStyle name="Normal 24 4 2 3 4" xfId="27084"/>
    <cellStyle name="Normal 24 4 2 4" xfId="10504"/>
    <cellStyle name="Normal 24 4 2 4 2" xfId="30182"/>
    <cellStyle name="Normal 24 4 2 5" xfId="16656"/>
    <cellStyle name="Normal 24 4 2 5 2" xfId="36334"/>
    <cellStyle name="Normal 24 4 2 6" xfId="24018"/>
    <cellStyle name="Normal 24 4 3" xfId="5042"/>
    <cellStyle name="Normal 24 4 3 2" xfId="8142"/>
    <cellStyle name="Normal 24 4 3 2 2" xfId="14335"/>
    <cellStyle name="Normal 24 4 3 2 2 2" xfId="34013"/>
    <cellStyle name="Normal 24 4 3 2 3" xfId="20487"/>
    <cellStyle name="Normal 24 4 3 2 3 2" xfId="40165"/>
    <cellStyle name="Normal 24 4 3 2 4" xfId="27849"/>
    <cellStyle name="Normal 24 4 3 3" xfId="11269"/>
    <cellStyle name="Normal 24 4 3 3 2" xfId="30947"/>
    <cellStyle name="Normal 24 4 3 4" xfId="17421"/>
    <cellStyle name="Normal 24 4 3 4 2" xfId="37099"/>
    <cellStyle name="Normal 24 4 3 5" xfId="24783"/>
    <cellStyle name="Normal 24 4 4" xfId="6607"/>
    <cellStyle name="Normal 24 4 4 2" xfId="12801"/>
    <cellStyle name="Normal 24 4 4 2 2" xfId="32479"/>
    <cellStyle name="Normal 24 4 4 3" xfId="18953"/>
    <cellStyle name="Normal 24 4 4 3 2" xfId="38631"/>
    <cellStyle name="Normal 24 4 4 4" xfId="26315"/>
    <cellStyle name="Normal 24 4 5" xfId="9735"/>
    <cellStyle name="Normal 24 4 5 2" xfId="29413"/>
    <cellStyle name="Normal 24 4 6" xfId="15887"/>
    <cellStyle name="Normal 24 4 6 2" xfId="35565"/>
    <cellStyle name="Normal 24 4 7" xfId="23190"/>
    <cellStyle name="Normal 24 5" xfId="2739"/>
    <cellStyle name="Normal 24 5 2" xfId="4201"/>
    <cellStyle name="Normal 24 5 2 2" xfId="5826"/>
    <cellStyle name="Normal 24 5 2 2 2" xfId="8912"/>
    <cellStyle name="Normal 24 5 2 2 2 2" xfId="15105"/>
    <cellStyle name="Normal 24 5 2 2 2 2 2" xfId="34783"/>
    <cellStyle name="Normal 24 5 2 2 2 3" xfId="21257"/>
    <cellStyle name="Normal 24 5 2 2 2 3 2" xfId="40935"/>
    <cellStyle name="Normal 24 5 2 2 2 4" xfId="28619"/>
    <cellStyle name="Normal 24 5 2 2 3" xfId="12039"/>
    <cellStyle name="Normal 24 5 2 2 3 2" xfId="31717"/>
    <cellStyle name="Normal 24 5 2 2 4" xfId="18191"/>
    <cellStyle name="Normal 24 5 2 2 4 2" xfId="37869"/>
    <cellStyle name="Normal 24 5 2 2 5" xfId="25553"/>
    <cellStyle name="Normal 24 5 2 3" xfId="7377"/>
    <cellStyle name="Normal 24 5 2 3 2" xfId="13571"/>
    <cellStyle name="Normal 24 5 2 3 2 2" xfId="33249"/>
    <cellStyle name="Normal 24 5 2 3 3" xfId="19723"/>
    <cellStyle name="Normal 24 5 2 3 3 2" xfId="39401"/>
    <cellStyle name="Normal 24 5 2 3 4" xfId="27085"/>
    <cellStyle name="Normal 24 5 2 4" xfId="10505"/>
    <cellStyle name="Normal 24 5 2 4 2" xfId="30183"/>
    <cellStyle name="Normal 24 5 2 5" xfId="16657"/>
    <cellStyle name="Normal 24 5 2 5 2" xfId="36335"/>
    <cellStyle name="Normal 24 5 2 6" xfId="24019"/>
    <cellStyle name="Normal 24 5 3" xfId="5043"/>
    <cellStyle name="Normal 24 5 3 2" xfId="8143"/>
    <cellStyle name="Normal 24 5 3 2 2" xfId="14336"/>
    <cellStyle name="Normal 24 5 3 2 2 2" xfId="34014"/>
    <cellStyle name="Normal 24 5 3 2 3" xfId="20488"/>
    <cellStyle name="Normal 24 5 3 2 3 2" xfId="40166"/>
    <cellStyle name="Normal 24 5 3 2 4" xfId="27850"/>
    <cellStyle name="Normal 24 5 3 3" xfId="11270"/>
    <cellStyle name="Normal 24 5 3 3 2" xfId="30948"/>
    <cellStyle name="Normal 24 5 3 4" xfId="17422"/>
    <cellStyle name="Normal 24 5 3 4 2" xfId="37100"/>
    <cellStyle name="Normal 24 5 3 5" xfId="24784"/>
    <cellStyle name="Normal 24 5 4" xfId="6608"/>
    <cellStyle name="Normal 24 5 4 2" xfId="12802"/>
    <cellStyle name="Normal 24 5 4 2 2" xfId="32480"/>
    <cellStyle name="Normal 24 5 4 3" xfId="18954"/>
    <cellStyle name="Normal 24 5 4 3 2" xfId="38632"/>
    <cellStyle name="Normal 24 5 4 4" xfId="26316"/>
    <cellStyle name="Normal 24 5 5" xfId="9736"/>
    <cellStyle name="Normal 24 5 5 2" xfId="29414"/>
    <cellStyle name="Normal 24 5 6" xfId="15888"/>
    <cellStyle name="Normal 24 5 6 2" xfId="35566"/>
    <cellStyle name="Normal 24 5 7" xfId="23191"/>
    <cellStyle name="Normal 24 6" xfId="2740"/>
    <cellStyle name="Normal 24 6 2" xfId="4202"/>
    <cellStyle name="Normal 24 6 2 2" xfId="5827"/>
    <cellStyle name="Normal 24 6 2 2 2" xfId="8913"/>
    <cellStyle name="Normal 24 6 2 2 2 2" xfId="15106"/>
    <cellStyle name="Normal 24 6 2 2 2 2 2" xfId="34784"/>
    <cellStyle name="Normal 24 6 2 2 2 3" xfId="21258"/>
    <cellStyle name="Normal 24 6 2 2 2 3 2" xfId="40936"/>
    <cellStyle name="Normal 24 6 2 2 2 4" xfId="28620"/>
    <cellStyle name="Normal 24 6 2 2 3" xfId="12040"/>
    <cellStyle name="Normal 24 6 2 2 3 2" xfId="31718"/>
    <cellStyle name="Normal 24 6 2 2 4" xfId="18192"/>
    <cellStyle name="Normal 24 6 2 2 4 2" xfId="37870"/>
    <cellStyle name="Normal 24 6 2 2 5" xfId="25554"/>
    <cellStyle name="Normal 24 6 2 3" xfId="7378"/>
    <cellStyle name="Normal 24 6 2 3 2" xfId="13572"/>
    <cellStyle name="Normal 24 6 2 3 2 2" xfId="33250"/>
    <cellStyle name="Normal 24 6 2 3 3" xfId="19724"/>
    <cellStyle name="Normal 24 6 2 3 3 2" xfId="39402"/>
    <cellStyle name="Normal 24 6 2 3 4" xfId="27086"/>
    <cellStyle name="Normal 24 6 2 4" xfId="10506"/>
    <cellStyle name="Normal 24 6 2 4 2" xfId="30184"/>
    <cellStyle name="Normal 24 6 2 5" xfId="16658"/>
    <cellStyle name="Normal 24 6 2 5 2" xfId="36336"/>
    <cellStyle name="Normal 24 6 2 6" xfId="24020"/>
    <cellStyle name="Normal 24 6 3" xfId="5044"/>
    <cellStyle name="Normal 24 6 3 2" xfId="8144"/>
    <cellStyle name="Normal 24 6 3 2 2" xfId="14337"/>
    <cellStyle name="Normal 24 6 3 2 2 2" xfId="34015"/>
    <cellStyle name="Normal 24 6 3 2 3" xfId="20489"/>
    <cellStyle name="Normal 24 6 3 2 3 2" xfId="40167"/>
    <cellStyle name="Normal 24 6 3 2 4" xfId="27851"/>
    <cellStyle name="Normal 24 6 3 3" xfId="11271"/>
    <cellStyle name="Normal 24 6 3 3 2" xfId="30949"/>
    <cellStyle name="Normal 24 6 3 4" xfId="17423"/>
    <cellStyle name="Normal 24 6 3 4 2" xfId="37101"/>
    <cellStyle name="Normal 24 6 3 5" xfId="24785"/>
    <cellStyle name="Normal 24 6 4" xfId="6609"/>
    <cellStyle name="Normal 24 6 4 2" xfId="12803"/>
    <cellStyle name="Normal 24 6 4 2 2" xfId="32481"/>
    <cellStyle name="Normal 24 6 4 3" xfId="18955"/>
    <cellStyle name="Normal 24 6 4 3 2" xfId="38633"/>
    <cellStyle name="Normal 24 6 4 4" xfId="26317"/>
    <cellStyle name="Normal 24 6 5" xfId="9737"/>
    <cellStyle name="Normal 24 6 5 2" xfId="29415"/>
    <cellStyle name="Normal 24 6 6" xfId="15889"/>
    <cellStyle name="Normal 24 6 6 2" xfId="35567"/>
    <cellStyle name="Normal 24 6 7" xfId="23192"/>
    <cellStyle name="Normal 24 7" xfId="2741"/>
    <cellStyle name="Normal 24 8" xfId="4193"/>
    <cellStyle name="Normal 24 8 2" xfId="5818"/>
    <cellStyle name="Normal 24 8 2 2" xfId="8904"/>
    <cellStyle name="Normal 24 8 2 2 2" xfId="15097"/>
    <cellStyle name="Normal 24 8 2 2 2 2" xfId="34775"/>
    <cellStyle name="Normal 24 8 2 2 3" xfId="21249"/>
    <cellStyle name="Normal 24 8 2 2 3 2" xfId="40927"/>
    <cellStyle name="Normal 24 8 2 2 4" xfId="28611"/>
    <cellStyle name="Normal 24 8 2 3" xfId="12031"/>
    <cellStyle name="Normal 24 8 2 3 2" xfId="31709"/>
    <cellStyle name="Normal 24 8 2 4" xfId="18183"/>
    <cellStyle name="Normal 24 8 2 4 2" xfId="37861"/>
    <cellStyle name="Normal 24 8 2 5" xfId="25545"/>
    <cellStyle name="Normal 24 8 3" xfId="7369"/>
    <cellStyle name="Normal 24 8 3 2" xfId="13563"/>
    <cellStyle name="Normal 24 8 3 2 2" xfId="33241"/>
    <cellStyle name="Normal 24 8 3 3" xfId="19715"/>
    <cellStyle name="Normal 24 8 3 3 2" xfId="39393"/>
    <cellStyle name="Normal 24 8 3 4" xfId="27077"/>
    <cellStyle name="Normal 24 8 4" xfId="10497"/>
    <cellStyle name="Normal 24 8 4 2" xfId="30175"/>
    <cellStyle name="Normal 24 8 5" xfId="16649"/>
    <cellStyle name="Normal 24 8 5 2" xfId="36327"/>
    <cellStyle name="Normal 24 8 6" xfId="24011"/>
    <cellStyle name="Normal 24 9" xfId="5035"/>
    <cellStyle name="Normal 24 9 2" xfId="8135"/>
    <cellStyle name="Normal 24 9 2 2" xfId="14328"/>
    <cellStyle name="Normal 24 9 2 2 2" xfId="34006"/>
    <cellStyle name="Normal 24 9 2 3" xfId="20480"/>
    <cellStyle name="Normal 24 9 2 3 2" xfId="40158"/>
    <cellStyle name="Normal 24 9 2 4" xfId="27842"/>
    <cellStyle name="Normal 24 9 3" xfId="11262"/>
    <cellStyle name="Normal 24 9 3 2" xfId="30940"/>
    <cellStyle name="Normal 24 9 4" xfId="17414"/>
    <cellStyle name="Normal 24 9 4 2" xfId="37092"/>
    <cellStyle name="Normal 24 9 5" xfId="24776"/>
    <cellStyle name="Normal 25" xfId="2742"/>
    <cellStyle name="Normal 25 10" xfId="2743"/>
    <cellStyle name="Normal 25 11" xfId="2744"/>
    <cellStyle name="Normal 25 12" xfId="2745"/>
    <cellStyle name="Normal 25 13" xfId="2746"/>
    <cellStyle name="Normal 25 14" xfId="2747"/>
    <cellStyle name="Normal 25 15" xfId="2748"/>
    <cellStyle name="Normal 25 16" xfId="2749"/>
    <cellStyle name="Normal 25 17" xfId="2750"/>
    <cellStyle name="Normal 25 18" xfId="2751"/>
    <cellStyle name="Normal 25 19" xfId="2752"/>
    <cellStyle name="Normal 25 2" xfId="2753"/>
    <cellStyle name="Normal 25 20" xfId="2754"/>
    <cellStyle name="Normal 25 21" xfId="2755"/>
    <cellStyle name="Normal 25 22" xfId="2756"/>
    <cellStyle name="Normal 25 23" xfId="2757"/>
    <cellStyle name="Normal 25 24" xfId="23193"/>
    <cellStyle name="Normal 25 25" xfId="41992"/>
    <cellStyle name="Normal 25 3" xfId="2758"/>
    <cellStyle name="Normal 25 4" xfId="2759"/>
    <cellStyle name="Normal 25 5" xfId="2760"/>
    <cellStyle name="Normal 25 6" xfId="2761"/>
    <cellStyle name="Normal 25 7" xfId="2762"/>
    <cellStyle name="Normal 25 8" xfId="2763"/>
    <cellStyle name="Normal 25 9" xfId="2764"/>
    <cellStyle name="Normal 26" xfId="2765"/>
    <cellStyle name="Normal 26 10" xfId="6610"/>
    <cellStyle name="Normal 26 10 2" xfId="12804"/>
    <cellStyle name="Normal 26 10 2 2" xfId="32482"/>
    <cellStyle name="Normal 26 10 3" xfId="18956"/>
    <cellStyle name="Normal 26 10 3 2" xfId="38634"/>
    <cellStyle name="Normal 26 10 4" xfId="26318"/>
    <cellStyle name="Normal 26 11" xfId="9738"/>
    <cellStyle name="Normal 26 11 2" xfId="29416"/>
    <cellStyle name="Normal 26 12" xfId="15890"/>
    <cellStyle name="Normal 26 12 2" xfId="35568"/>
    <cellStyle name="Normal 26 13" xfId="23194"/>
    <cellStyle name="Normal 26 2" xfId="2766"/>
    <cellStyle name="Normal 26 2 10" xfId="15891"/>
    <cellStyle name="Normal 26 2 10 2" xfId="35569"/>
    <cellStyle name="Normal 26 2 11" xfId="41993"/>
    <cellStyle name="Normal 26 2 12" xfId="23195"/>
    <cellStyle name="Normal 26 2 2" xfId="2767"/>
    <cellStyle name="Normal 26 2 2 2" xfId="4205"/>
    <cellStyle name="Normal 26 2 2 2 2" xfId="5830"/>
    <cellStyle name="Normal 26 2 2 2 2 2" xfId="8916"/>
    <cellStyle name="Normal 26 2 2 2 2 2 2" xfId="15109"/>
    <cellStyle name="Normal 26 2 2 2 2 2 2 2" xfId="34787"/>
    <cellStyle name="Normal 26 2 2 2 2 2 3" xfId="21261"/>
    <cellStyle name="Normal 26 2 2 2 2 2 3 2" xfId="40939"/>
    <cellStyle name="Normal 26 2 2 2 2 2 4" xfId="28623"/>
    <cellStyle name="Normal 26 2 2 2 2 3" xfId="12043"/>
    <cellStyle name="Normal 26 2 2 2 2 3 2" xfId="31721"/>
    <cellStyle name="Normal 26 2 2 2 2 4" xfId="18195"/>
    <cellStyle name="Normal 26 2 2 2 2 4 2" xfId="37873"/>
    <cellStyle name="Normal 26 2 2 2 2 5" xfId="25557"/>
    <cellStyle name="Normal 26 2 2 2 3" xfId="7381"/>
    <cellStyle name="Normal 26 2 2 2 3 2" xfId="13575"/>
    <cellStyle name="Normal 26 2 2 2 3 2 2" xfId="33253"/>
    <cellStyle name="Normal 26 2 2 2 3 3" xfId="19727"/>
    <cellStyle name="Normal 26 2 2 2 3 3 2" xfId="39405"/>
    <cellStyle name="Normal 26 2 2 2 3 4" xfId="27089"/>
    <cellStyle name="Normal 26 2 2 2 4" xfId="10509"/>
    <cellStyle name="Normal 26 2 2 2 4 2" xfId="30187"/>
    <cellStyle name="Normal 26 2 2 2 5" xfId="16661"/>
    <cellStyle name="Normal 26 2 2 2 5 2" xfId="36339"/>
    <cellStyle name="Normal 26 2 2 2 6" xfId="24023"/>
    <cellStyle name="Normal 26 2 2 3" xfId="5047"/>
    <cellStyle name="Normal 26 2 2 3 2" xfId="8147"/>
    <cellStyle name="Normal 26 2 2 3 2 2" xfId="14340"/>
    <cellStyle name="Normal 26 2 2 3 2 2 2" xfId="34018"/>
    <cellStyle name="Normal 26 2 2 3 2 3" xfId="20492"/>
    <cellStyle name="Normal 26 2 2 3 2 3 2" xfId="40170"/>
    <cellStyle name="Normal 26 2 2 3 2 4" xfId="27854"/>
    <cellStyle name="Normal 26 2 2 3 3" xfId="11274"/>
    <cellStyle name="Normal 26 2 2 3 3 2" xfId="30952"/>
    <cellStyle name="Normal 26 2 2 3 4" xfId="17426"/>
    <cellStyle name="Normal 26 2 2 3 4 2" xfId="37104"/>
    <cellStyle name="Normal 26 2 2 3 5" xfId="24788"/>
    <cellStyle name="Normal 26 2 2 4" xfId="6612"/>
    <cellStyle name="Normal 26 2 2 4 2" xfId="12806"/>
    <cellStyle name="Normal 26 2 2 4 2 2" xfId="32484"/>
    <cellStyle name="Normal 26 2 2 4 3" xfId="18958"/>
    <cellStyle name="Normal 26 2 2 4 3 2" xfId="38636"/>
    <cellStyle name="Normal 26 2 2 4 4" xfId="26320"/>
    <cellStyle name="Normal 26 2 2 5" xfId="9740"/>
    <cellStyle name="Normal 26 2 2 5 2" xfId="29418"/>
    <cellStyle name="Normal 26 2 2 6" xfId="15892"/>
    <cellStyle name="Normal 26 2 2 6 2" xfId="35570"/>
    <cellStyle name="Normal 26 2 2 7" xfId="23196"/>
    <cellStyle name="Normal 26 2 3" xfId="2768"/>
    <cellStyle name="Normal 26 2 3 2" xfId="4206"/>
    <cellStyle name="Normal 26 2 3 2 2" xfId="5831"/>
    <cellStyle name="Normal 26 2 3 2 2 2" xfId="8917"/>
    <cellStyle name="Normal 26 2 3 2 2 2 2" xfId="15110"/>
    <cellStyle name="Normal 26 2 3 2 2 2 2 2" xfId="34788"/>
    <cellStyle name="Normal 26 2 3 2 2 2 3" xfId="21262"/>
    <cellStyle name="Normal 26 2 3 2 2 2 3 2" xfId="40940"/>
    <cellStyle name="Normal 26 2 3 2 2 2 4" xfId="28624"/>
    <cellStyle name="Normal 26 2 3 2 2 3" xfId="12044"/>
    <cellStyle name="Normal 26 2 3 2 2 3 2" xfId="31722"/>
    <cellStyle name="Normal 26 2 3 2 2 4" xfId="18196"/>
    <cellStyle name="Normal 26 2 3 2 2 4 2" xfId="37874"/>
    <cellStyle name="Normal 26 2 3 2 2 5" xfId="25558"/>
    <cellStyle name="Normal 26 2 3 2 3" xfId="7382"/>
    <cellStyle name="Normal 26 2 3 2 3 2" xfId="13576"/>
    <cellStyle name="Normal 26 2 3 2 3 2 2" xfId="33254"/>
    <cellStyle name="Normal 26 2 3 2 3 3" xfId="19728"/>
    <cellStyle name="Normal 26 2 3 2 3 3 2" xfId="39406"/>
    <cellStyle name="Normal 26 2 3 2 3 4" xfId="27090"/>
    <cellStyle name="Normal 26 2 3 2 4" xfId="10510"/>
    <cellStyle name="Normal 26 2 3 2 4 2" xfId="30188"/>
    <cellStyle name="Normal 26 2 3 2 5" xfId="16662"/>
    <cellStyle name="Normal 26 2 3 2 5 2" xfId="36340"/>
    <cellStyle name="Normal 26 2 3 2 6" xfId="24024"/>
    <cellStyle name="Normal 26 2 3 3" xfId="5048"/>
    <cellStyle name="Normal 26 2 3 3 2" xfId="8148"/>
    <cellStyle name="Normal 26 2 3 3 2 2" xfId="14341"/>
    <cellStyle name="Normal 26 2 3 3 2 2 2" xfId="34019"/>
    <cellStyle name="Normal 26 2 3 3 2 3" xfId="20493"/>
    <cellStyle name="Normal 26 2 3 3 2 3 2" xfId="40171"/>
    <cellStyle name="Normal 26 2 3 3 2 4" xfId="27855"/>
    <cellStyle name="Normal 26 2 3 3 3" xfId="11275"/>
    <cellStyle name="Normal 26 2 3 3 3 2" xfId="30953"/>
    <cellStyle name="Normal 26 2 3 3 4" xfId="17427"/>
    <cellStyle name="Normal 26 2 3 3 4 2" xfId="37105"/>
    <cellStyle name="Normal 26 2 3 3 5" xfId="24789"/>
    <cellStyle name="Normal 26 2 3 4" xfId="6613"/>
    <cellStyle name="Normal 26 2 3 4 2" xfId="12807"/>
    <cellStyle name="Normal 26 2 3 4 2 2" xfId="32485"/>
    <cellStyle name="Normal 26 2 3 4 3" xfId="18959"/>
    <cellStyle name="Normal 26 2 3 4 3 2" xfId="38637"/>
    <cellStyle name="Normal 26 2 3 4 4" xfId="26321"/>
    <cellStyle name="Normal 26 2 3 5" xfId="9741"/>
    <cellStyle name="Normal 26 2 3 5 2" xfId="29419"/>
    <cellStyle name="Normal 26 2 3 6" xfId="15893"/>
    <cellStyle name="Normal 26 2 3 6 2" xfId="35571"/>
    <cellStyle name="Normal 26 2 3 7" xfId="23197"/>
    <cellStyle name="Normal 26 2 4" xfId="2769"/>
    <cellStyle name="Normal 26 2 4 2" xfId="4207"/>
    <cellStyle name="Normal 26 2 4 2 2" xfId="5832"/>
    <cellStyle name="Normal 26 2 4 2 2 2" xfId="8918"/>
    <cellStyle name="Normal 26 2 4 2 2 2 2" xfId="15111"/>
    <cellStyle name="Normal 26 2 4 2 2 2 2 2" xfId="34789"/>
    <cellStyle name="Normal 26 2 4 2 2 2 3" xfId="21263"/>
    <cellStyle name="Normal 26 2 4 2 2 2 3 2" xfId="40941"/>
    <cellStyle name="Normal 26 2 4 2 2 2 4" xfId="28625"/>
    <cellStyle name="Normal 26 2 4 2 2 3" xfId="12045"/>
    <cellStyle name="Normal 26 2 4 2 2 3 2" xfId="31723"/>
    <cellStyle name="Normal 26 2 4 2 2 4" xfId="18197"/>
    <cellStyle name="Normal 26 2 4 2 2 4 2" xfId="37875"/>
    <cellStyle name="Normal 26 2 4 2 2 5" xfId="25559"/>
    <cellStyle name="Normal 26 2 4 2 3" xfId="7383"/>
    <cellStyle name="Normal 26 2 4 2 3 2" xfId="13577"/>
    <cellStyle name="Normal 26 2 4 2 3 2 2" xfId="33255"/>
    <cellStyle name="Normal 26 2 4 2 3 3" xfId="19729"/>
    <cellStyle name="Normal 26 2 4 2 3 3 2" xfId="39407"/>
    <cellStyle name="Normal 26 2 4 2 3 4" xfId="27091"/>
    <cellStyle name="Normal 26 2 4 2 4" xfId="10511"/>
    <cellStyle name="Normal 26 2 4 2 4 2" xfId="30189"/>
    <cellStyle name="Normal 26 2 4 2 5" xfId="16663"/>
    <cellStyle name="Normal 26 2 4 2 5 2" xfId="36341"/>
    <cellStyle name="Normal 26 2 4 2 6" xfId="24025"/>
    <cellStyle name="Normal 26 2 4 3" xfId="5049"/>
    <cellStyle name="Normal 26 2 4 3 2" xfId="8149"/>
    <cellStyle name="Normal 26 2 4 3 2 2" xfId="14342"/>
    <cellStyle name="Normal 26 2 4 3 2 2 2" xfId="34020"/>
    <cellStyle name="Normal 26 2 4 3 2 3" xfId="20494"/>
    <cellStyle name="Normal 26 2 4 3 2 3 2" xfId="40172"/>
    <cellStyle name="Normal 26 2 4 3 2 4" xfId="27856"/>
    <cellStyle name="Normal 26 2 4 3 3" xfId="11276"/>
    <cellStyle name="Normal 26 2 4 3 3 2" xfId="30954"/>
    <cellStyle name="Normal 26 2 4 3 4" xfId="17428"/>
    <cellStyle name="Normal 26 2 4 3 4 2" xfId="37106"/>
    <cellStyle name="Normal 26 2 4 3 5" xfId="24790"/>
    <cellStyle name="Normal 26 2 4 4" xfId="6614"/>
    <cellStyle name="Normal 26 2 4 4 2" xfId="12808"/>
    <cellStyle name="Normal 26 2 4 4 2 2" xfId="32486"/>
    <cellStyle name="Normal 26 2 4 4 3" xfId="18960"/>
    <cellStyle name="Normal 26 2 4 4 3 2" xfId="38638"/>
    <cellStyle name="Normal 26 2 4 4 4" xfId="26322"/>
    <cellStyle name="Normal 26 2 4 5" xfId="9742"/>
    <cellStyle name="Normal 26 2 4 5 2" xfId="29420"/>
    <cellStyle name="Normal 26 2 4 6" xfId="15894"/>
    <cellStyle name="Normal 26 2 4 6 2" xfId="35572"/>
    <cellStyle name="Normal 26 2 4 7" xfId="23198"/>
    <cellStyle name="Normal 26 2 5" xfId="2770"/>
    <cellStyle name="Normal 26 2 5 2" xfId="4208"/>
    <cellStyle name="Normal 26 2 5 2 2" xfId="5833"/>
    <cellStyle name="Normal 26 2 5 2 2 2" xfId="8919"/>
    <cellStyle name="Normal 26 2 5 2 2 2 2" xfId="15112"/>
    <cellStyle name="Normal 26 2 5 2 2 2 2 2" xfId="34790"/>
    <cellStyle name="Normal 26 2 5 2 2 2 3" xfId="21264"/>
    <cellStyle name="Normal 26 2 5 2 2 2 3 2" xfId="40942"/>
    <cellStyle name="Normal 26 2 5 2 2 2 4" xfId="28626"/>
    <cellStyle name="Normal 26 2 5 2 2 3" xfId="12046"/>
    <cellStyle name="Normal 26 2 5 2 2 3 2" xfId="31724"/>
    <cellStyle name="Normal 26 2 5 2 2 4" xfId="18198"/>
    <cellStyle name="Normal 26 2 5 2 2 4 2" xfId="37876"/>
    <cellStyle name="Normal 26 2 5 2 2 5" xfId="25560"/>
    <cellStyle name="Normal 26 2 5 2 3" xfId="7384"/>
    <cellStyle name="Normal 26 2 5 2 3 2" xfId="13578"/>
    <cellStyle name="Normal 26 2 5 2 3 2 2" xfId="33256"/>
    <cellStyle name="Normal 26 2 5 2 3 3" xfId="19730"/>
    <cellStyle name="Normal 26 2 5 2 3 3 2" xfId="39408"/>
    <cellStyle name="Normal 26 2 5 2 3 4" xfId="27092"/>
    <cellStyle name="Normal 26 2 5 2 4" xfId="10512"/>
    <cellStyle name="Normal 26 2 5 2 4 2" xfId="30190"/>
    <cellStyle name="Normal 26 2 5 2 5" xfId="16664"/>
    <cellStyle name="Normal 26 2 5 2 5 2" xfId="36342"/>
    <cellStyle name="Normal 26 2 5 2 6" xfId="24026"/>
    <cellStyle name="Normal 26 2 5 3" xfId="5050"/>
    <cellStyle name="Normal 26 2 5 3 2" xfId="8150"/>
    <cellStyle name="Normal 26 2 5 3 2 2" xfId="14343"/>
    <cellStyle name="Normal 26 2 5 3 2 2 2" xfId="34021"/>
    <cellStyle name="Normal 26 2 5 3 2 3" xfId="20495"/>
    <cellStyle name="Normal 26 2 5 3 2 3 2" xfId="40173"/>
    <cellStyle name="Normal 26 2 5 3 2 4" xfId="27857"/>
    <cellStyle name="Normal 26 2 5 3 3" xfId="11277"/>
    <cellStyle name="Normal 26 2 5 3 3 2" xfId="30955"/>
    <cellStyle name="Normal 26 2 5 3 4" xfId="17429"/>
    <cellStyle name="Normal 26 2 5 3 4 2" xfId="37107"/>
    <cellStyle name="Normal 26 2 5 3 5" xfId="24791"/>
    <cellStyle name="Normal 26 2 5 4" xfId="6615"/>
    <cellStyle name="Normal 26 2 5 4 2" xfId="12809"/>
    <cellStyle name="Normal 26 2 5 4 2 2" xfId="32487"/>
    <cellStyle name="Normal 26 2 5 4 3" xfId="18961"/>
    <cellStyle name="Normal 26 2 5 4 3 2" xfId="38639"/>
    <cellStyle name="Normal 26 2 5 4 4" xfId="26323"/>
    <cellStyle name="Normal 26 2 5 5" xfId="9743"/>
    <cellStyle name="Normal 26 2 5 5 2" xfId="29421"/>
    <cellStyle name="Normal 26 2 5 6" xfId="15895"/>
    <cellStyle name="Normal 26 2 5 6 2" xfId="35573"/>
    <cellStyle name="Normal 26 2 5 7" xfId="23199"/>
    <cellStyle name="Normal 26 2 6" xfId="4204"/>
    <cellStyle name="Normal 26 2 6 2" xfId="5829"/>
    <cellStyle name="Normal 26 2 6 2 2" xfId="8915"/>
    <cellStyle name="Normal 26 2 6 2 2 2" xfId="15108"/>
    <cellStyle name="Normal 26 2 6 2 2 2 2" xfId="34786"/>
    <cellStyle name="Normal 26 2 6 2 2 3" xfId="21260"/>
    <cellStyle name="Normal 26 2 6 2 2 3 2" xfId="40938"/>
    <cellStyle name="Normal 26 2 6 2 2 4" xfId="28622"/>
    <cellStyle name="Normal 26 2 6 2 3" xfId="12042"/>
    <cellStyle name="Normal 26 2 6 2 3 2" xfId="31720"/>
    <cellStyle name="Normal 26 2 6 2 4" xfId="18194"/>
    <cellStyle name="Normal 26 2 6 2 4 2" xfId="37872"/>
    <cellStyle name="Normal 26 2 6 2 5" xfId="25556"/>
    <cellStyle name="Normal 26 2 6 3" xfId="7380"/>
    <cellStyle name="Normal 26 2 6 3 2" xfId="13574"/>
    <cellStyle name="Normal 26 2 6 3 2 2" xfId="33252"/>
    <cellStyle name="Normal 26 2 6 3 3" xfId="19726"/>
    <cellStyle name="Normal 26 2 6 3 3 2" xfId="39404"/>
    <cellStyle name="Normal 26 2 6 3 4" xfId="27088"/>
    <cellStyle name="Normal 26 2 6 4" xfId="10508"/>
    <cellStyle name="Normal 26 2 6 4 2" xfId="30186"/>
    <cellStyle name="Normal 26 2 6 5" xfId="16660"/>
    <cellStyle name="Normal 26 2 6 5 2" xfId="36338"/>
    <cellStyle name="Normal 26 2 6 6" xfId="24022"/>
    <cellStyle name="Normal 26 2 7" xfId="5046"/>
    <cellStyle name="Normal 26 2 7 2" xfId="8146"/>
    <cellStyle name="Normal 26 2 7 2 2" xfId="14339"/>
    <cellStyle name="Normal 26 2 7 2 2 2" xfId="34017"/>
    <cellStyle name="Normal 26 2 7 2 3" xfId="20491"/>
    <cellStyle name="Normal 26 2 7 2 3 2" xfId="40169"/>
    <cellStyle name="Normal 26 2 7 2 4" xfId="27853"/>
    <cellStyle name="Normal 26 2 7 3" xfId="11273"/>
    <cellStyle name="Normal 26 2 7 3 2" xfId="30951"/>
    <cellStyle name="Normal 26 2 7 4" xfId="17425"/>
    <cellStyle name="Normal 26 2 7 4 2" xfId="37103"/>
    <cellStyle name="Normal 26 2 7 5" xfId="24787"/>
    <cellStyle name="Normal 26 2 8" xfId="6611"/>
    <cellStyle name="Normal 26 2 8 2" xfId="12805"/>
    <cellStyle name="Normal 26 2 8 2 2" xfId="32483"/>
    <cellStyle name="Normal 26 2 8 3" xfId="18957"/>
    <cellStyle name="Normal 26 2 8 3 2" xfId="38635"/>
    <cellStyle name="Normal 26 2 8 4" xfId="26319"/>
    <cellStyle name="Normal 26 2 9" xfId="9739"/>
    <cellStyle name="Normal 26 2 9 2" xfId="29417"/>
    <cellStyle name="Normal 26 3" xfId="2771"/>
    <cellStyle name="Normal 26 3 2" xfId="4209"/>
    <cellStyle name="Normal 26 3 2 2" xfId="5834"/>
    <cellStyle name="Normal 26 3 2 2 2" xfId="8920"/>
    <cellStyle name="Normal 26 3 2 2 2 2" xfId="15113"/>
    <cellStyle name="Normal 26 3 2 2 2 2 2" xfId="34791"/>
    <cellStyle name="Normal 26 3 2 2 2 3" xfId="21265"/>
    <cellStyle name="Normal 26 3 2 2 2 3 2" xfId="40943"/>
    <cellStyle name="Normal 26 3 2 2 2 4" xfId="28627"/>
    <cellStyle name="Normal 26 3 2 2 3" xfId="12047"/>
    <cellStyle name="Normal 26 3 2 2 3 2" xfId="31725"/>
    <cellStyle name="Normal 26 3 2 2 4" xfId="18199"/>
    <cellStyle name="Normal 26 3 2 2 4 2" xfId="37877"/>
    <cellStyle name="Normal 26 3 2 2 5" xfId="25561"/>
    <cellStyle name="Normal 26 3 2 3" xfId="7385"/>
    <cellStyle name="Normal 26 3 2 3 2" xfId="13579"/>
    <cellStyle name="Normal 26 3 2 3 2 2" xfId="33257"/>
    <cellStyle name="Normal 26 3 2 3 3" xfId="19731"/>
    <cellStyle name="Normal 26 3 2 3 3 2" xfId="39409"/>
    <cellStyle name="Normal 26 3 2 3 4" xfId="27093"/>
    <cellStyle name="Normal 26 3 2 4" xfId="10513"/>
    <cellStyle name="Normal 26 3 2 4 2" xfId="30191"/>
    <cellStyle name="Normal 26 3 2 5" xfId="16665"/>
    <cellStyle name="Normal 26 3 2 5 2" xfId="36343"/>
    <cellStyle name="Normal 26 3 2 6" xfId="24027"/>
    <cellStyle name="Normal 26 3 3" xfId="5051"/>
    <cellStyle name="Normal 26 3 3 2" xfId="8151"/>
    <cellStyle name="Normal 26 3 3 2 2" xfId="14344"/>
    <cellStyle name="Normal 26 3 3 2 2 2" xfId="34022"/>
    <cellStyle name="Normal 26 3 3 2 3" xfId="20496"/>
    <cellStyle name="Normal 26 3 3 2 3 2" xfId="40174"/>
    <cellStyle name="Normal 26 3 3 2 4" xfId="27858"/>
    <cellStyle name="Normal 26 3 3 3" xfId="11278"/>
    <cellStyle name="Normal 26 3 3 3 2" xfId="30956"/>
    <cellStyle name="Normal 26 3 3 4" xfId="17430"/>
    <cellStyle name="Normal 26 3 3 4 2" xfId="37108"/>
    <cellStyle name="Normal 26 3 3 5" xfId="24792"/>
    <cellStyle name="Normal 26 3 4" xfId="6616"/>
    <cellStyle name="Normal 26 3 4 2" xfId="12810"/>
    <cellStyle name="Normal 26 3 4 2 2" xfId="32488"/>
    <cellStyle name="Normal 26 3 4 3" xfId="18962"/>
    <cellStyle name="Normal 26 3 4 3 2" xfId="38640"/>
    <cellStyle name="Normal 26 3 4 4" xfId="26324"/>
    <cellStyle name="Normal 26 3 5" xfId="9744"/>
    <cellStyle name="Normal 26 3 5 2" xfId="29422"/>
    <cellStyle name="Normal 26 3 6" xfId="15896"/>
    <cellStyle name="Normal 26 3 6 2" xfId="35574"/>
    <cellStyle name="Normal 26 3 7" xfId="23200"/>
    <cellStyle name="Normal 26 4" xfId="2772"/>
    <cellStyle name="Normal 26 4 2" xfId="4210"/>
    <cellStyle name="Normal 26 4 2 2" xfId="5835"/>
    <cellStyle name="Normal 26 4 2 2 2" xfId="8921"/>
    <cellStyle name="Normal 26 4 2 2 2 2" xfId="15114"/>
    <cellStyle name="Normal 26 4 2 2 2 2 2" xfId="34792"/>
    <cellStyle name="Normal 26 4 2 2 2 3" xfId="21266"/>
    <cellStyle name="Normal 26 4 2 2 2 3 2" xfId="40944"/>
    <cellStyle name="Normal 26 4 2 2 2 4" xfId="28628"/>
    <cellStyle name="Normal 26 4 2 2 3" xfId="12048"/>
    <cellStyle name="Normal 26 4 2 2 3 2" xfId="31726"/>
    <cellStyle name="Normal 26 4 2 2 4" xfId="18200"/>
    <cellStyle name="Normal 26 4 2 2 4 2" xfId="37878"/>
    <cellStyle name="Normal 26 4 2 2 5" xfId="25562"/>
    <cellStyle name="Normal 26 4 2 3" xfId="7386"/>
    <cellStyle name="Normal 26 4 2 3 2" xfId="13580"/>
    <cellStyle name="Normal 26 4 2 3 2 2" xfId="33258"/>
    <cellStyle name="Normal 26 4 2 3 3" xfId="19732"/>
    <cellStyle name="Normal 26 4 2 3 3 2" xfId="39410"/>
    <cellStyle name="Normal 26 4 2 3 4" xfId="27094"/>
    <cellStyle name="Normal 26 4 2 4" xfId="10514"/>
    <cellStyle name="Normal 26 4 2 4 2" xfId="30192"/>
    <cellStyle name="Normal 26 4 2 5" xfId="16666"/>
    <cellStyle name="Normal 26 4 2 5 2" xfId="36344"/>
    <cellStyle name="Normal 26 4 2 6" xfId="24028"/>
    <cellStyle name="Normal 26 4 3" xfId="5052"/>
    <cellStyle name="Normal 26 4 3 2" xfId="8152"/>
    <cellStyle name="Normal 26 4 3 2 2" xfId="14345"/>
    <cellStyle name="Normal 26 4 3 2 2 2" xfId="34023"/>
    <cellStyle name="Normal 26 4 3 2 3" xfId="20497"/>
    <cellStyle name="Normal 26 4 3 2 3 2" xfId="40175"/>
    <cellStyle name="Normal 26 4 3 2 4" xfId="27859"/>
    <cellStyle name="Normal 26 4 3 3" xfId="11279"/>
    <cellStyle name="Normal 26 4 3 3 2" xfId="30957"/>
    <cellStyle name="Normal 26 4 3 4" xfId="17431"/>
    <cellStyle name="Normal 26 4 3 4 2" xfId="37109"/>
    <cellStyle name="Normal 26 4 3 5" xfId="24793"/>
    <cellStyle name="Normal 26 4 4" xfId="6617"/>
    <cellStyle name="Normal 26 4 4 2" xfId="12811"/>
    <cellStyle name="Normal 26 4 4 2 2" xfId="32489"/>
    <cellStyle name="Normal 26 4 4 3" xfId="18963"/>
    <cellStyle name="Normal 26 4 4 3 2" xfId="38641"/>
    <cellStyle name="Normal 26 4 4 4" xfId="26325"/>
    <cellStyle name="Normal 26 4 5" xfId="9745"/>
    <cellStyle name="Normal 26 4 5 2" xfId="29423"/>
    <cellStyle name="Normal 26 4 6" xfId="15897"/>
    <cellStyle name="Normal 26 4 6 2" xfId="35575"/>
    <cellStyle name="Normal 26 4 7" xfId="23201"/>
    <cellStyle name="Normal 26 5" xfId="2773"/>
    <cellStyle name="Normal 26 5 2" xfId="4211"/>
    <cellStyle name="Normal 26 5 2 2" xfId="5836"/>
    <cellStyle name="Normal 26 5 2 2 2" xfId="8922"/>
    <cellStyle name="Normal 26 5 2 2 2 2" xfId="15115"/>
    <cellStyle name="Normal 26 5 2 2 2 2 2" xfId="34793"/>
    <cellStyle name="Normal 26 5 2 2 2 3" xfId="21267"/>
    <cellStyle name="Normal 26 5 2 2 2 3 2" xfId="40945"/>
    <cellStyle name="Normal 26 5 2 2 2 4" xfId="28629"/>
    <cellStyle name="Normal 26 5 2 2 3" xfId="12049"/>
    <cellStyle name="Normal 26 5 2 2 3 2" xfId="31727"/>
    <cellStyle name="Normal 26 5 2 2 4" xfId="18201"/>
    <cellStyle name="Normal 26 5 2 2 4 2" xfId="37879"/>
    <cellStyle name="Normal 26 5 2 2 5" xfId="25563"/>
    <cellStyle name="Normal 26 5 2 3" xfId="7387"/>
    <cellStyle name="Normal 26 5 2 3 2" xfId="13581"/>
    <cellStyle name="Normal 26 5 2 3 2 2" xfId="33259"/>
    <cellStyle name="Normal 26 5 2 3 3" xfId="19733"/>
    <cellStyle name="Normal 26 5 2 3 3 2" xfId="39411"/>
    <cellStyle name="Normal 26 5 2 3 4" xfId="27095"/>
    <cellStyle name="Normal 26 5 2 4" xfId="10515"/>
    <cellStyle name="Normal 26 5 2 4 2" xfId="30193"/>
    <cellStyle name="Normal 26 5 2 5" xfId="16667"/>
    <cellStyle name="Normal 26 5 2 5 2" xfId="36345"/>
    <cellStyle name="Normal 26 5 2 6" xfId="24029"/>
    <cellStyle name="Normal 26 5 3" xfId="5053"/>
    <cellStyle name="Normal 26 5 3 2" xfId="8153"/>
    <cellStyle name="Normal 26 5 3 2 2" xfId="14346"/>
    <cellStyle name="Normal 26 5 3 2 2 2" xfId="34024"/>
    <cellStyle name="Normal 26 5 3 2 3" xfId="20498"/>
    <cellStyle name="Normal 26 5 3 2 3 2" xfId="40176"/>
    <cellStyle name="Normal 26 5 3 2 4" xfId="27860"/>
    <cellStyle name="Normal 26 5 3 3" xfId="11280"/>
    <cellStyle name="Normal 26 5 3 3 2" xfId="30958"/>
    <cellStyle name="Normal 26 5 3 4" xfId="17432"/>
    <cellStyle name="Normal 26 5 3 4 2" xfId="37110"/>
    <cellStyle name="Normal 26 5 3 5" xfId="24794"/>
    <cellStyle name="Normal 26 5 4" xfId="6618"/>
    <cellStyle name="Normal 26 5 4 2" xfId="12812"/>
    <cellStyle name="Normal 26 5 4 2 2" xfId="32490"/>
    <cellStyle name="Normal 26 5 4 3" xfId="18964"/>
    <cellStyle name="Normal 26 5 4 3 2" xfId="38642"/>
    <cellStyle name="Normal 26 5 4 4" xfId="26326"/>
    <cellStyle name="Normal 26 5 5" xfId="9746"/>
    <cellStyle name="Normal 26 5 5 2" xfId="29424"/>
    <cellStyle name="Normal 26 5 6" xfId="15898"/>
    <cellStyle name="Normal 26 5 6 2" xfId="35576"/>
    <cellStyle name="Normal 26 5 7" xfId="23202"/>
    <cellStyle name="Normal 26 6" xfId="2774"/>
    <cellStyle name="Normal 26 6 2" xfId="4212"/>
    <cellStyle name="Normal 26 6 2 2" xfId="5837"/>
    <cellStyle name="Normal 26 6 2 2 2" xfId="8923"/>
    <cellStyle name="Normal 26 6 2 2 2 2" xfId="15116"/>
    <cellStyle name="Normal 26 6 2 2 2 2 2" xfId="34794"/>
    <cellStyle name="Normal 26 6 2 2 2 3" xfId="21268"/>
    <cellStyle name="Normal 26 6 2 2 2 3 2" xfId="40946"/>
    <cellStyle name="Normal 26 6 2 2 2 4" xfId="28630"/>
    <cellStyle name="Normal 26 6 2 2 3" xfId="12050"/>
    <cellStyle name="Normal 26 6 2 2 3 2" xfId="31728"/>
    <cellStyle name="Normal 26 6 2 2 4" xfId="18202"/>
    <cellStyle name="Normal 26 6 2 2 4 2" xfId="37880"/>
    <cellStyle name="Normal 26 6 2 2 5" xfId="25564"/>
    <cellStyle name="Normal 26 6 2 3" xfId="7388"/>
    <cellStyle name="Normal 26 6 2 3 2" xfId="13582"/>
    <cellStyle name="Normal 26 6 2 3 2 2" xfId="33260"/>
    <cellStyle name="Normal 26 6 2 3 3" xfId="19734"/>
    <cellStyle name="Normal 26 6 2 3 3 2" xfId="39412"/>
    <cellStyle name="Normal 26 6 2 3 4" xfId="27096"/>
    <cellStyle name="Normal 26 6 2 4" xfId="10516"/>
    <cellStyle name="Normal 26 6 2 4 2" xfId="30194"/>
    <cellStyle name="Normal 26 6 2 5" xfId="16668"/>
    <cellStyle name="Normal 26 6 2 5 2" xfId="36346"/>
    <cellStyle name="Normal 26 6 2 6" xfId="24030"/>
    <cellStyle name="Normal 26 6 3" xfId="5054"/>
    <cellStyle name="Normal 26 6 3 2" xfId="8154"/>
    <cellStyle name="Normal 26 6 3 2 2" xfId="14347"/>
    <cellStyle name="Normal 26 6 3 2 2 2" xfId="34025"/>
    <cellStyle name="Normal 26 6 3 2 3" xfId="20499"/>
    <cellStyle name="Normal 26 6 3 2 3 2" xfId="40177"/>
    <cellStyle name="Normal 26 6 3 2 4" xfId="27861"/>
    <cellStyle name="Normal 26 6 3 3" xfId="11281"/>
    <cellStyle name="Normal 26 6 3 3 2" xfId="30959"/>
    <cellStyle name="Normal 26 6 3 4" xfId="17433"/>
    <cellStyle name="Normal 26 6 3 4 2" xfId="37111"/>
    <cellStyle name="Normal 26 6 3 5" xfId="24795"/>
    <cellStyle name="Normal 26 6 4" xfId="6619"/>
    <cellStyle name="Normal 26 6 4 2" xfId="12813"/>
    <cellStyle name="Normal 26 6 4 2 2" xfId="32491"/>
    <cellStyle name="Normal 26 6 4 3" xfId="18965"/>
    <cellStyle name="Normal 26 6 4 3 2" xfId="38643"/>
    <cellStyle name="Normal 26 6 4 4" xfId="26327"/>
    <cellStyle name="Normal 26 6 5" xfId="9747"/>
    <cellStyle name="Normal 26 6 5 2" xfId="29425"/>
    <cellStyle name="Normal 26 6 6" xfId="15899"/>
    <cellStyle name="Normal 26 6 6 2" xfId="35577"/>
    <cellStyle name="Normal 26 6 7" xfId="23203"/>
    <cellStyle name="Normal 26 7" xfId="2775"/>
    <cellStyle name="Normal 26 8" xfId="4203"/>
    <cellStyle name="Normal 26 8 2" xfId="5828"/>
    <cellStyle name="Normal 26 8 2 2" xfId="8914"/>
    <cellStyle name="Normal 26 8 2 2 2" xfId="15107"/>
    <cellStyle name="Normal 26 8 2 2 2 2" xfId="34785"/>
    <cellStyle name="Normal 26 8 2 2 3" xfId="21259"/>
    <cellStyle name="Normal 26 8 2 2 3 2" xfId="40937"/>
    <cellStyle name="Normal 26 8 2 2 4" xfId="28621"/>
    <cellStyle name="Normal 26 8 2 3" xfId="12041"/>
    <cellStyle name="Normal 26 8 2 3 2" xfId="31719"/>
    <cellStyle name="Normal 26 8 2 4" xfId="18193"/>
    <cellStyle name="Normal 26 8 2 4 2" xfId="37871"/>
    <cellStyle name="Normal 26 8 2 5" xfId="25555"/>
    <cellStyle name="Normal 26 8 3" xfId="7379"/>
    <cellStyle name="Normal 26 8 3 2" xfId="13573"/>
    <cellStyle name="Normal 26 8 3 2 2" xfId="33251"/>
    <cellStyle name="Normal 26 8 3 3" xfId="19725"/>
    <cellStyle name="Normal 26 8 3 3 2" xfId="39403"/>
    <cellStyle name="Normal 26 8 3 4" xfId="27087"/>
    <cellStyle name="Normal 26 8 4" xfId="10507"/>
    <cellStyle name="Normal 26 8 4 2" xfId="30185"/>
    <cellStyle name="Normal 26 8 5" xfId="16659"/>
    <cellStyle name="Normal 26 8 5 2" xfId="36337"/>
    <cellStyle name="Normal 26 8 6" xfId="24021"/>
    <cellStyle name="Normal 26 9" xfId="5045"/>
    <cellStyle name="Normal 26 9 2" xfId="8145"/>
    <cellStyle name="Normal 26 9 2 2" xfId="14338"/>
    <cellStyle name="Normal 26 9 2 2 2" xfId="34016"/>
    <cellStyle name="Normal 26 9 2 3" xfId="20490"/>
    <cellStyle name="Normal 26 9 2 3 2" xfId="40168"/>
    <cellStyle name="Normal 26 9 2 4" xfId="27852"/>
    <cellStyle name="Normal 26 9 3" xfId="11272"/>
    <cellStyle name="Normal 26 9 3 2" xfId="30950"/>
    <cellStyle name="Normal 26 9 4" xfId="17424"/>
    <cellStyle name="Normal 26 9 4 2" xfId="37102"/>
    <cellStyle name="Normal 26 9 5" xfId="24786"/>
    <cellStyle name="Normal 27" xfId="2776"/>
    <cellStyle name="Normal 27 2" xfId="41995"/>
    <cellStyle name="Normal 27 2 2" xfId="41996"/>
    <cellStyle name="Normal 27 3" xfId="41997"/>
    <cellStyle name="Normal 27 4" xfId="41994"/>
    <cellStyle name="Normal 28" xfId="2777"/>
    <cellStyle name="Normal 28 2" xfId="2778"/>
    <cellStyle name="Normal 29" xfId="2779"/>
    <cellStyle name="Normal 29 2" xfId="2780"/>
    <cellStyle name="Normal 29 3" xfId="23204"/>
    <cellStyle name="Normal 29 4" xfId="41998"/>
    <cellStyle name="Normal 3" xfId="39"/>
    <cellStyle name="Normal 3 10" xfId="2781"/>
    <cellStyle name="Normal 3 10 2" xfId="4213"/>
    <cellStyle name="Normal 3 10 2 2" xfId="5838"/>
    <cellStyle name="Normal 3 10 2 2 2" xfId="8924"/>
    <cellStyle name="Normal 3 10 2 2 2 2" xfId="15117"/>
    <cellStyle name="Normal 3 10 2 2 2 2 2" xfId="34795"/>
    <cellStyle name="Normal 3 10 2 2 2 3" xfId="21269"/>
    <cellStyle name="Normal 3 10 2 2 2 3 2" xfId="40947"/>
    <cellStyle name="Normal 3 10 2 2 2 4" xfId="28631"/>
    <cellStyle name="Normal 3 10 2 2 3" xfId="12051"/>
    <cellStyle name="Normal 3 10 2 2 3 2" xfId="31729"/>
    <cellStyle name="Normal 3 10 2 2 4" xfId="18203"/>
    <cellStyle name="Normal 3 10 2 2 4 2" xfId="37881"/>
    <cellStyle name="Normal 3 10 2 2 5" xfId="25565"/>
    <cellStyle name="Normal 3 10 2 3" xfId="7389"/>
    <cellStyle name="Normal 3 10 2 3 2" xfId="13583"/>
    <cellStyle name="Normal 3 10 2 3 2 2" xfId="33261"/>
    <cellStyle name="Normal 3 10 2 3 3" xfId="19735"/>
    <cellStyle name="Normal 3 10 2 3 3 2" xfId="39413"/>
    <cellStyle name="Normal 3 10 2 3 4" xfId="27097"/>
    <cellStyle name="Normal 3 10 2 4" xfId="10517"/>
    <cellStyle name="Normal 3 10 2 4 2" xfId="30195"/>
    <cellStyle name="Normal 3 10 2 5" xfId="16669"/>
    <cellStyle name="Normal 3 10 2 5 2" xfId="36347"/>
    <cellStyle name="Normal 3 10 2 6" xfId="24031"/>
    <cellStyle name="Normal 3 10 3" xfId="5055"/>
    <cellStyle name="Normal 3 10 3 2" xfId="8155"/>
    <cellStyle name="Normal 3 10 3 2 2" xfId="14348"/>
    <cellStyle name="Normal 3 10 3 2 2 2" xfId="34026"/>
    <cellStyle name="Normal 3 10 3 2 3" xfId="20500"/>
    <cellStyle name="Normal 3 10 3 2 3 2" xfId="40178"/>
    <cellStyle name="Normal 3 10 3 2 4" xfId="27862"/>
    <cellStyle name="Normal 3 10 3 3" xfId="11282"/>
    <cellStyle name="Normal 3 10 3 3 2" xfId="30960"/>
    <cellStyle name="Normal 3 10 3 4" xfId="17434"/>
    <cellStyle name="Normal 3 10 3 4 2" xfId="37112"/>
    <cellStyle name="Normal 3 10 3 5" xfId="24796"/>
    <cellStyle name="Normal 3 10 4" xfId="6620"/>
    <cellStyle name="Normal 3 10 4 2" xfId="12814"/>
    <cellStyle name="Normal 3 10 4 2 2" xfId="32492"/>
    <cellStyle name="Normal 3 10 4 3" xfId="18966"/>
    <cellStyle name="Normal 3 10 4 3 2" xfId="38644"/>
    <cellStyle name="Normal 3 10 4 4" xfId="26328"/>
    <cellStyle name="Normal 3 10 5" xfId="9748"/>
    <cellStyle name="Normal 3 10 5 2" xfId="29426"/>
    <cellStyle name="Normal 3 10 6" xfId="15900"/>
    <cellStyle name="Normal 3 10 6 2" xfId="35578"/>
    <cellStyle name="Normal 3 10 7" xfId="23205"/>
    <cellStyle name="Normal 3 10 8" xfId="21909"/>
    <cellStyle name="Normal 3 11" xfId="2782"/>
    <cellStyle name="Normal 3 11 2" xfId="4214"/>
    <cellStyle name="Normal 3 11 2 2" xfId="5839"/>
    <cellStyle name="Normal 3 11 2 2 2" xfId="8925"/>
    <cellStyle name="Normal 3 11 2 2 2 2" xfId="15118"/>
    <cellStyle name="Normal 3 11 2 2 2 2 2" xfId="34796"/>
    <cellStyle name="Normal 3 11 2 2 2 3" xfId="21270"/>
    <cellStyle name="Normal 3 11 2 2 2 3 2" xfId="40948"/>
    <cellStyle name="Normal 3 11 2 2 2 4" xfId="28632"/>
    <cellStyle name="Normal 3 11 2 2 3" xfId="12052"/>
    <cellStyle name="Normal 3 11 2 2 3 2" xfId="31730"/>
    <cellStyle name="Normal 3 11 2 2 4" xfId="18204"/>
    <cellStyle name="Normal 3 11 2 2 4 2" xfId="37882"/>
    <cellStyle name="Normal 3 11 2 2 5" xfId="25566"/>
    <cellStyle name="Normal 3 11 2 3" xfId="7390"/>
    <cellStyle name="Normal 3 11 2 3 2" xfId="13584"/>
    <cellStyle name="Normal 3 11 2 3 2 2" xfId="33262"/>
    <cellStyle name="Normal 3 11 2 3 3" xfId="19736"/>
    <cellStyle name="Normal 3 11 2 3 3 2" xfId="39414"/>
    <cellStyle name="Normal 3 11 2 3 4" xfId="27098"/>
    <cellStyle name="Normal 3 11 2 4" xfId="10518"/>
    <cellStyle name="Normal 3 11 2 4 2" xfId="30196"/>
    <cellStyle name="Normal 3 11 2 5" xfId="16670"/>
    <cellStyle name="Normal 3 11 2 5 2" xfId="36348"/>
    <cellStyle name="Normal 3 11 2 6" xfId="24032"/>
    <cellStyle name="Normal 3 11 3" xfId="5056"/>
    <cellStyle name="Normal 3 11 3 2" xfId="8156"/>
    <cellStyle name="Normal 3 11 3 2 2" xfId="14349"/>
    <cellStyle name="Normal 3 11 3 2 2 2" xfId="34027"/>
    <cellStyle name="Normal 3 11 3 2 3" xfId="20501"/>
    <cellStyle name="Normal 3 11 3 2 3 2" xfId="40179"/>
    <cellStyle name="Normal 3 11 3 2 4" xfId="27863"/>
    <cellStyle name="Normal 3 11 3 3" xfId="11283"/>
    <cellStyle name="Normal 3 11 3 3 2" xfId="30961"/>
    <cellStyle name="Normal 3 11 3 4" xfId="17435"/>
    <cellStyle name="Normal 3 11 3 4 2" xfId="37113"/>
    <cellStyle name="Normal 3 11 3 5" xfId="24797"/>
    <cellStyle name="Normal 3 11 4" xfId="6621"/>
    <cellStyle name="Normal 3 11 4 2" xfId="12815"/>
    <cellStyle name="Normal 3 11 4 2 2" xfId="32493"/>
    <cellStyle name="Normal 3 11 4 3" xfId="18967"/>
    <cellStyle name="Normal 3 11 4 3 2" xfId="38645"/>
    <cellStyle name="Normal 3 11 4 4" xfId="26329"/>
    <cellStyle name="Normal 3 11 5" xfId="9749"/>
    <cellStyle name="Normal 3 11 5 2" xfId="29427"/>
    <cellStyle name="Normal 3 11 6" xfId="15901"/>
    <cellStyle name="Normal 3 11 6 2" xfId="35579"/>
    <cellStyle name="Normal 3 11 7" xfId="23206"/>
    <cellStyle name="Normal 3 11 8" xfId="21922"/>
    <cellStyle name="Normal 3 12" xfId="2783"/>
    <cellStyle name="Normal 3 12 2" xfId="4215"/>
    <cellStyle name="Normal 3 12 2 2" xfId="5840"/>
    <cellStyle name="Normal 3 12 2 2 2" xfId="8926"/>
    <cellStyle name="Normal 3 12 2 2 2 2" xfId="15119"/>
    <cellStyle name="Normal 3 12 2 2 2 2 2" xfId="34797"/>
    <cellStyle name="Normal 3 12 2 2 2 3" xfId="21271"/>
    <cellStyle name="Normal 3 12 2 2 2 3 2" xfId="40949"/>
    <cellStyle name="Normal 3 12 2 2 2 4" xfId="28633"/>
    <cellStyle name="Normal 3 12 2 2 3" xfId="12053"/>
    <cellStyle name="Normal 3 12 2 2 3 2" xfId="31731"/>
    <cellStyle name="Normal 3 12 2 2 4" xfId="18205"/>
    <cellStyle name="Normal 3 12 2 2 4 2" xfId="37883"/>
    <cellStyle name="Normal 3 12 2 2 5" xfId="25567"/>
    <cellStyle name="Normal 3 12 2 3" xfId="7391"/>
    <cellStyle name="Normal 3 12 2 3 2" xfId="13585"/>
    <cellStyle name="Normal 3 12 2 3 2 2" xfId="33263"/>
    <cellStyle name="Normal 3 12 2 3 3" xfId="19737"/>
    <cellStyle name="Normal 3 12 2 3 3 2" xfId="39415"/>
    <cellStyle name="Normal 3 12 2 3 4" xfId="27099"/>
    <cellStyle name="Normal 3 12 2 4" xfId="10519"/>
    <cellStyle name="Normal 3 12 2 4 2" xfId="30197"/>
    <cellStyle name="Normal 3 12 2 5" xfId="16671"/>
    <cellStyle name="Normal 3 12 2 5 2" xfId="36349"/>
    <cellStyle name="Normal 3 12 2 6" xfId="24033"/>
    <cellStyle name="Normal 3 12 3" xfId="5057"/>
    <cellStyle name="Normal 3 12 3 2" xfId="8157"/>
    <cellStyle name="Normal 3 12 3 2 2" xfId="14350"/>
    <cellStyle name="Normal 3 12 3 2 2 2" xfId="34028"/>
    <cellStyle name="Normal 3 12 3 2 3" xfId="20502"/>
    <cellStyle name="Normal 3 12 3 2 3 2" xfId="40180"/>
    <cellStyle name="Normal 3 12 3 2 4" xfId="27864"/>
    <cellStyle name="Normal 3 12 3 3" xfId="11284"/>
    <cellStyle name="Normal 3 12 3 3 2" xfId="30962"/>
    <cellStyle name="Normal 3 12 3 4" xfId="17436"/>
    <cellStyle name="Normal 3 12 3 4 2" xfId="37114"/>
    <cellStyle name="Normal 3 12 3 5" xfId="24798"/>
    <cellStyle name="Normal 3 12 4" xfId="6622"/>
    <cellStyle name="Normal 3 12 4 2" xfId="12816"/>
    <cellStyle name="Normal 3 12 4 2 2" xfId="32494"/>
    <cellStyle name="Normal 3 12 4 3" xfId="18968"/>
    <cellStyle name="Normal 3 12 4 3 2" xfId="38646"/>
    <cellStyle name="Normal 3 12 4 4" xfId="26330"/>
    <cellStyle name="Normal 3 12 5" xfId="9750"/>
    <cellStyle name="Normal 3 12 5 2" xfId="29428"/>
    <cellStyle name="Normal 3 12 6" xfId="15902"/>
    <cellStyle name="Normal 3 12 6 2" xfId="35580"/>
    <cellStyle name="Normal 3 12 7" xfId="23207"/>
    <cellStyle name="Normal 3 12 8" xfId="21934"/>
    <cellStyle name="Normal 3 13" xfId="2784"/>
    <cellStyle name="Normal 3 13 2" xfId="4216"/>
    <cellStyle name="Normal 3 13 2 2" xfId="5841"/>
    <cellStyle name="Normal 3 13 2 2 2" xfId="8927"/>
    <cellStyle name="Normal 3 13 2 2 2 2" xfId="15120"/>
    <cellStyle name="Normal 3 13 2 2 2 2 2" xfId="34798"/>
    <cellStyle name="Normal 3 13 2 2 2 3" xfId="21272"/>
    <cellStyle name="Normal 3 13 2 2 2 3 2" xfId="40950"/>
    <cellStyle name="Normal 3 13 2 2 2 4" xfId="28634"/>
    <cellStyle name="Normal 3 13 2 2 3" xfId="12054"/>
    <cellStyle name="Normal 3 13 2 2 3 2" xfId="31732"/>
    <cellStyle name="Normal 3 13 2 2 4" xfId="18206"/>
    <cellStyle name="Normal 3 13 2 2 4 2" xfId="37884"/>
    <cellStyle name="Normal 3 13 2 2 5" xfId="25568"/>
    <cellStyle name="Normal 3 13 2 3" xfId="7392"/>
    <cellStyle name="Normal 3 13 2 3 2" xfId="13586"/>
    <cellStyle name="Normal 3 13 2 3 2 2" xfId="33264"/>
    <cellStyle name="Normal 3 13 2 3 3" xfId="19738"/>
    <cellStyle name="Normal 3 13 2 3 3 2" xfId="39416"/>
    <cellStyle name="Normal 3 13 2 3 4" xfId="27100"/>
    <cellStyle name="Normal 3 13 2 4" xfId="10520"/>
    <cellStyle name="Normal 3 13 2 4 2" xfId="30198"/>
    <cellStyle name="Normal 3 13 2 5" xfId="16672"/>
    <cellStyle name="Normal 3 13 2 5 2" xfId="36350"/>
    <cellStyle name="Normal 3 13 2 6" xfId="24034"/>
    <cellStyle name="Normal 3 13 3" xfId="5058"/>
    <cellStyle name="Normal 3 13 3 2" xfId="8158"/>
    <cellStyle name="Normal 3 13 3 2 2" xfId="14351"/>
    <cellStyle name="Normal 3 13 3 2 2 2" xfId="34029"/>
    <cellStyle name="Normal 3 13 3 2 3" xfId="20503"/>
    <cellStyle name="Normal 3 13 3 2 3 2" xfId="40181"/>
    <cellStyle name="Normal 3 13 3 2 4" xfId="27865"/>
    <cellStyle name="Normal 3 13 3 3" xfId="11285"/>
    <cellStyle name="Normal 3 13 3 3 2" xfId="30963"/>
    <cellStyle name="Normal 3 13 3 4" xfId="17437"/>
    <cellStyle name="Normal 3 13 3 4 2" xfId="37115"/>
    <cellStyle name="Normal 3 13 3 5" xfId="24799"/>
    <cellStyle name="Normal 3 13 4" xfId="6623"/>
    <cellStyle name="Normal 3 13 4 2" xfId="12817"/>
    <cellStyle name="Normal 3 13 4 2 2" xfId="32495"/>
    <cellStyle name="Normal 3 13 4 3" xfId="18969"/>
    <cellStyle name="Normal 3 13 4 3 2" xfId="38647"/>
    <cellStyle name="Normal 3 13 4 4" xfId="26331"/>
    <cellStyle name="Normal 3 13 5" xfId="9751"/>
    <cellStyle name="Normal 3 13 5 2" xfId="29429"/>
    <cellStyle name="Normal 3 13 6" xfId="15903"/>
    <cellStyle name="Normal 3 13 6 2" xfId="35581"/>
    <cellStyle name="Normal 3 13 7" xfId="23208"/>
    <cellStyle name="Normal 3 13 8" xfId="21945"/>
    <cellStyle name="Normal 3 14" xfId="2785"/>
    <cellStyle name="Normal 3 14 2" xfId="4217"/>
    <cellStyle name="Normal 3 14 2 2" xfId="5842"/>
    <cellStyle name="Normal 3 14 2 2 2" xfId="8928"/>
    <cellStyle name="Normal 3 14 2 2 2 2" xfId="15121"/>
    <cellStyle name="Normal 3 14 2 2 2 2 2" xfId="34799"/>
    <cellStyle name="Normal 3 14 2 2 2 3" xfId="21273"/>
    <cellStyle name="Normal 3 14 2 2 2 3 2" xfId="40951"/>
    <cellStyle name="Normal 3 14 2 2 2 4" xfId="28635"/>
    <cellStyle name="Normal 3 14 2 2 3" xfId="12055"/>
    <cellStyle name="Normal 3 14 2 2 3 2" xfId="31733"/>
    <cellStyle name="Normal 3 14 2 2 4" xfId="18207"/>
    <cellStyle name="Normal 3 14 2 2 4 2" xfId="37885"/>
    <cellStyle name="Normal 3 14 2 2 5" xfId="25569"/>
    <cellStyle name="Normal 3 14 2 3" xfId="7393"/>
    <cellStyle name="Normal 3 14 2 3 2" xfId="13587"/>
    <cellStyle name="Normal 3 14 2 3 2 2" xfId="33265"/>
    <cellStyle name="Normal 3 14 2 3 3" xfId="19739"/>
    <cellStyle name="Normal 3 14 2 3 3 2" xfId="39417"/>
    <cellStyle name="Normal 3 14 2 3 4" xfId="27101"/>
    <cellStyle name="Normal 3 14 2 4" xfId="10521"/>
    <cellStyle name="Normal 3 14 2 4 2" xfId="30199"/>
    <cellStyle name="Normal 3 14 2 5" xfId="16673"/>
    <cellStyle name="Normal 3 14 2 5 2" xfId="36351"/>
    <cellStyle name="Normal 3 14 2 6" xfId="24035"/>
    <cellStyle name="Normal 3 14 3" xfId="5059"/>
    <cellStyle name="Normal 3 14 3 2" xfId="8159"/>
    <cellStyle name="Normal 3 14 3 2 2" xfId="14352"/>
    <cellStyle name="Normal 3 14 3 2 2 2" xfId="34030"/>
    <cellStyle name="Normal 3 14 3 2 3" xfId="20504"/>
    <cellStyle name="Normal 3 14 3 2 3 2" xfId="40182"/>
    <cellStyle name="Normal 3 14 3 2 4" xfId="27866"/>
    <cellStyle name="Normal 3 14 3 3" xfId="11286"/>
    <cellStyle name="Normal 3 14 3 3 2" xfId="30964"/>
    <cellStyle name="Normal 3 14 3 4" xfId="17438"/>
    <cellStyle name="Normal 3 14 3 4 2" xfId="37116"/>
    <cellStyle name="Normal 3 14 3 5" xfId="24800"/>
    <cellStyle name="Normal 3 14 4" xfId="6624"/>
    <cellStyle name="Normal 3 14 4 2" xfId="12818"/>
    <cellStyle name="Normal 3 14 4 2 2" xfId="32496"/>
    <cellStyle name="Normal 3 14 4 3" xfId="18970"/>
    <cellStyle name="Normal 3 14 4 3 2" xfId="38648"/>
    <cellStyle name="Normal 3 14 4 4" xfId="26332"/>
    <cellStyle name="Normal 3 14 5" xfId="9752"/>
    <cellStyle name="Normal 3 14 5 2" xfId="29430"/>
    <cellStyle name="Normal 3 14 6" xfId="15904"/>
    <cellStyle name="Normal 3 14 6 2" xfId="35582"/>
    <cellStyle name="Normal 3 14 7" xfId="23209"/>
    <cellStyle name="Normal 3 14 8" xfId="21956"/>
    <cellStyle name="Normal 3 15" xfId="2786"/>
    <cellStyle name="Normal 3 15 2" xfId="4218"/>
    <cellStyle name="Normal 3 15 2 2" xfId="5843"/>
    <cellStyle name="Normal 3 15 2 2 2" xfId="8929"/>
    <cellStyle name="Normal 3 15 2 2 2 2" xfId="15122"/>
    <cellStyle name="Normal 3 15 2 2 2 2 2" xfId="34800"/>
    <cellStyle name="Normal 3 15 2 2 2 3" xfId="21274"/>
    <cellStyle name="Normal 3 15 2 2 2 3 2" xfId="40952"/>
    <cellStyle name="Normal 3 15 2 2 2 4" xfId="28636"/>
    <cellStyle name="Normal 3 15 2 2 3" xfId="12056"/>
    <cellStyle name="Normal 3 15 2 2 3 2" xfId="31734"/>
    <cellStyle name="Normal 3 15 2 2 4" xfId="18208"/>
    <cellStyle name="Normal 3 15 2 2 4 2" xfId="37886"/>
    <cellStyle name="Normal 3 15 2 2 5" xfId="25570"/>
    <cellStyle name="Normal 3 15 2 3" xfId="7394"/>
    <cellStyle name="Normal 3 15 2 3 2" xfId="13588"/>
    <cellStyle name="Normal 3 15 2 3 2 2" xfId="33266"/>
    <cellStyle name="Normal 3 15 2 3 3" xfId="19740"/>
    <cellStyle name="Normal 3 15 2 3 3 2" xfId="39418"/>
    <cellStyle name="Normal 3 15 2 3 4" xfId="27102"/>
    <cellStyle name="Normal 3 15 2 4" xfId="10522"/>
    <cellStyle name="Normal 3 15 2 4 2" xfId="30200"/>
    <cellStyle name="Normal 3 15 2 5" xfId="16674"/>
    <cellStyle name="Normal 3 15 2 5 2" xfId="36352"/>
    <cellStyle name="Normal 3 15 2 6" xfId="24036"/>
    <cellStyle name="Normal 3 15 3" xfId="5060"/>
    <cellStyle name="Normal 3 15 3 2" xfId="8160"/>
    <cellStyle name="Normal 3 15 3 2 2" xfId="14353"/>
    <cellStyle name="Normal 3 15 3 2 2 2" xfId="34031"/>
    <cellStyle name="Normal 3 15 3 2 3" xfId="20505"/>
    <cellStyle name="Normal 3 15 3 2 3 2" xfId="40183"/>
    <cellStyle name="Normal 3 15 3 2 4" xfId="27867"/>
    <cellStyle name="Normal 3 15 3 3" xfId="11287"/>
    <cellStyle name="Normal 3 15 3 3 2" xfId="30965"/>
    <cellStyle name="Normal 3 15 3 4" xfId="17439"/>
    <cellStyle name="Normal 3 15 3 4 2" xfId="37117"/>
    <cellStyle name="Normal 3 15 3 5" xfId="24801"/>
    <cellStyle name="Normal 3 15 4" xfId="6625"/>
    <cellStyle name="Normal 3 15 4 2" xfId="12819"/>
    <cellStyle name="Normal 3 15 4 2 2" xfId="32497"/>
    <cellStyle name="Normal 3 15 4 3" xfId="18971"/>
    <cellStyle name="Normal 3 15 4 3 2" xfId="38649"/>
    <cellStyle name="Normal 3 15 4 4" xfId="26333"/>
    <cellStyle name="Normal 3 15 5" xfId="9753"/>
    <cellStyle name="Normal 3 15 5 2" xfId="29431"/>
    <cellStyle name="Normal 3 15 6" xfId="15905"/>
    <cellStyle name="Normal 3 15 6 2" xfId="35583"/>
    <cellStyle name="Normal 3 15 7" xfId="23210"/>
    <cellStyle name="Normal 3 15 8" xfId="21966"/>
    <cellStyle name="Normal 3 16" xfId="2787"/>
    <cellStyle name="Normal 3 16 2" xfId="4219"/>
    <cellStyle name="Normal 3 16 2 2" xfId="5844"/>
    <cellStyle name="Normal 3 16 2 2 2" xfId="8930"/>
    <cellStyle name="Normal 3 16 2 2 2 2" xfId="15123"/>
    <cellStyle name="Normal 3 16 2 2 2 2 2" xfId="34801"/>
    <cellStyle name="Normal 3 16 2 2 2 3" xfId="21275"/>
    <cellStyle name="Normal 3 16 2 2 2 3 2" xfId="40953"/>
    <cellStyle name="Normal 3 16 2 2 2 4" xfId="28637"/>
    <cellStyle name="Normal 3 16 2 2 3" xfId="12057"/>
    <cellStyle name="Normal 3 16 2 2 3 2" xfId="31735"/>
    <cellStyle name="Normal 3 16 2 2 4" xfId="18209"/>
    <cellStyle name="Normal 3 16 2 2 4 2" xfId="37887"/>
    <cellStyle name="Normal 3 16 2 2 5" xfId="25571"/>
    <cellStyle name="Normal 3 16 2 3" xfId="7395"/>
    <cellStyle name="Normal 3 16 2 3 2" xfId="13589"/>
    <cellStyle name="Normal 3 16 2 3 2 2" xfId="33267"/>
    <cellStyle name="Normal 3 16 2 3 3" xfId="19741"/>
    <cellStyle name="Normal 3 16 2 3 3 2" xfId="39419"/>
    <cellStyle name="Normal 3 16 2 3 4" xfId="27103"/>
    <cellStyle name="Normal 3 16 2 4" xfId="10523"/>
    <cellStyle name="Normal 3 16 2 4 2" xfId="30201"/>
    <cellStyle name="Normal 3 16 2 5" xfId="16675"/>
    <cellStyle name="Normal 3 16 2 5 2" xfId="36353"/>
    <cellStyle name="Normal 3 16 2 6" xfId="24037"/>
    <cellStyle name="Normal 3 16 3" xfId="5061"/>
    <cellStyle name="Normal 3 16 3 2" xfId="8161"/>
    <cellStyle name="Normal 3 16 3 2 2" xfId="14354"/>
    <cellStyle name="Normal 3 16 3 2 2 2" xfId="34032"/>
    <cellStyle name="Normal 3 16 3 2 3" xfId="20506"/>
    <cellStyle name="Normal 3 16 3 2 3 2" xfId="40184"/>
    <cellStyle name="Normal 3 16 3 2 4" xfId="27868"/>
    <cellStyle name="Normal 3 16 3 3" xfId="11288"/>
    <cellStyle name="Normal 3 16 3 3 2" xfId="30966"/>
    <cellStyle name="Normal 3 16 3 4" xfId="17440"/>
    <cellStyle name="Normal 3 16 3 4 2" xfId="37118"/>
    <cellStyle name="Normal 3 16 3 5" xfId="24802"/>
    <cellStyle name="Normal 3 16 4" xfId="6626"/>
    <cellStyle name="Normal 3 16 4 2" xfId="12820"/>
    <cellStyle name="Normal 3 16 4 2 2" xfId="32498"/>
    <cellStyle name="Normal 3 16 4 3" xfId="18972"/>
    <cellStyle name="Normal 3 16 4 3 2" xfId="38650"/>
    <cellStyle name="Normal 3 16 4 4" xfId="26334"/>
    <cellStyle name="Normal 3 16 5" xfId="9754"/>
    <cellStyle name="Normal 3 16 5 2" xfId="29432"/>
    <cellStyle name="Normal 3 16 6" xfId="15906"/>
    <cellStyle name="Normal 3 16 6 2" xfId="35584"/>
    <cellStyle name="Normal 3 16 7" xfId="23211"/>
    <cellStyle name="Normal 3 16 8" xfId="21973"/>
    <cellStyle name="Normal 3 17" xfId="2788"/>
    <cellStyle name="Normal 3 17 2" xfId="4220"/>
    <cellStyle name="Normal 3 17 2 2" xfId="5845"/>
    <cellStyle name="Normal 3 17 2 2 2" xfId="8931"/>
    <cellStyle name="Normal 3 17 2 2 2 2" xfId="15124"/>
    <cellStyle name="Normal 3 17 2 2 2 2 2" xfId="34802"/>
    <cellStyle name="Normal 3 17 2 2 2 3" xfId="21276"/>
    <cellStyle name="Normal 3 17 2 2 2 3 2" xfId="40954"/>
    <cellStyle name="Normal 3 17 2 2 2 4" xfId="28638"/>
    <cellStyle name="Normal 3 17 2 2 3" xfId="12058"/>
    <cellStyle name="Normal 3 17 2 2 3 2" xfId="31736"/>
    <cellStyle name="Normal 3 17 2 2 4" xfId="18210"/>
    <cellStyle name="Normal 3 17 2 2 4 2" xfId="37888"/>
    <cellStyle name="Normal 3 17 2 2 5" xfId="25572"/>
    <cellStyle name="Normal 3 17 2 3" xfId="7396"/>
    <cellStyle name="Normal 3 17 2 3 2" xfId="13590"/>
    <cellStyle name="Normal 3 17 2 3 2 2" xfId="33268"/>
    <cellStyle name="Normal 3 17 2 3 3" xfId="19742"/>
    <cellStyle name="Normal 3 17 2 3 3 2" xfId="39420"/>
    <cellStyle name="Normal 3 17 2 3 4" xfId="27104"/>
    <cellStyle name="Normal 3 17 2 4" xfId="10524"/>
    <cellStyle name="Normal 3 17 2 4 2" xfId="30202"/>
    <cellStyle name="Normal 3 17 2 5" xfId="16676"/>
    <cellStyle name="Normal 3 17 2 5 2" xfId="36354"/>
    <cellStyle name="Normal 3 17 2 6" xfId="24038"/>
    <cellStyle name="Normal 3 17 3" xfId="5062"/>
    <cellStyle name="Normal 3 17 3 2" xfId="8162"/>
    <cellStyle name="Normal 3 17 3 2 2" xfId="14355"/>
    <cellStyle name="Normal 3 17 3 2 2 2" xfId="34033"/>
    <cellStyle name="Normal 3 17 3 2 3" xfId="20507"/>
    <cellStyle name="Normal 3 17 3 2 3 2" xfId="40185"/>
    <cellStyle name="Normal 3 17 3 2 4" xfId="27869"/>
    <cellStyle name="Normal 3 17 3 3" xfId="11289"/>
    <cellStyle name="Normal 3 17 3 3 2" xfId="30967"/>
    <cellStyle name="Normal 3 17 3 4" xfId="17441"/>
    <cellStyle name="Normal 3 17 3 4 2" xfId="37119"/>
    <cellStyle name="Normal 3 17 3 5" xfId="24803"/>
    <cellStyle name="Normal 3 17 4" xfId="6627"/>
    <cellStyle name="Normal 3 17 4 2" xfId="12821"/>
    <cellStyle name="Normal 3 17 4 2 2" xfId="32499"/>
    <cellStyle name="Normal 3 17 4 3" xfId="18973"/>
    <cellStyle name="Normal 3 17 4 3 2" xfId="38651"/>
    <cellStyle name="Normal 3 17 4 4" xfId="26335"/>
    <cellStyle name="Normal 3 17 5" xfId="9755"/>
    <cellStyle name="Normal 3 17 5 2" xfId="29433"/>
    <cellStyle name="Normal 3 17 6" xfId="15907"/>
    <cellStyle name="Normal 3 17 6 2" xfId="35585"/>
    <cellStyle name="Normal 3 17 7" xfId="23212"/>
    <cellStyle name="Normal 3 17 8" xfId="21951"/>
    <cellStyle name="Normal 3 18" xfId="2789"/>
    <cellStyle name="Normal 3 18 2" xfId="4221"/>
    <cellStyle name="Normal 3 18 2 2" xfId="5846"/>
    <cellStyle name="Normal 3 18 2 2 2" xfId="8932"/>
    <cellStyle name="Normal 3 18 2 2 2 2" xfId="15125"/>
    <cellStyle name="Normal 3 18 2 2 2 2 2" xfId="34803"/>
    <cellStyle name="Normal 3 18 2 2 2 3" xfId="21277"/>
    <cellStyle name="Normal 3 18 2 2 2 3 2" xfId="40955"/>
    <cellStyle name="Normal 3 18 2 2 2 4" xfId="28639"/>
    <cellStyle name="Normal 3 18 2 2 3" xfId="12059"/>
    <cellStyle name="Normal 3 18 2 2 3 2" xfId="31737"/>
    <cellStyle name="Normal 3 18 2 2 4" xfId="18211"/>
    <cellStyle name="Normal 3 18 2 2 4 2" xfId="37889"/>
    <cellStyle name="Normal 3 18 2 2 5" xfId="25573"/>
    <cellStyle name="Normal 3 18 2 3" xfId="7397"/>
    <cellStyle name="Normal 3 18 2 3 2" xfId="13591"/>
    <cellStyle name="Normal 3 18 2 3 2 2" xfId="33269"/>
    <cellStyle name="Normal 3 18 2 3 3" xfId="19743"/>
    <cellStyle name="Normal 3 18 2 3 3 2" xfId="39421"/>
    <cellStyle name="Normal 3 18 2 3 4" xfId="27105"/>
    <cellStyle name="Normal 3 18 2 4" xfId="10525"/>
    <cellStyle name="Normal 3 18 2 4 2" xfId="30203"/>
    <cellStyle name="Normal 3 18 2 5" xfId="16677"/>
    <cellStyle name="Normal 3 18 2 5 2" xfId="36355"/>
    <cellStyle name="Normal 3 18 2 6" xfId="24039"/>
    <cellStyle name="Normal 3 18 3" xfId="5063"/>
    <cellStyle name="Normal 3 18 3 2" xfId="8163"/>
    <cellStyle name="Normal 3 18 3 2 2" xfId="14356"/>
    <cellStyle name="Normal 3 18 3 2 2 2" xfId="34034"/>
    <cellStyle name="Normal 3 18 3 2 3" xfId="20508"/>
    <cellStyle name="Normal 3 18 3 2 3 2" xfId="40186"/>
    <cellStyle name="Normal 3 18 3 2 4" xfId="27870"/>
    <cellStyle name="Normal 3 18 3 3" xfId="11290"/>
    <cellStyle name="Normal 3 18 3 3 2" xfId="30968"/>
    <cellStyle name="Normal 3 18 3 4" xfId="17442"/>
    <cellStyle name="Normal 3 18 3 4 2" xfId="37120"/>
    <cellStyle name="Normal 3 18 3 5" xfId="24804"/>
    <cellStyle name="Normal 3 18 4" xfId="6628"/>
    <cellStyle name="Normal 3 18 4 2" xfId="12822"/>
    <cellStyle name="Normal 3 18 4 2 2" xfId="32500"/>
    <cellStyle name="Normal 3 18 4 3" xfId="18974"/>
    <cellStyle name="Normal 3 18 4 3 2" xfId="38652"/>
    <cellStyle name="Normal 3 18 4 4" xfId="26336"/>
    <cellStyle name="Normal 3 18 5" xfId="9756"/>
    <cellStyle name="Normal 3 18 5 2" xfId="29434"/>
    <cellStyle name="Normal 3 18 6" xfId="15908"/>
    <cellStyle name="Normal 3 18 6 2" xfId="35586"/>
    <cellStyle name="Normal 3 18 7" xfId="23213"/>
    <cellStyle name="Normal 3 18 8" xfId="21985"/>
    <cellStyle name="Normal 3 19" xfId="2790"/>
    <cellStyle name="Normal 3 19 2" xfId="4222"/>
    <cellStyle name="Normal 3 19 2 2" xfId="5847"/>
    <cellStyle name="Normal 3 19 2 2 2" xfId="8933"/>
    <cellStyle name="Normal 3 19 2 2 2 2" xfId="15126"/>
    <cellStyle name="Normal 3 19 2 2 2 2 2" xfId="34804"/>
    <cellStyle name="Normal 3 19 2 2 2 3" xfId="21278"/>
    <cellStyle name="Normal 3 19 2 2 2 3 2" xfId="40956"/>
    <cellStyle name="Normal 3 19 2 2 2 4" xfId="28640"/>
    <cellStyle name="Normal 3 19 2 2 3" xfId="12060"/>
    <cellStyle name="Normal 3 19 2 2 3 2" xfId="31738"/>
    <cellStyle name="Normal 3 19 2 2 4" xfId="18212"/>
    <cellStyle name="Normal 3 19 2 2 4 2" xfId="37890"/>
    <cellStyle name="Normal 3 19 2 2 5" xfId="25574"/>
    <cellStyle name="Normal 3 19 2 3" xfId="7398"/>
    <cellStyle name="Normal 3 19 2 3 2" xfId="13592"/>
    <cellStyle name="Normal 3 19 2 3 2 2" xfId="33270"/>
    <cellStyle name="Normal 3 19 2 3 3" xfId="19744"/>
    <cellStyle name="Normal 3 19 2 3 3 2" xfId="39422"/>
    <cellStyle name="Normal 3 19 2 3 4" xfId="27106"/>
    <cellStyle name="Normal 3 19 2 4" xfId="10526"/>
    <cellStyle name="Normal 3 19 2 4 2" xfId="30204"/>
    <cellStyle name="Normal 3 19 2 5" xfId="16678"/>
    <cellStyle name="Normal 3 19 2 5 2" xfId="36356"/>
    <cellStyle name="Normal 3 19 2 6" xfId="24040"/>
    <cellStyle name="Normal 3 19 3" xfId="5064"/>
    <cellStyle name="Normal 3 19 3 2" xfId="8164"/>
    <cellStyle name="Normal 3 19 3 2 2" xfId="14357"/>
    <cellStyle name="Normal 3 19 3 2 2 2" xfId="34035"/>
    <cellStyle name="Normal 3 19 3 2 3" xfId="20509"/>
    <cellStyle name="Normal 3 19 3 2 3 2" xfId="40187"/>
    <cellStyle name="Normal 3 19 3 2 4" xfId="27871"/>
    <cellStyle name="Normal 3 19 3 3" xfId="11291"/>
    <cellStyle name="Normal 3 19 3 3 2" xfId="30969"/>
    <cellStyle name="Normal 3 19 3 4" xfId="17443"/>
    <cellStyle name="Normal 3 19 3 4 2" xfId="37121"/>
    <cellStyle name="Normal 3 19 3 5" xfId="24805"/>
    <cellStyle name="Normal 3 19 4" xfId="6629"/>
    <cellStyle name="Normal 3 19 4 2" xfId="12823"/>
    <cellStyle name="Normal 3 19 4 2 2" xfId="32501"/>
    <cellStyle name="Normal 3 19 4 3" xfId="18975"/>
    <cellStyle name="Normal 3 19 4 3 2" xfId="38653"/>
    <cellStyle name="Normal 3 19 4 4" xfId="26337"/>
    <cellStyle name="Normal 3 19 5" xfId="9757"/>
    <cellStyle name="Normal 3 19 5 2" xfId="29435"/>
    <cellStyle name="Normal 3 19 6" xfId="15909"/>
    <cellStyle name="Normal 3 19 6 2" xfId="35587"/>
    <cellStyle name="Normal 3 19 7" xfId="23214"/>
    <cellStyle name="Normal 3 19 8" xfId="21983"/>
    <cellStyle name="Normal 3 2" xfId="40"/>
    <cellStyle name="Normal 3 2 2" xfId="2791"/>
    <cellStyle name="Normal 3 2 2 2" xfId="4223"/>
    <cellStyle name="Normal 3 2 2 2 2" xfId="5848"/>
    <cellStyle name="Normal 3 2 2 2 2 2" xfId="8934"/>
    <cellStyle name="Normal 3 2 2 2 2 2 2" xfId="15127"/>
    <cellStyle name="Normal 3 2 2 2 2 2 2 2" xfId="34805"/>
    <cellStyle name="Normal 3 2 2 2 2 2 3" xfId="21279"/>
    <cellStyle name="Normal 3 2 2 2 2 2 3 2" xfId="40957"/>
    <cellStyle name="Normal 3 2 2 2 2 2 4" xfId="28641"/>
    <cellStyle name="Normal 3 2 2 2 2 3" xfId="12061"/>
    <cellStyle name="Normal 3 2 2 2 2 3 2" xfId="31739"/>
    <cellStyle name="Normal 3 2 2 2 2 4" xfId="18213"/>
    <cellStyle name="Normal 3 2 2 2 2 4 2" xfId="37891"/>
    <cellStyle name="Normal 3 2 2 2 2 5" xfId="25575"/>
    <cellStyle name="Normal 3 2 2 2 3" xfId="7399"/>
    <cellStyle name="Normal 3 2 2 2 3 2" xfId="13593"/>
    <cellStyle name="Normal 3 2 2 2 3 2 2" xfId="33271"/>
    <cellStyle name="Normal 3 2 2 2 3 3" xfId="19745"/>
    <cellStyle name="Normal 3 2 2 2 3 3 2" xfId="39423"/>
    <cellStyle name="Normal 3 2 2 2 3 4" xfId="27107"/>
    <cellStyle name="Normal 3 2 2 2 4" xfId="10527"/>
    <cellStyle name="Normal 3 2 2 2 4 2" xfId="30205"/>
    <cellStyle name="Normal 3 2 2 2 5" xfId="16679"/>
    <cellStyle name="Normal 3 2 2 2 5 2" xfId="36357"/>
    <cellStyle name="Normal 3 2 2 2 6" xfId="42002"/>
    <cellStyle name="Normal 3 2 2 2 7" xfId="24041"/>
    <cellStyle name="Normal 3 2 2 3" xfId="5065"/>
    <cellStyle name="Normal 3 2 2 3 2" xfId="8165"/>
    <cellStyle name="Normal 3 2 2 3 2 2" xfId="14358"/>
    <cellStyle name="Normal 3 2 2 3 2 2 2" xfId="34036"/>
    <cellStyle name="Normal 3 2 2 3 2 3" xfId="20510"/>
    <cellStyle name="Normal 3 2 2 3 2 3 2" xfId="40188"/>
    <cellStyle name="Normal 3 2 2 3 2 4" xfId="27872"/>
    <cellStyle name="Normal 3 2 2 3 3" xfId="11292"/>
    <cellStyle name="Normal 3 2 2 3 3 2" xfId="30970"/>
    <cellStyle name="Normal 3 2 2 3 4" xfId="17444"/>
    <cellStyle name="Normal 3 2 2 3 4 2" xfId="37122"/>
    <cellStyle name="Normal 3 2 2 3 5" xfId="42003"/>
    <cellStyle name="Normal 3 2 2 3 6" xfId="24806"/>
    <cellStyle name="Normal 3 2 2 4" xfId="6630"/>
    <cellStyle name="Normal 3 2 2 4 2" xfId="12824"/>
    <cellStyle name="Normal 3 2 2 4 2 2" xfId="32502"/>
    <cellStyle name="Normal 3 2 2 4 3" xfId="18976"/>
    <cellStyle name="Normal 3 2 2 4 3 2" xfId="38654"/>
    <cellStyle name="Normal 3 2 2 4 4" xfId="26338"/>
    <cellStyle name="Normal 3 2 2 5" xfId="9758"/>
    <cellStyle name="Normal 3 2 2 5 2" xfId="29436"/>
    <cellStyle name="Normal 3 2 2 6" xfId="15910"/>
    <cellStyle name="Normal 3 2 2 6 2" xfId="35588"/>
    <cellStyle name="Normal 3 2 2 7" xfId="42001"/>
    <cellStyle name="Normal 3 2 2 8" xfId="23216"/>
    <cellStyle name="Normal 3 2 3" xfId="2792"/>
    <cellStyle name="Normal 3 2 3 2" xfId="4224"/>
    <cellStyle name="Normal 3 2 3 2 2" xfId="5849"/>
    <cellStyle name="Normal 3 2 3 2 2 2" xfId="8935"/>
    <cellStyle name="Normal 3 2 3 2 2 2 2" xfId="15128"/>
    <cellStyle name="Normal 3 2 3 2 2 2 2 2" xfId="34806"/>
    <cellStyle name="Normal 3 2 3 2 2 2 3" xfId="21280"/>
    <cellStyle name="Normal 3 2 3 2 2 2 3 2" xfId="40958"/>
    <cellStyle name="Normal 3 2 3 2 2 2 4" xfId="28642"/>
    <cellStyle name="Normal 3 2 3 2 2 3" xfId="12062"/>
    <cellStyle name="Normal 3 2 3 2 2 3 2" xfId="31740"/>
    <cellStyle name="Normal 3 2 3 2 2 4" xfId="18214"/>
    <cellStyle name="Normal 3 2 3 2 2 4 2" xfId="37892"/>
    <cellStyle name="Normal 3 2 3 2 2 5" xfId="25576"/>
    <cellStyle name="Normal 3 2 3 2 3" xfId="7400"/>
    <cellStyle name="Normal 3 2 3 2 3 2" xfId="13594"/>
    <cellStyle name="Normal 3 2 3 2 3 2 2" xfId="33272"/>
    <cellStyle name="Normal 3 2 3 2 3 3" xfId="19746"/>
    <cellStyle name="Normal 3 2 3 2 3 3 2" xfId="39424"/>
    <cellStyle name="Normal 3 2 3 2 3 4" xfId="27108"/>
    <cellStyle name="Normal 3 2 3 2 4" xfId="10528"/>
    <cellStyle name="Normal 3 2 3 2 4 2" xfId="30206"/>
    <cellStyle name="Normal 3 2 3 2 5" xfId="16680"/>
    <cellStyle name="Normal 3 2 3 2 5 2" xfId="36358"/>
    <cellStyle name="Normal 3 2 3 2 6" xfId="42005"/>
    <cellStyle name="Normal 3 2 3 2 7" xfId="24042"/>
    <cellStyle name="Normal 3 2 3 3" xfId="5066"/>
    <cellStyle name="Normal 3 2 3 3 2" xfId="8166"/>
    <cellStyle name="Normal 3 2 3 3 2 2" xfId="14359"/>
    <cellStyle name="Normal 3 2 3 3 2 2 2" xfId="34037"/>
    <cellStyle name="Normal 3 2 3 3 2 3" xfId="20511"/>
    <cellStyle name="Normal 3 2 3 3 2 3 2" xfId="40189"/>
    <cellStyle name="Normal 3 2 3 3 2 4" xfId="27873"/>
    <cellStyle name="Normal 3 2 3 3 3" xfId="11293"/>
    <cellStyle name="Normal 3 2 3 3 3 2" xfId="30971"/>
    <cellStyle name="Normal 3 2 3 3 4" xfId="17445"/>
    <cellStyle name="Normal 3 2 3 3 4 2" xfId="37123"/>
    <cellStyle name="Normal 3 2 3 3 5" xfId="42006"/>
    <cellStyle name="Normal 3 2 3 3 6" xfId="24807"/>
    <cellStyle name="Normal 3 2 3 4" xfId="6631"/>
    <cellStyle name="Normal 3 2 3 4 2" xfId="12825"/>
    <cellStyle name="Normal 3 2 3 4 2 2" xfId="32503"/>
    <cellStyle name="Normal 3 2 3 4 3" xfId="18977"/>
    <cellStyle name="Normal 3 2 3 4 3 2" xfId="38655"/>
    <cellStyle name="Normal 3 2 3 4 4" xfId="26339"/>
    <cellStyle name="Normal 3 2 3 5" xfId="9759"/>
    <cellStyle name="Normal 3 2 3 5 2" xfId="29437"/>
    <cellStyle name="Normal 3 2 3 6" xfId="15911"/>
    <cellStyle name="Normal 3 2 3 6 2" xfId="35589"/>
    <cellStyle name="Normal 3 2 3 7" xfId="42004"/>
    <cellStyle name="Normal 3 2 3 8" xfId="23217"/>
    <cellStyle name="Normal 3 2 4" xfId="2793"/>
    <cellStyle name="Normal 3 2 4 2" xfId="4225"/>
    <cellStyle name="Normal 3 2 4 2 2" xfId="5850"/>
    <cellStyle name="Normal 3 2 4 2 2 2" xfId="8936"/>
    <cellStyle name="Normal 3 2 4 2 2 2 2" xfId="15129"/>
    <cellStyle name="Normal 3 2 4 2 2 2 2 2" xfId="34807"/>
    <cellStyle name="Normal 3 2 4 2 2 2 3" xfId="21281"/>
    <cellStyle name="Normal 3 2 4 2 2 2 3 2" xfId="40959"/>
    <cellStyle name="Normal 3 2 4 2 2 2 4" xfId="28643"/>
    <cellStyle name="Normal 3 2 4 2 2 3" xfId="12063"/>
    <cellStyle name="Normal 3 2 4 2 2 3 2" xfId="31741"/>
    <cellStyle name="Normal 3 2 4 2 2 4" xfId="18215"/>
    <cellStyle name="Normal 3 2 4 2 2 4 2" xfId="37893"/>
    <cellStyle name="Normal 3 2 4 2 2 5" xfId="25577"/>
    <cellStyle name="Normal 3 2 4 2 3" xfId="7401"/>
    <cellStyle name="Normal 3 2 4 2 3 2" xfId="13595"/>
    <cellStyle name="Normal 3 2 4 2 3 2 2" xfId="33273"/>
    <cellStyle name="Normal 3 2 4 2 3 3" xfId="19747"/>
    <cellStyle name="Normal 3 2 4 2 3 3 2" xfId="39425"/>
    <cellStyle name="Normal 3 2 4 2 3 4" xfId="27109"/>
    <cellStyle name="Normal 3 2 4 2 4" xfId="10529"/>
    <cellStyle name="Normal 3 2 4 2 4 2" xfId="30207"/>
    <cellStyle name="Normal 3 2 4 2 5" xfId="16681"/>
    <cellStyle name="Normal 3 2 4 2 5 2" xfId="36359"/>
    <cellStyle name="Normal 3 2 4 2 6" xfId="24043"/>
    <cellStyle name="Normal 3 2 4 3" xfId="5067"/>
    <cellStyle name="Normal 3 2 4 3 2" xfId="8167"/>
    <cellStyle name="Normal 3 2 4 3 2 2" xfId="14360"/>
    <cellStyle name="Normal 3 2 4 3 2 2 2" xfId="34038"/>
    <cellStyle name="Normal 3 2 4 3 2 3" xfId="20512"/>
    <cellStyle name="Normal 3 2 4 3 2 3 2" xfId="40190"/>
    <cellStyle name="Normal 3 2 4 3 2 4" xfId="27874"/>
    <cellStyle name="Normal 3 2 4 3 3" xfId="11294"/>
    <cellStyle name="Normal 3 2 4 3 3 2" xfId="30972"/>
    <cellStyle name="Normal 3 2 4 3 4" xfId="17446"/>
    <cellStyle name="Normal 3 2 4 3 4 2" xfId="37124"/>
    <cellStyle name="Normal 3 2 4 3 5" xfId="24808"/>
    <cellStyle name="Normal 3 2 4 4" xfId="6632"/>
    <cellStyle name="Normal 3 2 4 4 2" xfId="12826"/>
    <cellStyle name="Normal 3 2 4 4 2 2" xfId="32504"/>
    <cellStyle name="Normal 3 2 4 4 3" xfId="18978"/>
    <cellStyle name="Normal 3 2 4 4 3 2" xfId="38656"/>
    <cellStyle name="Normal 3 2 4 4 4" xfId="26340"/>
    <cellStyle name="Normal 3 2 4 5" xfId="9760"/>
    <cellStyle name="Normal 3 2 4 5 2" xfId="29438"/>
    <cellStyle name="Normal 3 2 4 6" xfId="15912"/>
    <cellStyle name="Normal 3 2 4 6 2" xfId="35590"/>
    <cellStyle name="Normal 3 2 4 7" xfId="42007"/>
    <cellStyle name="Normal 3 2 4 8" xfId="23218"/>
    <cellStyle name="Normal 3 2 5" xfId="2794"/>
    <cellStyle name="Normal 3 2 5 2" xfId="4226"/>
    <cellStyle name="Normal 3 2 5 2 2" xfId="5851"/>
    <cellStyle name="Normal 3 2 5 2 2 2" xfId="8937"/>
    <cellStyle name="Normal 3 2 5 2 2 2 2" xfId="15130"/>
    <cellStyle name="Normal 3 2 5 2 2 2 2 2" xfId="34808"/>
    <cellStyle name="Normal 3 2 5 2 2 2 3" xfId="21282"/>
    <cellStyle name="Normal 3 2 5 2 2 2 3 2" xfId="40960"/>
    <cellStyle name="Normal 3 2 5 2 2 2 4" xfId="28644"/>
    <cellStyle name="Normal 3 2 5 2 2 3" xfId="12064"/>
    <cellStyle name="Normal 3 2 5 2 2 3 2" xfId="31742"/>
    <cellStyle name="Normal 3 2 5 2 2 4" xfId="18216"/>
    <cellStyle name="Normal 3 2 5 2 2 4 2" xfId="37894"/>
    <cellStyle name="Normal 3 2 5 2 2 5" xfId="25578"/>
    <cellStyle name="Normal 3 2 5 2 3" xfId="7402"/>
    <cellStyle name="Normal 3 2 5 2 3 2" xfId="13596"/>
    <cellStyle name="Normal 3 2 5 2 3 2 2" xfId="33274"/>
    <cellStyle name="Normal 3 2 5 2 3 3" xfId="19748"/>
    <cellStyle name="Normal 3 2 5 2 3 3 2" xfId="39426"/>
    <cellStyle name="Normal 3 2 5 2 3 4" xfId="27110"/>
    <cellStyle name="Normal 3 2 5 2 4" xfId="10530"/>
    <cellStyle name="Normal 3 2 5 2 4 2" xfId="30208"/>
    <cellStyle name="Normal 3 2 5 2 5" xfId="16682"/>
    <cellStyle name="Normal 3 2 5 2 5 2" xfId="36360"/>
    <cellStyle name="Normal 3 2 5 2 6" xfId="24044"/>
    <cellStyle name="Normal 3 2 5 3" xfId="5068"/>
    <cellStyle name="Normal 3 2 5 3 2" xfId="8168"/>
    <cellStyle name="Normal 3 2 5 3 2 2" xfId="14361"/>
    <cellStyle name="Normal 3 2 5 3 2 2 2" xfId="34039"/>
    <cellStyle name="Normal 3 2 5 3 2 3" xfId="20513"/>
    <cellStyle name="Normal 3 2 5 3 2 3 2" xfId="40191"/>
    <cellStyle name="Normal 3 2 5 3 2 4" xfId="27875"/>
    <cellStyle name="Normal 3 2 5 3 3" xfId="11295"/>
    <cellStyle name="Normal 3 2 5 3 3 2" xfId="30973"/>
    <cellStyle name="Normal 3 2 5 3 4" xfId="17447"/>
    <cellStyle name="Normal 3 2 5 3 4 2" xfId="37125"/>
    <cellStyle name="Normal 3 2 5 3 5" xfId="24809"/>
    <cellStyle name="Normal 3 2 5 4" xfId="6633"/>
    <cellStyle name="Normal 3 2 5 4 2" xfId="12827"/>
    <cellStyle name="Normal 3 2 5 4 2 2" xfId="32505"/>
    <cellStyle name="Normal 3 2 5 4 3" xfId="18979"/>
    <cellStyle name="Normal 3 2 5 4 3 2" xfId="38657"/>
    <cellStyle name="Normal 3 2 5 4 4" xfId="26341"/>
    <cellStyle name="Normal 3 2 5 5" xfId="9761"/>
    <cellStyle name="Normal 3 2 5 5 2" xfId="29439"/>
    <cellStyle name="Normal 3 2 5 6" xfId="15913"/>
    <cellStyle name="Normal 3 2 5 6 2" xfId="35591"/>
    <cellStyle name="Normal 3 2 5 7" xfId="42008"/>
    <cellStyle name="Normal 3 2 5 8" xfId="23219"/>
    <cellStyle name="Normal 3 2 6" xfId="2795"/>
    <cellStyle name="Normal 3 2 6 2" xfId="4227"/>
    <cellStyle name="Normal 3 2 6 2 2" xfId="5852"/>
    <cellStyle name="Normal 3 2 6 2 2 2" xfId="8938"/>
    <cellStyle name="Normal 3 2 6 2 2 2 2" xfId="15131"/>
    <cellStyle name="Normal 3 2 6 2 2 2 2 2" xfId="34809"/>
    <cellStyle name="Normal 3 2 6 2 2 2 3" xfId="21283"/>
    <cellStyle name="Normal 3 2 6 2 2 2 3 2" xfId="40961"/>
    <cellStyle name="Normal 3 2 6 2 2 2 4" xfId="28645"/>
    <cellStyle name="Normal 3 2 6 2 2 3" xfId="12065"/>
    <cellStyle name="Normal 3 2 6 2 2 3 2" xfId="31743"/>
    <cellStyle name="Normal 3 2 6 2 2 4" xfId="18217"/>
    <cellStyle name="Normal 3 2 6 2 2 4 2" xfId="37895"/>
    <cellStyle name="Normal 3 2 6 2 2 5" xfId="25579"/>
    <cellStyle name="Normal 3 2 6 2 3" xfId="7403"/>
    <cellStyle name="Normal 3 2 6 2 3 2" xfId="13597"/>
    <cellStyle name="Normal 3 2 6 2 3 2 2" xfId="33275"/>
    <cellStyle name="Normal 3 2 6 2 3 3" xfId="19749"/>
    <cellStyle name="Normal 3 2 6 2 3 3 2" xfId="39427"/>
    <cellStyle name="Normal 3 2 6 2 3 4" xfId="27111"/>
    <cellStyle name="Normal 3 2 6 2 4" xfId="10531"/>
    <cellStyle name="Normal 3 2 6 2 4 2" xfId="30209"/>
    <cellStyle name="Normal 3 2 6 2 5" xfId="16683"/>
    <cellStyle name="Normal 3 2 6 2 5 2" xfId="36361"/>
    <cellStyle name="Normal 3 2 6 2 6" xfId="24045"/>
    <cellStyle name="Normal 3 2 6 3" xfId="5069"/>
    <cellStyle name="Normal 3 2 6 3 2" xfId="8169"/>
    <cellStyle name="Normal 3 2 6 3 2 2" xfId="14362"/>
    <cellStyle name="Normal 3 2 6 3 2 2 2" xfId="34040"/>
    <cellStyle name="Normal 3 2 6 3 2 3" xfId="20514"/>
    <cellStyle name="Normal 3 2 6 3 2 3 2" xfId="40192"/>
    <cellStyle name="Normal 3 2 6 3 2 4" xfId="27876"/>
    <cellStyle name="Normal 3 2 6 3 3" xfId="11296"/>
    <cellStyle name="Normal 3 2 6 3 3 2" xfId="30974"/>
    <cellStyle name="Normal 3 2 6 3 4" xfId="17448"/>
    <cellStyle name="Normal 3 2 6 3 4 2" xfId="37126"/>
    <cellStyle name="Normal 3 2 6 3 5" xfId="24810"/>
    <cellStyle name="Normal 3 2 6 4" xfId="6634"/>
    <cellStyle name="Normal 3 2 6 4 2" xfId="12828"/>
    <cellStyle name="Normal 3 2 6 4 2 2" xfId="32506"/>
    <cellStyle name="Normal 3 2 6 4 3" xfId="18980"/>
    <cellStyle name="Normal 3 2 6 4 3 2" xfId="38658"/>
    <cellStyle name="Normal 3 2 6 4 4" xfId="26342"/>
    <cellStyle name="Normal 3 2 6 5" xfId="9762"/>
    <cellStyle name="Normal 3 2 6 5 2" xfId="29440"/>
    <cellStyle name="Normal 3 2 6 6" xfId="15914"/>
    <cellStyle name="Normal 3 2 6 6 2" xfId="35592"/>
    <cellStyle name="Normal 3 2 6 7" xfId="23220"/>
    <cellStyle name="Normal 3 2 7" xfId="23215"/>
    <cellStyle name="Normal 3 2 8" xfId="21757"/>
    <cellStyle name="Normal 3 2 9" xfId="42000"/>
    <cellStyle name="Normal 3 20" xfId="2796"/>
    <cellStyle name="Normal 3 20 2" xfId="4228"/>
    <cellStyle name="Normal 3 20 2 2" xfId="5853"/>
    <cellStyle name="Normal 3 20 2 2 2" xfId="8939"/>
    <cellStyle name="Normal 3 20 2 2 2 2" xfId="15132"/>
    <cellStyle name="Normal 3 20 2 2 2 2 2" xfId="34810"/>
    <cellStyle name="Normal 3 20 2 2 2 3" xfId="21284"/>
    <cellStyle name="Normal 3 20 2 2 2 3 2" xfId="40962"/>
    <cellStyle name="Normal 3 20 2 2 2 4" xfId="28646"/>
    <cellStyle name="Normal 3 20 2 2 3" xfId="12066"/>
    <cellStyle name="Normal 3 20 2 2 3 2" xfId="31744"/>
    <cellStyle name="Normal 3 20 2 2 4" xfId="18218"/>
    <cellStyle name="Normal 3 20 2 2 4 2" xfId="37896"/>
    <cellStyle name="Normal 3 20 2 2 5" xfId="25580"/>
    <cellStyle name="Normal 3 20 2 3" xfId="7404"/>
    <cellStyle name="Normal 3 20 2 3 2" xfId="13598"/>
    <cellStyle name="Normal 3 20 2 3 2 2" xfId="33276"/>
    <cellStyle name="Normal 3 20 2 3 3" xfId="19750"/>
    <cellStyle name="Normal 3 20 2 3 3 2" xfId="39428"/>
    <cellStyle name="Normal 3 20 2 3 4" xfId="27112"/>
    <cellStyle name="Normal 3 20 2 4" xfId="10532"/>
    <cellStyle name="Normal 3 20 2 4 2" xfId="30210"/>
    <cellStyle name="Normal 3 20 2 5" xfId="16684"/>
    <cellStyle name="Normal 3 20 2 5 2" xfId="36362"/>
    <cellStyle name="Normal 3 20 2 6" xfId="24046"/>
    <cellStyle name="Normal 3 20 3" xfId="5070"/>
    <cellStyle name="Normal 3 20 3 2" xfId="8170"/>
    <cellStyle name="Normal 3 20 3 2 2" xfId="14363"/>
    <cellStyle name="Normal 3 20 3 2 2 2" xfId="34041"/>
    <cellStyle name="Normal 3 20 3 2 3" xfId="20515"/>
    <cellStyle name="Normal 3 20 3 2 3 2" xfId="40193"/>
    <cellStyle name="Normal 3 20 3 2 4" xfId="27877"/>
    <cellStyle name="Normal 3 20 3 3" xfId="11297"/>
    <cellStyle name="Normal 3 20 3 3 2" xfId="30975"/>
    <cellStyle name="Normal 3 20 3 4" xfId="17449"/>
    <cellStyle name="Normal 3 20 3 4 2" xfId="37127"/>
    <cellStyle name="Normal 3 20 3 5" xfId="24811"/>
    <cellStyle name="Normal 3 20 4" xfId="6635"/>
    <cellStyle name="Normal 3 20 4 2" xfId="12829"/>
    <cellStyle name="Normal 3 20 4 2 2" xfId="32507"/>
    <cellStyle name="Normal 3 20 4 3" xfId="18981"/>
    <cellStyle name="Normal 3 20 4 3 2" xfId="38659"/>
    <cellStyle name="Normal 3 20 4 4" xfId="26343"/>
    <cellStyle name="Normal 3 20 5" xfId="9763"/>
    <cellStyle name="Normal 3 20 5 2" xfId="29441"/>
    <cellStyle name="Normal 3 20 6" xfId="15915"/>
    <cellStyle name="Normal 3 20 6 2" xfId="35593"/>
    <cellStyle name="Normal 3 20 7" xfId="23221"/>
    <cellStyle name="Normal 3 20 8" xfId="22003"/>
    <cellStyle name="Normal 3 21" xfId="2797"/>
    <cellStyle name="Normal 3 21 2" xfId="4229"/>
    <cellStyle name="Normal 3 21 2 2" xfId="5854"/>
    <cellStyle name="Normal 3 21 2 2 2" xfId="8940"/>
    <cellStyle name="Normal 3 21 2 2 2 2" xfId="15133"/>
    <cellStyle name="Normal 3 21 2 2 2 2 2" xfId="34811"/>
    <cellStyle name="Normal 3 21 2 2 2 3" xfId="21285"/>
    <cellStyle name="Normal 3 21 2 2 2 3 2" xfId="40963"/>
    <cellStyle name="Normal 3 21 2 2 2 4" xfId="28647"/>
    <cellStyle name="Normal 3 21 2 2 3" xfId="12067"/>
    <cellStyle name="Normal 3 21 2 2 3 2" xfId="31745"/>
    <cellStyle name="Normal 3 21 2 2 4" xfId="18219"/>
    <cellStyle name="Normal 3 21 2 2 4 2" xfId="37897"/>
    <cellStyle name="Normal 3 21 2 2 5" xfId="25581"/>
    <cellStyle name="Normal 3 21 2 3" xfId="7405"/>
    <cellStyle name="Normal 3 21 2 3 2" xfId="13599"/>
    <cellStyle name="Normal 3 21 2 3 2 2" xfId="33277"/>
    <cellStyle name="Normal 3 21 2 3 3" xfId="19751"/>
    <cellStyle name="Normal 3 21 2 3 3 2" xfId="39429"/>
    <cellStyle name="Normal 3 21 2 3 4" xfId="27113"/>
    <cellStyle name="Normal 3 21 2 4" xfId="10533"/>
    <cellStyle name="Normal 3 21 2 4 2" xfId="30211"/>
    <cellStyle name="Normal 3 21 2 5" xfId="16685"/>
    <cellStyle name="Normal 3 21 2 5 2" xfId="36363"/>
    <cellStyle name="Normal 3 21 2 6" xfId="24047"/>
    <cellStyle name="Normal 3 21 3" xfId="5071"/>
    <cellStyle name="Normal 3 21 3 2" xfId="8171"/>
    <cellStyle name="Normal 3 21 3 2 2" xfId="14364"/>
    <cellStyle name="Normal 3 21 3 2 2 2" xfId="34042"/>
    <cellStyle name="Normal 3 21 3 2 3" xfId="20516"/>
    <cellStyle name="Normal 3 21 3 2 3 2" xfId="40194"/>
    <cellStyle name="Normal 3 21 3 2 4" xfId="27878"/>
    <cellStyle name="Normal 3 21 3 3" xfId="11298"/>
    <cellStyle name="Normal 3 21 3 3 2" xfId="30976"/>
    <cellStyle name="Normal 3 21 3 4" xfId="17450"/>
    <cellStyle name="Normal 3 21 3 4 2" xfId="37128"/>
    <cellStyle name="Normal 3 21 3 5" xfId="24812"/>
    <cellStyle name="Normal 3 21 4" xfId="6636"/>
    <cellStyle name="Normal 3 21 4 2" xfId="12830"/>
    <cellStyle name="Normal 3 21 4 2 2" xfId="32508"/>
    <cellStyle name="Normal 3 21 4 3" xfId="18982"/>
    <cellStyle name="Normal 3 21 4 3 2" xfId="38660"/>
    <cellStyle name="Normal 3 21 4 4" xfId="26344"/>
    <cellStyle name="Normal 3 21 5" xfId="9764"/>
    <cellStyle name="Normal 3 21 5 2" xfId="29442"/>
    <cellStyle name="Normal 3 21 6" xfId="15916"/>
    <cellStyle name="Normal 3 21 6 2" xfId="35594"/>
    <cellStyle name="Normal 3 21 7" xfId="23222"/>
    <cellStyle name="Normal 3 21 8" xfId="22002"/>
    <cellStyle name="Normal 3 22" xfId="2798"/>
    <cellStyle name="Normal 3 22 2" xfId="4230"/>
    <cellStyle name="Normal 3 22 2 2" xfId="5855"/>
    <cellStyle name="Normal 3 22 2 2 2" xfId="8941"/>
    <cellStyle name="Normal 3 22 2 2 2 2" xfId="15134"/>
    <cellStyle name="Normal 3 22 2 2 2 2 2" xfId="34812"/>
    <cellStyle name="Normal 3 22 2 2 2 3" xfId="21286"/>
    <cellStyle name="Normal 3 22 2 2 2 3 2" xfId="40964"/>
    <cellStyle name="Normal 3 22 2 2 2 4" xfId="28648"/>
    <cellStyle name="Normal 3 22 2 2 3" xfId="12068"/>
    <cellStyle name="Normal 3 22 2 2 3 2" xfId="31746"/>
    <cellStyle name="Normal 3 22 2 2 4" xfId="18220"/>
    <cellStyle name="Normal 3 22 2 2 4 2" xfId="37898"/>
    <cellStyle name="Normal 3 22 2 2 5" xfId="25582"/>
    <cellStyle name="Normal 3 22 2 3" xfId="7406"/>
    <cellStyle name="Normal 3 22 2 3 2" xfId="13600"/>
    <cellStyle name="Normal 3 22 2 3 2 2" xfId="33278"/>
    <cellStyle name="Normal 3 22 2 3 3" xfId="19752"/>
    <cellStyle name="Normal 3 22 2 3 3 2" xfId="39430"/>
    <cellStyle name="Normal 3 22 2 3 4" xfId="27114"/>
    <cellStyle name="Normal 3 22 2 4" xfId="10534"/>
    <cellStyle name="Normal 3 22 2 4 2" xfId="30212"/>
    <cellStyle name="Normal 3 22 2 5" xfId="16686"/>
    <cellStyle name="Normal 3 22 2 5 2" xfId="36364"/>
    <cellStyle name="Normal 3 22 2 6" xfId="24048"/>
    <cellStyle name="Normal 3 22 3" xfId="5072"/>
    <cellStyle name="Normal 3 22 3 2" xfId="8172"/>
    <cellStyle name="Normal 3 22 3 2 2" xfId="14365"/>
    <cellStyle name="Normal 3 22 3 2 2 2" xfId="34043"/>
    <cellStyle name="Normal 3 22 3 2 3" xfId="20517"/>
    <cellStyle name="Normal 3 22 3 2 3 2" xfId="40195"/>
    <cellStyle name="Normal 3 22 3 2 4" xfId="27879"/>
    <cellStyle name="Normal 3 22 3 3" xfId="11299"/>
    <cellStyle name="Normal 3 22 3 3 2" xfId="30977"/>
    <cellStyle name="Normal 3 22 3 4" xfId="17451"/>
    <cellStyle name="Normal 3 22 3 4 2" xfId="37129"/>
    <cellStyle name="Normal 3 22 3 5" xfId="24813"/>
    <cellStyle name="Normal 3 22 4" xfId="6637"/>
    <cellStyle name="Normal 3 22 4 2" xfId="12831"/>
    <cellStyle name="Normal 3 22 4 2 2" xfId="32509"/>
    <cellStyle name="Normal 3 22 4 3" xfId="18983"/>
    <cellStyle name="Normal 3 22 4 3 2" xfId="38661"/>
    <cellStyle name="Normal 3 22 4 4" xfId="26345"/>
    <cellStyle name="Normal 3 22 5" xfId="9765"/>
    <cellStyle name="Normal 3 22 5 2" xfId="29443"/>
    <cellStyle name="Normal 3 22 6" xfId="15917"/>
    <cellStyle name="Normal 3 22 6 2" xfId="35595"/>
    <cellStyle name="Normal 3 22 7" xfId="23223"/>
    <cellStyle name="Normal 3 22 8" xfId="22030"/>
    <cellStyle name="Normal 3 23" xfId="2799"/>
    <cellStyle name="Normal 3 23 2" xfId="4231"/>
    <cellStyle name="Normal 3 23 2 2" xfId="5856"/>
    <cellStyle name="Normal 3 23 2 2 2" xfId="8942"/>
    <cellStyle name="Normal 3 23 2 2 2 2" xfId="15135"/>
    <cellStyle name="Normal 3 23 2 2 2 2 2" xfId="34813"/>
    <cellStyle name="Normal 3 23 2 2 2 3" xfId="21287"/>
    <cellStyle name="Normal 3 23 2 2 2 3 2" xfId="40965"/>
    <cellStyle name="Normal 3 23 2 2 2 4" xfId="28649"/>
    <cellStyle name="Normal 3 23 2 2 3" xfId="12069"/>
    <cellStyle name="Normal 3 23 2 2 3 2" xfId="31747"/>
    <cellStyle name="Normal 3 23 2 2 4" xfId="18221"/>
    <cellStyle name="Normal 3 23 2 2 4 2" xfId="37899"/>
    <cellStyle name="Normal 3 23 2 2 5" xfId="25583"/>
    <cellStyle name="Normal 3 23 2 3" xfId="7407"/>
    <cellStyle name="Normal 3 23 2 3 2" xfId="13601"/>
    <cellStyle name="Normal 3 23 2 3 2 2" xfId="33279"/>
    <cellStyle name="Normal 3 23 2 3 3" xfId="19753"/>
    <cellStyle name="Normal 3 23 2 3 3 2" xfId="39431"/>
    <cellStyle name="Normal 3 23 2 3 4" xfId="27115"/>
    <cellStyle name="Normal 3 23 2 4" xfId="10535"/>
    <cellStyle name="Normal 3 23 2 4 2" xfId="30213"/>
    <cellStyle name="Normal 3 23 2 5" xfId="16687"/>
    <cellStyle name="Normal 3 23 2 5 2" xfId="36365"/>
    <cellStyle name="Normal 3 23 2 6" xfId="24049"/>
    <cellStyle name="Normal 3 23 3" xfId="5073"/>
    <cellStyle name="Normal 3 23 3 2" xfId="8173"/>
    <cellStyle name="Normal 3 23 3 2 2" xfId="14366"/>
    <cellStyle name="Normal 3 23 3 2 2 2" xfId="34044"/>
    <cellStyle name="Normal 3 23 3 2 3" xfId="20518"/>
    <cellStyle name="Normal 3 23 3 2 3 2" xfId="40196"/>
    <cellStyle name="Normal 3 23 3 2 4" xfId="27880"/>
    <cellStyle name="Normal 3 23 3 3" xfId="11300"/>
    <cellStyle name="Normal 3 23 3 3 2" xfId="30978"/>
    <cellStyle name="Normal 3 23 3 4" xfId="17452"/>
    <cellStyle name="Normal 3 23 3 4 2" xfId="37130"/>
    <cellStyle name="Normal 3 23 3 5" xfId="24814"/>
    <cellStyle name="Normal 3 23 4" xfId="6638"/>
    <cellStyle name="Normal 3 23 4 2" xfId="12832"/>
    <cellStyle name="Normal 3 23 4 2 2" xfId="32510"/>
    <cellStyle name="Normal 3 23 4 3" xfId="18984"/>
    <cellStyle name="Normal 3 23 4 3 2" xfId="38662"/>
    <cellStyle name="Normal 3 23 4 4" xfId="26346"/>
    <cellStyle name="Normal 3 23 5" xfId="9766"/>
    <cellStyle name="Normal 3 23 5 2" xfId="29444"/>
    <cellStyle name="Normal 3 23 6" xfId="15918"/>
    <cellStyle name="Normal 3 23 6 2" xfId="35596"/>
    <cellStyle name="Normal 3 23 7" xfId="23224"/>
    <cellStyle name="Normal 3 23 8" xfId="22017"/>
    <cellStyle name="Normal 3 24" xfId="2800"/>
    <cellStyle name="Normal 3 24 2" xfId="4232"/>
    <cellStyle name="Normal 3 24 2 2" xfId="5857"/>
    <cellStyle name="Normal 3 24 2 2 2" xfId="8943"/>
    <cellStyle name="Normal 3 24 2 2 2 2" xfId="15136"/>
    <cellStyle name="Normal 3 24 2 2 2 2 2" xfId="34814"/>
    <cellStyle name="Normal 3 24 2 2 2 3" xfId="21288"/>
    <cellStyle name="Normal 3 24 2 2 2 3 2" xfId="40966"/>
    <cellStyle name="Normal 3 24 2 2 2 4" xfId="28650"/>
    <cellStyle name="Normal 3 24 2 2 3" xfId="12070"/>
    <cellStyle name="Normal 3 24 2 2 3 2" xfId="31748"/>
    <cellStyle name="Normal 3 24 2 2 4" xfId="18222"/>
    <cellStyle name="Normal 3 24 2 2 4 2" xfId="37900"/>
    <cellStyle name="Normal 3 24 2 2 5" xfId="25584"/>
    <cellStyle name="Normal 3 24 2 3" xfId="7408"/>
    <cellStyle name="Normal 3 24 2 3 2" xfId="13602"/>
    <cellStyle name="Normal 3 24 2 3 2 2" xfId="33280"/>
    <cellStyle name="Normal 3 24 2 3 3" xfId="19754"/>
    <cellStyle name="Normal 3 24 2 3 3 2" xfId="39432"/>
    <cellStyle name="Normal 3 24 2 3 4" xfId="27116"/>
    <cellStyle name="Normal 3 24 2 4" xfId="10536"/>
    <cellStyle name="Normal 3 24 2 4 2" xfId="30214"/>
    <cellStyle name="Normal 3 24 2 5" xfId="16688"/>
    <cellStyle name="Normal 3 24 2 5 2" xfId="36366"/>
    <cellStyle name="Normal 3 24 2 6" xfId="24050"/>
    <cellStyle name="Normal 3 24 3" xfId="5074"/>
    <cellStyle name="Normal 3 24 3 2" xfId="8174"/>
    <cellStyle name="Normal 3 24 3 2 2" xfId="14367"/>
    <cellStyle name="Normal 3 24 3 2 2 2" xfId="34045"/>
    <cellStyle name="Normal 3 24 3 2 3" xfId="20519"/>
    <cellStyle name="Normal 3 24 3 2 3 2" xfId="40197"/>
    <cellStyle name="Normal 3 24 3 2 4" xfId="27881"/>
    <cellStyle name="Normal 3 24 3 3" xfId="11301"/>
    <cellStyle name="Normal 3 24 3 3 2" xfId="30979"/>
    <cellStyle name="Normal 3 24 3 4" xfId="17453"/>
    <cellStyle name="Normal 3 24 3 4 2" xfId="37131"/>
    <cellStyle name="Normal 3 24 3 5" xfId="24815"/>
    <cellStyle name="Normal 3 24 4" xfId="6639"/>
    <cellStyle name="Normal 3 24 4 2" xfId="12833"/>
    <cellStyle name="Normal 3 24 4 2 2" xfId="32511"/>
    <cellStyle name="Normal 3 24 4 3" xfId="18985"/>
    <cellStyle name="Normal 3 24 4 3 2" xfId="38663"/>
    <cellStyle name="Normal 3 24 4 4" xfId="26347"/>
    <cellStyle name="Normal 3 24 5" xfId="9767"/>
    <cellStyle name="Normal 3 24 5 2" xfId="29445"/>
    <cellStyle name="Normal 3 24 6" xfId="15919"/>
    <cellStyle name="Normal 3 24 6 2" xfId="35597"/>
    <cellStyle name="Normal 3 24 7" xfId="23225"/>
    <cellStyle name="Normal 3 24 8" xfId="22142"/>
    <cellStyle name="Normal 3 25" xfId="2801"/>
    <cellStyle name="Normal 3 25 2" xfId="23226"/>
    <cellStyle name="Normal 3 25 3" xfId="22159"/>
    <cellStyle name="Normal 3 26" xfId="2802"/>
    <cellStyle name="Normal 3 26 2" xfId="2803"/>
    <cellStyle name="Normal 3 26 3" xfId="2804"/>
    <cellStyle name="Normal 3 26 4" xfId="2805"/>
    <cellStyle name="Normal 3 26 5" xfId="23227"/>
    <cellStyle name="Normal 3 26 6" xfId="22125"/>
    <cellStyle name="Normal 3 27" xfId="2806"/>
    <cellStyle name="Normal 3 27 2" xfId="23228"/>
    <cellStyle name="Normal 3 27 3" xfId="22199"/>
    <cellStyle name="Normal 3 28" xfId="3681"/>
    <cellStyle name="Normal 3 28 2" xfId="23591"/>
    <cellStyle name="Normal 3 28 3" xfId="22138"/>
    <cellStyle name="Normal 3 29" xfId="384"/>
    <cellStyle name="Normal 3 29 2" xfId="22761"/>
    <cellStyle name="Normal 3 29 3" xfId="22201"/>
    <cellStyle name="Normal 3 3" xfId="78"/>
    <cellStyle name="Normal 3 3 10" xfId="2807"/>
    <cellStyle name="Normal 3 3 10 2" xfId="23229"/>
    <cellStyle name="Normal 3 3 11" xfId="22688"/>
    <cellStyle name="Normal 3 3 12" xfId="41572"/>
    <cellStyle name="Normal 3 3 13" xfId="21768"/>
    <cellStyle name="Normal 3 3 14" xfId="42009"/>
    <cellStyle name="Normal 3 3 2" xfId="2808"/>
    <cellStyle name="Normal 3 3 2 2" xfId="4234"/>
    <cellStyle name="Normal 3 3 2 2 2" xfId="5859"/>
    <cellStyle name="Normal 3 3 2 2 2 2" xfId="8945"/>
    <cellStyle name="Normal 3 3 2 2 2 2 2" xfId="15138"/>
    <cellStyle name="Normal 3 3 2 2 2 2 2 2" xfId="34816"/>
    <cellStyle name="Normal 3 3 2 2 2 2 3" xfId="21290"/>
    <cellStyle name="Normal 3 3 2 2 2 2 3 2" xfId="40968"/>
    <cellStyle name="Normal 3 3 2 2 2 2 4" xfId="28652"/>
    <cellStyle name="Normal 3 3 2 2 2 3" xfId="12072"/>
    <cellStyle name="Normal 3 3 2 2 2 3 2" xfId="31750"/>
    <cellStyle name="Normal 3 3 2 2 2 4" xfId="18224"/>
    <cellStyle name="Normal 3 3 2 2 2 4 2" xfId="37902"/>
    <cellStyle name="Normal 3 3 2 2 2 5" xfId="25586"/>
    <cellStyle name="Normal 3 3 2 2 3" xfId="7410"/>
    <cellStyle name="Normal 3 3 2 2 3 2" xfId="13604"/>
    <cellStyle name="Normal 3 3 2 2 3 2 2" xfId="33282"/>
    <cellStyle name="Normal 3 3 2 2 3 3" xfId="19756"/>
    <cellStyle name="Normal 3 3 2 2 3 3 2" xfId="39434"/>
    <cellStyle name="Normal 3 3 2 2 3 4" xfId="27118"/>
    <cellStyle name="Normal 3 3 2 2 4" xfId="10538"/>
    <cellStyle name="Normal 3 3 2 2 4 2" xfId="30216"/>
    <cellStyle name="Normal 3 3 2 2 5" xfId="16690"/>
    <cellStyle name="Normal 3 3 2 2 5 2" xfId="36368"/>
    <cellStyle name="Normal 3 3 2 2 6" xfId="42011"/>
    <cellStyle name="Normal 3 3 2 2 7" xfId="24052"/>
    <cellStyle name="Normal 3 3 2 3" xfId="5076"/>
    <cellStyle name="Normal 3 3 2 3 2" xfId="8176"/>
    <cellStyle name="Normal 3 3 2 3 2 2" xfId="14369"/>
    <cellStyle name="Normal 3 3 2 3 2 2 2" xfId="34047"/>
    <cellStyle name="Normal 3 3 2 3 2 3" xfId="20521"/>
    <cellStyle name="Normal 3 3 2 3 2 3 2" xfId="40199"/>
    <cellStyle name="Normal 3 3 2 3 2 4" xfId="27883"/>
    <cellStyle name="Normal 3 3 2 3 3" xfId="11303"/>
    <cellStyle name="Normal 3 3 2 3 3 2" xfId="30981"/>
    <cellStyle name="Normal 3 3 2 3 4" xfId="17455"/>
    <cellStyle name="Normal 3 3 2 3 4 2" xfId="37133"/>
    <cellStyle name="Normal 3 3 2 3 5" xfId="24817"/>
    <cellStyle name="Normal 3 3 2 4" xfId="6641"/>
    <cellStyle name="Normal 3 3 2 4 2" xfId="12835"/>
    <cellStyle name="Normal 3 3 2 4 2 2" xfId="32513"/>
    <cellStyle name="Normal 3 3 2 4 3" xfId="18987"/>
    <cellStyle name="Normal 3 3 2 4 3 2" xfId="38665"/>
    <cellStyle name="Normal 3 3 2 4 4" xfId="26349"/>
    <cellStyle name="Normal 3 3 2 5" xfId="9769"/>
    <cellStyle name="Normal 3 3 2 5 2" xfId="29447"/>
    <cellStyle name="Normal 3 3 2 6" xfId="15921"/>
    <cellStyle name="Normal 3 3 2 6 2" xfId="35599"/>
    <cellStyle name="Normal 3 3 2 7" xfId="23230"/>
    <cellStyle name="Normal 3 3 2 8" xfId="42010"/>
    <cellStyle name="Normal 3 3 2 9" xfId="22388"/>
    <cellStyle name="Normal 3 3 3" xfId="2809"/>
    <cellStyle name="Normal 3 3 3 2" xfId="4235"/>
    <cellStyle name="Normal 3 3 3 2 2" xfId="5860"/>
    <cellStyle name="Normal 3 3 3 2 2 2" xfId="8946"/>
    <cellStyle name="Normal 3 3 3 2 2 2 2" xfId="15139"/>
    <cellStyle name="Normal 3 3 3 2 2 2 2 2" xfId="34817"/>
    <cellStyle name="Normal 3 3 3 2 2 2 3" xfId="21291"/>
    <cellStyle name="Normal 3 3 3 2 2 2 3 2" xfId="40969"/>
    <cellStyle name="Normal 3 3 3 2 2 2 4" xfId="28653"/>
    <cellStyle name="Normal 3 3 3 2 2 3" xfId="12073"/>
    <cellStyle name="Normal 3 3 3 2 2 3 2" xfId="31751"/>
    <cellStyle name="Normal 3 3 3 2 2 4" xfId="18225"/>
    <cellStyle name="Normal 3 3 3 2 2 4 2" xfId="37903"/>
    <cellStyle name="Normal 3 3 3 2 2 5" xfId="25587"/>
    <cellStyle name="Normal 3 3 3 2 3" xfId="7411"/>
    <cellStyle name="Normal 3 3 3 2 3 2" xfId="13605"/>
    <cellStyle name="Normal 3 3 3 2 3 2 2" xfId="33283"/>
    <cellStyle name="Normal 3 3 3 2 3 3" xfId="19757"/>
    <cellStyle name="Normal 3 3 3 2 3 3 2" xfId="39435"/>
    <cellStyle name="Normal 3 3 3 2 3 4" xfId="27119"/>
    <cellStyle name="Normal 3 3 3 2 4" xfId="10539"/>
    <cellStyle name="Normal 3 3 3 2 4 2" xfId="30217"/>
    <cellStyle name="Normal 3 3 3 2 5" xfId="16691"/>
    <cellStyle name="Normal 3 3 3 2 5 2" xfId="36369"/>
    <cellStyle name="Normal 3 3 3 2 6" xfId="24053"/>
    <cellStyle name="Normal 3 3 3 3" xfId="5077"/>
    <cellStyle name="Normal 3 3 3 3 2" xfId="8177"/>
    <cellStyle name="Normal 3 3 3 3 2 2" xfId="14370"/>
    <cellStyle name="Normal 3 3 3 3 2 2 2" xfId="34048"/>
    <cellStyle name="Normal 3 3 3 3 2 3" xfId="20522"/>
    <cellStyle name="Normal 3 3 3 3 2 3 2" xfId="40200"/>
    <cellStyle name="Normal 3 3 3 3 2 4" xfId="27884"/>
    <cellStyle name="Normal 3 3 3 3 3" xfId="11304"/>
    <cellStyle name="Normal 3 3 3 3 3 2" xfId="30982"/>
    <cellStyle name="Normal 3 3 3 3 4" xfId="17456"/>
    <cellStyle name="Normal 3 3 3 3 4 2" xfId="37134"/>
    <cellStyle name="Normal 3 3 3 3 5" xfId="24818"/>
    <cellStyle name="Normal 3 3 3 4" xfId="6642"/>
    <cellStyle name="Normal 3 3 3 4 2" xfId="12836"/>
    <cellStyle name="Normal 3 3 3 4 2 2" xfId="32514"/>
    <cellStyle name="Normal 3 3 3 4 3" xfId="18988"/>
    <cellStyle name="Normal 3 3 3 4 3 2" xfId="38666"/>
    <cellStyle name="Normal 3 3 3 4 4" xfId="26350"/>
    <cellStyle name="Normal 3 3 3 5" xfId="9770"/>
    <cellStyle name="Normal 3 3 3 5 2" xfId="29448"/>
    <cellStyle name="Normal 3 3 3 6" xfId="15922"/>
    <cellStyle name="Normal 3 3 3 6 2" xfId="35600"/>
    <cellStyle name="Normal 3 3 3 7" xfId="42012"/>
    <cellStyle name="Normal 3 3 3 8" xfId="23231"/>
    <cellStyle name="Normal 3 3 4" xfId="2810"/>
    <cellStyle name="Normal 3 3 5" xfId="4233"/>
    <cellStyle name="Normal 3 3 5 2" xfId="5858"/>
    <cellStyle name="Normal 3 3 5 2 2" xfId="8944"/>
    <cellStyle name="Normal 3 3 5 2 2 2" xfId="15137"/>
    <cellStyle name="Normal 3 3 5 2 2 2 2" xfId="34815"/>
    <cellStyle name="Normal 3 3 5 2 2 3" xfId="21289"/>
    <cellStyle name="Normal 3 3 5 2 2 3 2" xfId="40967"/>
    <cellStyle name="Normal 3 3 5 2 2 4" xfId="28651"/>
    <cellStyle name="Normal 3 3 5 2 3" xfId="12071"/>
    <cellStyle name="Normal 3 3 5 2 3 2" xfId="31749"/>
    <cellStyle name="Normal 3 3 5 2 4" xfId="18223"/>
    <cellStyle name="Normal 3 3 5 2 4 2" xfId="37901"/>
    <cellStyle name="Normal 3 3 5 2 5" xfId="25585"/>
    <cellStyle name="Normal 3 3 5 3" xfId="7409"/>
    <cellStyle name="Normal 3 3 5 3 2" xfId="13603"/>
    <cellStyle name="Normal 3 3 5 3 2 2" xfId="33281"/>
    <cellStyle name="Normal 3 3 5 3 3" xfId="19755"/>
    <cellStyle name="Normal 3 3 5 3 3 2" xfId="39433"/>
    <cellStyle name="Normal 3 3 5 3 4" xfId="27117"/>
    <cellStyle name="Normal 3 3 5 4" xfId="10537"/>
    <cellStyle name="Normal 3 3 5 4 2" xfId="30215"/>
    <cellStyle name="Normal 3 3 5 5" xfId="16689"/>
    <cellStyle name="Normal 3 3 5 5 2" xfId="36367"/>
    <cellStyle name="Normal 3 3 5 6" xfId="24051"/>
    <cellStyle name="Normal 3 3 6" xfId="5075"/>
    <cellStyle name="Normal 3 3 6 2" xfId="8175"/>
    <cellStyle name="Normal 3 3 6 2 2" xfId="14368"/>
    <cellStyle name="Normal 3 3 6 2 2 2" xfId="34046"/>
    <cellStyle name="Normal 3 3 6 2 3" xfId="20520"/>
    <cellStyle name="Normal 3 3 6 2 3 2" xfId="40198"/>
    <cellStyle name="Normal 3 3 6 2 4" xfId="27882"/>
    <cellStyle name="Normal 3 3 6 3" xfId="11302"/>
    <cellStyle name="Normal 3 3 6 3 2" xfId="30980"/>
    <cellStyle name="Normal 3 3 6 4" xfId="17454"/>
    <cellStyle name="Normal 3 3 6 4 2" xfId="37132"/>
    <cellStyle name="Normal 3 3 6 5" xfId="24816"/>
    <cellStyle name="Normal 3 3 7" xfId="6640"/>
    <cellStyle name="Normal 3 3 7 2" xfId="12834"/>
    <cellStyle name="Normal 3 3 7 2 2" xfId="32512"/>
    <cellStyle name="Normal 3 3 7 3" xfId="18986"/>
    <cellStyle name="Normal 3 3 7 3 2" xfId="38664"/>
    <cellStyle name="Normal 3 3 7 4" xfId="26348"/>
    <cellStyle name="Normal 3 3 8" xfId="9768"/>
    <cellStyle name="Normal 3 3 8 2" xfId="29446"/>
    <cellStyle name="Normal 3 3 9" xfId="15920"/>
    <cellStyle name="Normal 3 3 9 2" xfId="35598"/>
    <cellStyle name="Normal 3 30" xfId="9297"/>
    <cellStyle name="Normal 3 30 2" xfId="28995"/>
    <cellStyle name="Normal 3 30 3" xfId="22220"/>
    <cellStyle name="Normal 3 31" xfId="22252"/>
    <cellStyle name="Normal 3 32" xfId="41999"/>
    <cellStyle name="Normal 3 4" xfId="2811"/>
    <cellStyle name="Normal 3 4 10" xfId="21778"/>
    <cellStyle name="Normal 3 4 2" xfId="2812"/>
    <cellStyle name="Normal 3 4 2 2" xfId="4237"/>
    <cellStyle name="Normal 3 4 2 2 2" xfId="5862"/>
    <cellStyle name="Normal 3 4 2 2 2 2" xfId="8948"/>
    <cellStyle name="Normal 3 4 2 2 2 2 2" xfId="15141"/>
    <cellStyle name="Normal 3 4 2 2 2 2 2 2" xfId="34819"/>
    <cellStyle name="Normal 3 4 2 2 2 2 3" xfId="21293"/>
    <cellStyle name="Normal 3 4 2 2 2 2 3 2" xfId="40971"/>
    <cellStyle name="Normal 3 4 2 2 2 2 4" xfId="28655"/>
    <cellStyle name="Normal 3 4 2 2 2 3" xfId="12075"/>
    <cellStyle name="Normal 3 4 2 2 2 3 2" xfId="31753"/>
    <cellStyle name="Normal 3 4 2 2 2 4" xfId="18227"/>
    <cellStyle name="Normal 3 4 2 2 2 4 2" xfId="37905"/>
    <cellStyle name="Normal 3 4 2 2 2 5" xfId="25589"/>
    <cellStyle name="Normal 3 4 2 2 3" xfId="7413"/>
    <cellStyle name="Normal 3 4 2 2 3 2" xfId="13607"/>
    <cellStyle name="Normal 3 4 2 2 3 2 2" xfId="33285"/>
    <cellStyle name="Normal 3 4 2 2 3 3" xfId="19759"/>
    <cellStyle name="Normal 3 4 2 2 3 3 2" xfId="39437"/>
    <cellStyle name="Normal 3 4 2 2 3 4" xfId="27121"/>
    <cellStyle name="Normal 3 4 2 2 4" xfId="10541"/>
    <cellStyle name="Normal 3 4 2 2 4 2" xfId="30219"/>
    <cellStyle name="Normal 3 4 2 2 5" xfId="16693"/>
    <cellStyle name="Normal 3 4 2 2 5 2" xfId="36371"/>
    <cellStyle name="Normal 3 4 2 2 6" xfId="24055"/>
    <cellStyle name="Normal 3 4 2 3" xfId="5079"/>
    <cellStyle name="Normal 3 4 2 3 2" xfId="8179"/>
    <cellStyle name="Normal 3 4 2 3 2 2" xfId="14372"/>
    <cellStyle name="Normal 3 4 2 3 2 2 2" xfId="34050"/>
    <cellStyle name="Normal 3 4 2 3 2 3" xfId="20524"/>
    <cellStyle name="Normal 3 4 2 3 2 3 2" xfId="40202"/>
    <cellStyle name="Normal 3 4 2 3 2 4" xfId="27886"/>
    <cellStyle name="Normal 3 4 2 3 3" xfId="11306"/>
    <cellStyle name="Normal 3 4 2 3 3 2" xfId="30984"/>
    <cellStyle name="Normal 3 4 2 3 4" xfId="17458"/>
    <cellStyle name="Normal 3 4 2 3 4 2" xfId="37136"/>
    <cellStyle name="Normal 3 4 2 3 5" xfId="24820"/>
    <cellStyle name="Normal 3 4 2 4" xfId="6644"/>
    <cellStyle name="Normal 3 4 2 4 2" xfId="12838"/>
    <cellStyle name="Normal 3 4 2 4 2 2" xfId="32516"/>
    <cellStyle name="Normal 3 4 2 4 3" xfId="18990"/>
    <cellStyle name="Normal 3 4 2 4 3 2" xfId="38668"/>
    <cellStyle name="Normal 3 4 2 4 4" xfId="26352"/>
    <cellStyle name="Normal 3 4 2 5" xfId="9772"/>
    <cellStyle name="Normal 3 4 2 5 2" xfId="29450"/>
    <cellStyle name="Normal 3 4 2 6" xfId="15924"/>
    <cellStyle name="Normal 3 4 2 6 2" xfId="35602"/>
    <cellStyle name="Normal 3 4 2 7" xfId="42014"/>
    <cellStyle name="Normal 3 4 2 8" xfId="23233"/>
    <cellStyle name="Normal 3 4 3" xfId="4236"/>
    <cellStyle name="Normal 3 4 3 2" xfId="5861"/>
    <cellStyle name="Normal 3 4 3 2 2" xfId="8947"/>
    <cellStyle name="Normal 3 4 3 2 2 2" xfId="15140"/>
    <cellStyle name="Normal 3 4 3 2 2 2 2" xfId="34818"/>
    <cellStyle name="Normal 3 4 3 2 2 3" xfId="21292"/>
    <cellStyle name="Normal 3 4 3 2 2 3 2" xfId="40970"/>
    <cellStyle name="Normal 3 4 3 2 2 4" xfId="28654"/>
    <cellStyle name="Normal 3 4 3 2 3" xfId="12074"/>
    <cellStyle name="Normal 3 4 3 2 3 2" xfId="31752"/>
    <cellStyle name="Normal 3 4 3 2 4" xfId="18226"/>
    <cellStyle name="Normal 3 4 3 2 4 2" xfId="37904"/>
    <cellStyle name="Normal 3 4 3 2 5" xfId="25588"/>
    <cellStyle name="Normal 3 4 3 3" xfId="7412"/>
    <cellStyle name="Normal 3 4 3 3 2" xfId="13606"/>
    <cellStyle name="Normal 3 4 3 3 2 2" xfId="33284"/>
    <cellStyle name="Normal 3 4 3 3 3" xfId="19758"/>
    <cellStyle name="Normal 3 4 3 3 3 2" xfId="39436"/>
    <cellStyle name="Normal 3 4 3 3 4" xfId="27120"/>
    <cellStyle name="Normal 3 4 3 4" xfId="10540"/>
    <cellStyle name="Normal 3 4 3 4 2" xfId="30218"/>
    <cellStyle name="Normal 3 4 3 5" xfId="16692"/>
    <cellStyle name="Normal 3 4 3 5 2" xfId="36370"/>
    <cellStyle name="Normal 3 4 3 6" xfId="24054"/>
    <cellStyle name="Normal 3 4 4" xfId="5078"/>
    <cellStyle name="Normal 3 4 4 2" xfId="8178"/>
    <cellStyle name="Normal 3 4 4 2 2" xfId="14371"/>
    <cellStyle name="Normal 3 4 4 2 2 2" xfId="34049"/>
    <cellStyle name="Normal 3 4 4 2 3" xfId="20523"/>
    <cellStyle name="Normal 3 4 4 2 3 2" xfId="40201"/>
    <cellStyle name="Normal 3 4 4 2 4" xfId="27885"/>
    <cellStyle name="Normal 3 4 4 3" xfId="11305"/>
    <cellStyle name="Normal 3 4 4 3 2" xfId="30983"/>
    <cellStyle name="Normal 3 4 4 4" xfId="17457"/>
    <cellStyle name="Normal 3 4 4 4 2" xfId="37135"/>
    <cellStyle name="Normal 3 4 4 5" xfId="24819"/>
    <cellStyle name="Normal 3 4 5" xfId="6643"/>
    <cellStyle name="Normal 3 4 5 2" xfId="12837"/>
    <cellStyle name="Normal 3 4 5 2 2" xfId="32515"/>
    <cellStyle name="Normal 3 4 5 3" xfId="18989"/>
    <cellStyle name="Normal 3 4 5 3 2" xfId="38667"/>
    <cellStyle name="Normal 3 4 5 4" xfId="26351"/>
    <cellStyle name="Normal 3 4 6" xfId="9771"/>
    <cellStyle name="Normal 3 4 6 2" xfId="29449"/>
    <cellStyle name="Normal 3 4 7" xfId="15923"/>
    <cellStyle name="Normal 3 4 7 2" xfId="35601"/>
    <cellStyle name="Normal 3 4 8" xfId="23232"/>
    <cellStyle name="Normal 3 4 9" xfId="42013"/>
    <cellStyle name="Normal 3 5" xfId="2813"/>
    <cellStyle name="Normal 3 5 10" xfId="21800"/>
    <cellStyle name="Normal 3 5 2" xfId="2814"/>
    <cellStyle name="Normal 3 5 2 2" xfId="4239"/>
    <cellStyle name="Normal 3 5 2 2 2" xfId="5864"/>
    <cellStyle name="Normal 3 5 2 2 2 2" xfId="8950"/>
    <cellStyle name="Normal 3 5 2 2 2 2 2" xfId="15143"/>
    <cellStyle name="Normal 3 5 2 2 2 2 2 2" xfId="34821"/>
    <cellStyle name="Normal 3 5 2 2 2 2 3" xfId="21295"/>
    <cellStyle name="Normal 3 5 2 2 2 2 3 2" xfId="40973"/>
    <cellStyle name="Normal 3 5 2 2 2 2 4" xfId="28657"/>
    <cellStyle name="Normal 3 5 2 2 2 3" xfId="12077"/>
    <cellStyle name="Normal 3 5 2 2 2 3 2" xfId="31755"/>
    <cellStyle name="Normal 3 5 2 2 2 4" xfId="18229"/>
    <cellStyle name="Normal 3 5 2 2 2 4 2" xfId="37907"/>
    <cellStyle name="Normal 3 5 2 2 2 5" xfId="25591"/>
    <cellStyle name="Normal 3 5 2 2 3" xfId="7415"/>
    <cellStyle name="Normal 3 5 2 2 3 2" xfId="13609"/>
    <cellStyle name="Normal 3 5 2 2 3 2 2" xfId="33287"/>
    <cellStyle name="Normal 3 5 2 2 3 3" xfId="19761"/>
    <cellStyle name="Normal 3 5 2 2 3 3 2" xfId="39439"/>
    <cellStyle name="Normal 3 5 2 2 3 4" xfId="27123"/>
    <cellStyle name="Normal 3 5 2 2 4" xfId="10543"/>
    <cellStyle name="Normal 3 5 2 2 4 2" xfId="30221"/>
    <cellStyle name="Normal 3 5 2 2 5" xfId="16695"/>
    <cellStyle name="Normal 3 5 2 2 5 2" xfId="36373"/>
    <cellStyle name="Normal 3 5 2 2 6" xfId="24057"/>
    <cellStyle name="Normal 3 5 2 3" xfId="5081"/>
    <cellStyle name="Normal 3 5 2 3 2" xfId="8181"/>
    <cellStyle name="Normal 3 5 2 3 2 2" xfId="14374"/>
    <cellStyle name="Normal 3 5 2 3 2 2 2" xfId="34052"/>
    <cellStyle name="Normal 3 5 2 3 2 3" xfId="20526"/>
    <cellStyle name="Normal 3 5 2 3 2 3 2" xfId="40204"/>
    <cellStyle name="Normal 3 5 2 3 2 4" xfId="27888"/>
    <cellStyle name="Normal 3 5 2 3 3" xfId="11308"/>
    <cellStyle name="Normal 3 5 2 3 3 2" xfId="30986"/>
    <cellStyle name="Normal 3 5 2 3 4" xfId="17460"/>
    <cellStyle name="Normal 3 5 2 3 4 2" xfId="37138"/>
    <cellStyle name="Normal 3 5 2 3 5" xfId="24822"/>
    <cellStyle name="Normal 3 5 2 4" xfId="6646"/>
    <cellStyle name="Normal 3 5 2 4 2" xfId="12840"/>
    <cellStyle name="Normal 3 5 2 4 2 2" xfId="32518"/>
    <cellStyle name="Normal 3 5 2 4 3" xfId="18992"/>
    <cellStyle name="Normal 3 5 2 4 3 2" xfId="38670"/>
    <cellStyle name="Normal 3 5 2 4 4" xfId="26354"/>
    <cellStyle name="Normal 3 5 2 5" xfId="9774"/>
    <cellStyle name="Normal 3 5 2 5 2" xfId="29452"/>
    <cellStyle name="Normal 3 5 2 6" xfId="15926"/>
    <cellStyle name="Normal 3 5 2 6 2" xfId="35604"/>
    <cellStyle name="Normal 3 5 2 7" xfId="23235"/>
    <cellStyle name="Normal 3 5 3" xfId="4238"/>
    <cellStyle name="Normal 3 5 3 2" xfId="5863"/>
    <cellStyle name="Normal 3 5 3 2 2" xfId="8949"/>
    <cellStyle name="Normal 3 5 3 2 2 2" xfId="15142"/>
    <cellStyle name="Normal 3 5 3 2 2 2 2" xfId="34820"/>
    <cellStyle name="Normal 3 5 3 2 2 3" xfId="21294"/>
    <cellStyle name="Normal 3 5 3 2 2 3 2" xfId="40972"/>
    <cellStyle name="Normal 3 5 3 2 2 4" xfId="28656"/>
    <cellStyle name="Normal 3 5 3 2 3" xfId="12076"/>
    <cellStyle name="Normal 3 5 3 2 3 2" xfId="31754"/>
    <cellStyle name="Normal 3 5 3 2 4" xfId="18228"/>
    <cellStyle name="Normal 3 5 3 2 4 2" xfId="37906"/>
    <cellStyle name="Normal 3 5 3 2 5" xfId="25590"/>
    <cellStyle name="Normal 3 5 3 3" xfId="7414"/>
    <cellStyle name="Normal 3 5 3 3 2" xfId="13608"/>
    <cellStyle name="Normal 3 5 3 3 2 2" xfId="33286"/>
    <cellStyle name="Normal 3 5 3 3 3" xfId="19760"/>
    <cellStyle name="Normal 3 5 3 3 3 2" xfId="39438"/>
    <cellStyle name="Normal 3 5 3 3 4" xfId="27122"/>
    <cellStyle name="Normal 3 5 3 4" xfId="10542"/>
    <cellStyle name="Normal 3 5 3 4 2" xfId="30220"/>
    <cellStyle name="Normal 3 5 3 5" xfId="16694"/>
    <cellStyle name="Normal 3 5 3 5 2" xfId="36372"/>
    <cellStyle name="Normal 3 5 3 6" xfId="24056"/>
    <cellStyle name="Normal 3 5 4" xfId="5080"/>
    <cellStyle name="Normal 3 5 4 2" xfId="8180"/>
    <cellStyle name="Normal 3 5 4 2 2" xfId="14373"/>
    <cellStyle name="Normal 3 5 4 2 2 2" xfId="34051"/>
    <cellStyle name="Normal 3 5 4 2 3" xfId="20525"/>
    <cellStyle name="Normal 3 5 4 2 3 2" xfId="40203"/>
    <cellStyle name="Normal 3 5 4 2 4" xfId="27887"/>
    <cellStyle name="Normal 3 5 4 3" xfId="11307"/>
    <cellStyle name="Normal 3 5 4 3 2" xfId="30985"/>
    <cellStyle name="Normal 3 5 4 4" xfId="17459"/>
    <cellStyle name="Normal 3 5 4 4 2" xfId="37137"/>
    <cellStyle name="Normal 3 5 4 5" xfId="24821"/>
    <cellStyle name="Normal 3 5 5" xfId="6645"/>
    <cellStyle name="Normal 3 5 5 2" xfId="12839"/>
    <cellStyle name="Normal 3 5 5 2 2" xfId="32517"/>
    <cellStyle name="Normal 3 5 5 3" xfId="18991"/>
    <cellStyle name="Normal 3 5 5 3 2" xfId="38669"/>
    <cellStyle name="Normal 3 5 5 4" xfId="26353"/>
    <cellStyle name="Normal 3 5 6" xfId="9773"/>
    <cellStyle name="Normal 3 5 6 2" xfId="29451"/>
    <cellStyle name="Normal 3 5 7" xfId="15925"/>
    <cellStyle name="Normal 3 5 7 2" xfId="35603"/>
    <cellStyle name="Normal 3 5 8" xfId="23234"/>
    <cellStyle name="Normal 3 5 9" xfId="42015"/>
    <cellStyle name="Normal 3 6" xfId="2815"/>
    <cellStyle name="Normal 3 6 2" xfId="4240"/>
    <cellStyle name="Normal 3 6 2 2" xfId="5865"/>
    <cellStyle name="Normal 3 6 2 2 2" xfId="8951"/>
    <cellStyle name="Normal 3 6 2 2 2 2" xfId="15144"/>
    <cellStyle name="Normal 3 6 2 2 2 2 2" xfId="34822"/>
    <cellStyle name="Normal 3 6 2 2 2 3" xfId="21296"/>
    <cellStyle name="Normal 3 6 2 2 2 3 2" xfId="40974"/>
    <cellStyle name="Normal 3 6 2 2 2 4" xfId="28658"/>
    <cellStyle name="Normal 3 6 2 2 3" xfId="12078"/>
    <cellStyle name="Normal 3 6 2 2 3 2" xfId="31756"/>
    <cellStyle name="Normal 3 6 2 2 4" xfId="18230"/>
    <cellStyle name="Normal 3 6 2 2 4 2" xfId="37908"/>
    <cellStyle name="Normal 3 6 2 2 5" xfId="25592"/>
    <cellStyle name="Normal 3 6 2 3" xfId="7416"/>
    <cellStyle name="Normal 3 6 2 3 2" xfId="13610"/>
    <cellStyle name="Normal 3 6 2 3 2 2" xfId="33288"/>
    <cellStyle name="Normal 3 6 2 3 3" xfId="19762"/>
    <cellStyle name="Normal 3 6 2 3 3 2" xfId="39440"/>
    <cellStyle name="Normal 3 6 2 3 4" xfId="27124"/>
    <cellStyle name="Normal 3 6 2 4" xfId="10544"/>
    <cellStyle name="Normal 3 6 2 4 2" xfId="30222"/>
    <cellStyle name="Normal 3 6 2 5" xfId="16696"/>
    <cellStyle name="Normal 3 6 2 5 2" xfId="36374"/>
    <cellStyle name="Normal 3 6 2 6" xfId="24058"/>
    <cellStyle name="Normal 3 6 3" xfId="5082"/>
    <cellStyle name="Normal 3 6 3 2" xfId="8182"/>
    <cellStyle name="Normal 3 6 3 2 2" xfId="14375"/>
    <cellStyle name="Normal 3 6 3 2 2 2" xfId="34053"/>
    <cellStyle name="Normal 3 6 3 2 3" xfId="20527"/>
    <cellStyle name="Normal 3 6 3 2 3 2" xfId="40205"/>
    <cellStyle name="Normal 3 6 3 2 4" xfId="27889"/>
    <cellStyle name="Normal 3 6 3 3" xfId="11309"/>
    <cellStyle name="Normal 3 6 3 3 2" xfId="30987"/>
    <cellStyle name="Normal 3 6 3 4" xfId="17461"/>
    <cellStyle name="Normal 3 6 3 4 2" xfId="37139"/>
    <cellStyle name="Normal 3 6 3 5" xfId="24823"/>
    <cellStyle name="Normal 3 6 4" xfId="6647"/>
    <cellStyle name="Normal 3 6 4 2" xfId="12841"/>
    <cellStyle name="Normal 3 6 4 2 2" xfId="32519"/>
    <cellStyle name="Normal 3 6 4 3" xfId="18993"/>
    <cellStyle name="Normal 3 6 4 3 2" xfId="38671"/>
    <cellStyle name="Normal 3 6 4 4" xfId="26355"/>
    <cellStyle name="Normal 3 6 5" xfId="9775"/>
    <cellStyle name="Normal 3 6 5 2" xfId="29453"/>
    <cellStyle name="Normal 3 6 6" xfId="15927"/>
    <cellStyle name="Normal 3 6 6 2" xfId="35605"/>
    <cellStyle name="Normal 3 6 7" xfId="23236"/>
    <cellStyle name="Normal 3 6 8" xfId="21798"/>
    <cellStyle name="Normal 3 7" xfId="2816"/>
    <cellStyle name="Normal 3 7 2" xfId="4241"/>
    <cellStyle name="Normal 3 7 2 2" xfId="5866"/>
    <cellStyle name="Normal 3 7 2 2 2" xfId="8952"/>
    <cellStyle name="Normal 3 7 2 2 2 2" xfId="15145"/>
    <cellStyle name="Normal 3 7 2 2 2 2 2" xfId="34823"/>
    <cellStyle name="Normal 3 7 2 2 2 3" xfId="21297"/>
    <cellStyle name="Normal 3 7 2 2 2 3 2" xfId="40975"/>
    <cellStyle name="Normal 3 7 2 2 2 4" xfId="28659"/>
    <cellStyle name="Normal 3 7 2 2 3" xfId="12079"/>
    <cellStyle name="Normal 3 7 2 2 3 2" xfId="31757"/>
    <cellStyle name="Normal 3 7 2 2 4" xfId="18231"/>
    <cellStyle name="Normal 3 7 2 2 4 2" xfId="37909"/>
    <cellStyle name="Normal 3 7 2 2 5" xfId="25593"/>
    <cellStyle name="Normal 3 7 2 3" xfId="7417"/>
    <cellStyle name="Normal 3 7 2 3 2" xfId="13611"/>
    <cellStyle name="Normal 3 7 2 3 2 2" xfId="33289"/>
    <cellStyle name="Normal 3 7 2 3 3" xfId="19763"/>
    <cellStyle name="Normal 3 7 2 3 3 2" xfId="39441"/>
    <cellStyle name="Normal 3 7 2 3 4" xfId="27125"/>
    <cellStyle name="Normal 3 7 2 4" xfId="10545"/>
    <cellStyle name="Normal 3 7 2 4 2" xfId="30223"/>
    <cellStyle name="Normal 3 7 2 5" xfId="16697"/>
    <cellStyle name="Normal 3 7 2 5 2" xfId="36375"/>
    <cellStyle name="Normal 3 7 2 6" xfId="24059"/>
    <cellStyle name="Normal 3 7 3" xfId="5083"/>
    <cellStyle name="Normal 3 7 3 2" xfId="8183"/>
    <cellStyle name="Normal 3 7 3 2 2" xfId="14376"/>
    <cellStyle name="Normal 3 7 3 2 2 2" xfId="34054"/>
    <cellStyle name="Normal 3 7 3 2 3" xfId="20528"/>
    <cellStyle name="Normal 3 7 3 2 3 2" xfId="40206"/>
    <cellStyle name="Normal 3 7 3 2 4" xfId="27890"/>
    <cellStyle name="Normal 3 7 3 3" xfId="11310"/>
    <cellStyle name="Normal 3 7 3 3 2" xfId="30988"/>
    <cellStyle name="Normal 3 7 3 4" xfId="17462"/>
    <cellStyle name="Normal 3 7 3 4 2" xfId="37140"/>
    <cellStyle name="Normal 3 7 3 5" xfId="24824"/>
    <cellStyle name="Normal 3 7 4" xfId="6648"/>
    <cellStyle name="Normal 3 7 4 2" xfId="12842"/>
    <cellStyle name="Normal 3 7 4 2 2" xfId="32520"/>
    <cellStyle name="Normal 3 7 4 3" xfId="18994"/>
    <cellStyle name="Normal 3 7 4 3 2" xfId="38672"/>
    <cellStyle name="Normal 3 7 4 4" xfId="26356"/>
    <cellStyle name="Normal 3 7 5" xfId="9776"/>
    <cellStyle name="Normal 3 7 5 2" xfId="29454"/>
    <cellStyle name="Normal 3 7 6" xfId="15928"/>
    <cellStyle name="Normal 3 7 6 2" xfId="35606"/>
    <cellStyle name="Normal 3 7 7" xfId="23237"/>
    <cellStyle name="Normal 3 7 8" xfId="21870"/>
    <cellStyle name="Normal 3 8" xfId="2817"/>
    <cellStyle name="Normal 3 8 2" xfId="4242"/>
    <cellStyle name="Normal 3 8 2 2" xfId="5867"/>
    <cellStyle name="Normal 3 8 2 2 2" xfId="8953"/>
    <cellStyle name="Normal 3 8 2 2 2 2" xfId="15146"/>
    <cellStyle name="Normal 3 8 2 2 2 2 2" xfId="34824"/>
    <cellStyle name="Normal 3 8 2 2 2 3" xfId="21298"/>
    <cellStyle name="Normal 3 8 2 2 2 3 2" xfId="40976"/>
    <cellStyle name="Normal 3 8 2 2 2 4" xfId="28660"/>
    <cellStyle name="Normal 3 8 2 2 3" xfId="12080"/>
    <cellStyle name="Normal 3 8 2 2 3 2" xfId="31758"/>
    <cellStyle name="Normal 3 8 2 2 4" xfId="18232"/>
    <cellStyle name="Normal 3 8 2 2 4 2" xfId="37910"/>
    <cellStyle name="Normal 3 8 2 2 5" xfId="25594"/>
    <cellStyle name="Normal 3 8 2 3" xfId="7418"/>
    <cellStyle name="Normal 3 8 2 3 2" xfId="13612"/>
    <cellStyle name="Normal 3 8 2 3 2 2" xfId="33290"/>
    <cellStyle name="Normal 3 8 2 3 3" xfId="19764"/>
    <cellStyle name="Normal 3 8 2 3 3 2" xfId="39442"/>
    <cellStyle name="Normal 3 8 2 3 4" xfId="27126"/>
    <cellStyle name="Normal 3 8 2 4" xfId="10546"/>
    <cellStyle name="Normal 3 8 2 4 2" xfId="30224"/>
    <cellStyle name="Normal 3 8 2 5" xfId="16698"/>
    <cellStyle name="Normal 3 8 2 5 2" xfId="36376"/>
    <cellStyle name="Normal 3 8 2 6" xfId="24060"/>
    <cellStyle name="Normal 3 8 3" xfId="5084"/>
    <cellStyle name="Normal 3 8 3 2" xfId="8184"/>
    <cellStyle name="Normal 3 8 3 2 2" xfId="14377"/>
    <cellStyle name="Normal 3 8 3 2 2 2" xfId="34055"/>
    <cellStyle name="Normal 3 8 3 2 3" xfId="20529"/>
    <cellStyle name="Normal 3 8 3 2 3 2" xfId="40207"/>
    <cellStyle name="Normal 3 8 3 2 4" xfId="27891"/>
    <cellStyle name="Normal 3 8 3 3" xfId="11311"/>
    <cellStyle name="Normal 3 8 3 3 2" xfId="30989"/>
    <cellStyle name="Normal 3 8 3 4" xfId="17463"/>
    <cellStyle name="Normal 3 8 3 4 2" xfId="37141"/>
    <cellStyle name="Normal 3 8 3 5" xfId="24825"/>
    <cellStyle name="Normal 3 8 4" xfId="6649"/>
    <cellStyle name="Normal 3 8 4 2" xfId="12843"/>
    <cellStyle name="Normal 3 8 4 2 2" xfId="32521"/>
    <cellStyle name="Normal 3 8 4 3" xfId="18995"/>
    <cellStyle name="Normal 3 8 4 3 2" xfId="38673"/>
    <cellStyle name="Normal 3 8 4 4" xfId="26357"/>
    <cellStyle name="Normal 3 8 5" xfId="9777"/>
    <cellStyle name="Normal 3 8 5 2" xfId="29455"/>
    <cellStyle name="Normal 3 8 6" xfId="15929"/>
    <cellStyle name="Normal 3 8 6 2" xfId="35607"/>
    <cellStyle name="Normal 3 8 7" xfId="23238"/>
    <cellStyle name="Normal 3 8 8" xfId="21868"/>
    <cellStyle name="Normal 3 9" xfId="2818"/>
    <cellStyle name="Normal 3 9 2" xfId="4243"/>
    <cellStyle name="Normal 3 9 2 2" xfId="5868"/>
    <cellStyle name="Normal 3 9 2 2 2" xfId="8954"/>
    <cellStyle name="Normal 3 9 2 2 2 2" xfId="15147"/>
    <cellStyle name="Normal 3 9 2 2 2 2 2" xfId="34825"/>
    <cellStyle name="Normal 3 9 2 2 2 3" xfId="21299"/>
    <cellStyle name="Normal 3 9 2 2 2 3 2" xfId="40977"/>
    <cellStyle name="Normal 3 9 2 2 2 4" xfId="28661"/>
    <cellStyle name="Normal 3 9 2 2 3" xfId="12081"/>
    <cellStyle name="Normal 3 9 2 2 3 2" xfId="31759"/>
    <cellStyle name="Normal 3 9 2 2 4" xfId="18233"/>
    <cellStyle name="Normal 3 9 2 2 4 2" xfId="37911"/>
    <cellStyle name="Normal 3 9 2 2 5" xfId="25595"/>
    <cellStyle name="Normal 3 9 2 3" xfId="7419"/>
    <cellStyle name="Normal 3 9 2 3 2" xfId="13613"/>
    <cellStyle name="Normal 3 9 2 3 2 2" xfId="33291"/>
    <cellStyle name="Normal 3 9 2 3 3" xfId="19765"/>
    <cellStyle name="Normal 3 9 2 3 3 2" xfId="39443"/>
    <cellStyle name="Normal 3 9 2 3 4" xfId="27127"/>
    <cellStyle name="Normal 3 9 2 4" xfId="10547"/>
    <cellStyle name="Normal 3 9 2 4 2" xfId="30225"/>
    <cellStyle name="Normal 3 9 2 5" xfId="16699"/>
    <cellStyle name="Normal 3 9 2 5 2" xfId="36377"/>
    <cellStyle name="Normal 3 9 2 6" xfId="24061"/>
    <cellStyle name="Normal 3 9 3" xfId="5085"/>
    <cellStyle name="Normal 3 9 3 2" xfId="8185"/>
    <cellStyle name="Normal 3 9 3 2 2" xfId="14378"/>
    <cellStyle name="Normal 3 9 3 2 2 2" xfId="34056"/>
    <cellStyle name="Normal 3 9 3 2 3" xfId="20530"/>
    <cellStyle name="Normal 3 9 3 2 3 2" xfId="40208"/>
    <cellStyle name="Normal 3 9 3 2 4" xfId="27892"/>
    <cellStyle name="Normal 3 9 3 3" xfId="11312"/>
    <cellStyle name="Normal 3 9 3 3 2" xfId="30990"/>
    <cellStyle name="Normal 3 9 3 4" xfId="17464"/>
    <cellStyle name="Normal 3 9 3 4 2" xfId="37142"/>
    <cellStyle name="Normal 3 9 3 5" xfId="24826"/>
    <cellStyle name="Normal 3 9 4" xfId="6650"/>
    <cellStyle name="Normal 3 9 4 2" xfId="12844"/>
    <cellStyle name="Normal 3 9 4 2 2" xfId="32522"/>
    <cellStyle name="Normal 3 9 4 3" xfId="18996"/>
    <cellStyle name="Normal 3 9 4 3 2" xfId="38674"/>
    <cellStyle name="Normal 3 9 4 4" xfId="26358"/>
    <cellStyle name="Normal 3 9 5" xfId="9778"/>
    <cellStyle name="Normal 3 9 5 2" xfId="29456"/>
    <cellStyle name="Normal 3 9 6" xfId="15930"/>
    <cellStyle name="Normal 3 9 6 2" xfId="35608"/>
    <cellStyle name="Normal 3 9 7" xfId="23239"/>
    <cellStyle name="Normal 3 9 8" xfId="21831"/>
    <cellStyle name="Normal 3_Gas CBR Summary" xfId="41"/>
    <cellStyle name="Normal 30" xfId="2819"/>
    <cellStyle name="Normal 30 2" xfId="42016"/>
    <cellStyle name="Normal 31" xfId="2820"/>
    <cellStyle name="Normal 31 2" xfId="2821"/>
    <cellStyle name="Normal 32" xfId="2822"/>
    <cellStyle name="Normal 32 2" xfId="2823"/>
    <cellStyle name="Normal 33" xfId="2824"/>
    <cellStyle name="Normal 33 2" xfId="2825"/>
    <cellStyle name="Normal 34" xfId="2826"/>
    <cellStyle name="Normal 34 10" xfId="2827"/>
    <cellStyle name="Normal 34 10 2" xfId="2828"/>
    <cellStyle name="Normal 34 11" xfId="2829"/>
    <cellStyle name="Normal 34 11 2" xfId="2830"/>
    <cellStyle name="Normal 34 12" xfId="2831"/>
    <cellStyle name="Normal 34 2" xfId="2832"/>
    <cellStyle name="Normal 34 2 2" xfId="2833"/>
    <cellStyle name="Normal 34 2 2 2" xfId="2834"/>
    <cellStyle name="Normal 34 2 2 2 2" xfId="2835"/>
    <cellStyle name="Normal 34 2 2 3" xfId="2836"/>
    <cellStyle name="Normal 34 2 3" xfId="2837"/>
    <cellStyle name="Normal 34 2 3 2" xfId="2838"/>
    <cellStyle name="Normal 34 2 4" xfId="2839"/>
    <cellStyle name="Normal 34 2 4 2" xfId="2840"/>
    <cellStyle name="Normal 34 2 5" xfId="2841"/>
    <cellStyle name="Normal 34 3" xfId="2842"/>
    <cellStyle name="Normal 34 3 2" xfId="2843"/>
    <cellStyle name="Normal 34 3 2 2" xfId="2844"/>
    <cellStyle name="Normal 34 3 2 2 2" xfId="2845"/>
    <cellStyle name="Normal 34 3 2 3" xfId="2846"/>
    <cellStyle name="Normal 34 3 3" xfId="2847"/>
    <cellStyle name="Normal 34 3 3 2" xfId="2848"/>
    <cellStyle name="Normal 34 3 4" xfId="2849"/>
    <cellStyle name="Normal 34 3 4 2" xfId="2850"/>
    <cellStyle name="Normal 34 3 5" xfId="2851"/>
    <cellStyle name="Normal 34 4" xfId="2852"/>
    <cellStyle name="Normal 34 4 2" xfId="2853"/>
    <cellStyle name="Normal 34 4 2 2" xfId="2854"/>
    <cellStyle name="Normal 34 4 2 2 2" xfId="2855"/>
    <cellStyle name="Normal 34 4 2 3" xfId="2856"/>
    <cellStyle name="Normal 34 4 3" xfId="2857"/>
    <cellStyle name="Normal 34 4 3 2" xfId="2858"/>
    <cellStyle name="Normal 34 4 4" xfId="2859"/>
    <cellStyle name="Normal 34 4 4 2" xfId="2860"/>
    <cellStyle name="Normal 34 4 5" xfId="2861"/>
    <cellStyle name="Normal 34 5" xfId="2862"/>
    <cellStyle name="Normal 34 5 2" xfId="2863"/>
    <cellStyle name="Normal 34 5 2 2" xfId="2864"/>
    <cellStyle name="Normal 34 5 2 2 2" xfId="2865"/>
    <cellStyle name="Normal 34 5 2 3" xfId="2866"/>
    <cellStyle name="Normal 34 5 3" xfId="2867"/>
    <cellStyle name="Normal 34 5 3 2" xfId="2868"/>
    <cellStyle name="Normal 34 5 4" xfId="2869"/>
    <cellStyle name="Normal 34 5 4 2" xfId="2870"/>
    <cellStyle name="Normal 34 5 5" xfId="2871"/>
    <cellStyle name="Normal 34 6" xfId="2872"/>
    <cellStyle name="Normal 34 6 2" xfId="2873"/>
    <cellStyle name="Normal 34 6 2 2" xfId="2874"/>
    <cellStyle name="Normal 34 6 2 2 2" xfId="2875"/>
    <cellStyle name="Normal 34 6 2 3" xfId="2876"/>
    <cellStyle name="Normal 34 6 3" xfId="2877"/>
    <cellStyle name="Normal 34 6 3 2" xfId="2878"/>
    <cellStyle name="Normal 34 6 4" xfId="2879"/>
    <cellStyle name="Normal 34 6 4 2" xfId="2880"/>
    <cellStyle name="Normal 34 6 5" xfId="2881"/>
    <cellStyle name="Normal 34 7" xfId="2882"/>
    <cellStyle name="Normal 34 7 2" xfId="2883"/>
    <cellStyle name="Normal 34 7 2 2" xfId="2884"/>
    <cellStyle name="Normal 34 7 2 2 2" xfId="2885"/>
    <cellStyle name="Normal 34 7 2 3" xfId="2886"/>
    <cellStyle name="Normal 34 7 3" xfId="2887"/>
    <cellStyle name="Normal 34 7 3 2" xfId="2888"/>
    <cellStyle name="Normal 34 7 4" xfId="2889"/>
    <cellStyle name="Normal 34 8" xfId="2890"/>
    <cellStyle name="Normal 34 8 2" xfId="2891"/>
    <cellStyle name="Normal 34 8 2 2" xfId="2892"/>
    <cellStyle name="Normal 34 8 2 2 2" xfId="2893"/>
    <cellStyle name="Normal 34 8 2 3" xfId="2894"/>
    <cellStyle name="Normal 34 8 3" xfId="2895"/>
    <cellStyle name="Normal 34 8 3 2" xfId="2896"/>
    <cellStyle name="Normal 34 8 4" xfId="2897"/>
    <cellStyle name="Normal 34 9" xfId="2898"/>
    <cellStyle name="Normal 34 9 2" xfId="2899"/>
    <cellStyle name="Normal 34 9 2 2" xfId="2900"/>
    <cellStyle name="Normal 34 9 3" xfId="2901"/>
    <cellStyle name="Normal 35" xfId="2902"/>
    <cellStyle name="Normal 35 10" xfId="2903"/>
    <cellStyle name="Normal 35 10 2" xfId="2904"/>
    <cellStyle name="Normal 35 11" xfId="2905"/>
    <cellStyle name="Normal 35 11 2" xfId="2906"/>
    <cellStyle name="Normal 35 12" xfId="2907"/>
    <cellStyle name="Normal 35 2" xfId="2908"/>
    <cellStyle name="Normal 35 2 2" xfId="2909"/>
    <cellStyle name="Normal 35 2 2 2" xfId="2910"/>
    <cellStyle name="Normal 35 2 2 2 2" xfId="2911"/>
    <cellStyle name="Normal 35 2 2 3" xfId="2912"/>
    <cellStyle name="Normal 35 2 3" xfId="2913"/>
    <cellStyle name="Normal 35 2 3 2" xfId="2914"/>
    <cellStyle name="Normal 35 2 4" xfId="2915"/>
    <cellStyle name="Normal 35 2 4 2" xfId="2916"/>
    <cellStyle name="Normal 35 2 5" xfId="2917"/>
    <cellStyle name="Normal 35 3" xfId="2918"/>
    <cellStyle name="Normal 35 3 2" xfId="2919"/>
    <cellStyle name="Normal 35 3 2 2" xfId="2920"/>
    <cellStyle name="Normal 35 3 2 2 2" xfId="2921"/>
    <cellStyle name="Normal 35 3 2 3" xfId="2922"/>
    <cellStyle name="Normal 35 3 3" xfId="2923"/>
    <cellStyle name="Normal 35 3 3 2" xfId="2924"/>
    <cellStyle name="Normal 35 3 4" xfId="2925"/>
    <cellStyle name="Normal 35 3 4 2" xfId="2926"/>
    <cellStyle name="Normal 35 3 5" xfId="2927"/>
    <cellStyle name="Normal 35 4" xfId="2928"/>
    <cellStyle name="Normal 35 4 2" xfId="2929"/>
    <cellStyle name="Normal 35 4 2 2" xfId="2930"/>
    <cellStyle name="Normal 35 4 2 2 2" xfId="2931"/>
    <cellStyle name="Normal 35 4 2 3" xfId="2932"/>
    <cellStyle name="Normal 35 4 3" xfId="2933"/>
    <cellStyle name="Normal 35 4 3 2" xfId="2934"/>
    <cellStyle name="Normal 35 4 4" xfId="2935"/>
    <cellStyle name="Normal 35 4 4 2" xfId="2936"/>
    <cellStyle name="Normal 35 4 5" xfId="2937"/>
    <cellStyle name="Normal 35 5" xfId="2938"/>
    <cellStyle name="Normal 35 5 2" xfId="2939"/>
    <cellStyle name="Normal 35 5 2 2" xfId="2940"/>
    <cellStyle name="Normal 35 5 2 2 2" xfId="2941"/>
    <cellStyle name="Normal 35 5 2 3" xfId="2942"/>
    <cellStyle name="Normal 35 5 3" xfId="2943"/>
    <cellStyle name="Normal 35 5 3 2" xfId="2944"/>
    <cellStyle name="Normal 35 5 4" xfId="2945"/>
    <cellStyle name="Normal 35 5 4 2" xfId="2946"/>
    <cellStyle name="Normal 35 5 5" xfId="2947"/>
    <cellStyle name="Normal 35 6" xfId="2948"/>
    <cellStyle name="Normal 35 6 2" xfId="2949"/>
    <cellStyle name="Normal 35 6 2 2" xfId="2950"/>
    <cellStyle name="Normal 35 6 2 2 2" xfId="2951"/>
    <cellStyle name="Normal 35 6 2 3" xfId="2952"/>
    <cellStyle name="Normal 35 6 3" xfId="2953"/>
    <cellStyle name="Normal 35 6 3 2" xfId="2954"/>
    <cellStyle name="Normal 35 6 4" xfId="2955"/>
    <cellStyle name="Normal 35 6 4 2" xfId="2956"/>
    <cellStyle name="Normal 35 6 5" xfId="2957"/>
    <cellStyle name="Normal 35 7" xfId="2958"/>
    <cellStyle name="Normal 35 7 2" xfId="2959"/>
    <cellStyle name="Normal 35 7 2 2" xfId="2960"/>
    <cellStyle name="Normal 35 7 2 2 2" xfId="2961"/>
    <cellStyle name="Normal 35 7 2 3" xfId="2962"/>
    <cellStyle name="Normal 35 7 3" xfId="2963"/>
    <cellStyle name="Normal 35 7 3 2" xfId="2964"/>
    <cellStyle name="Normal 35 7 4" xfId="2965"/>
    <cellStyle name="Normal 35 8" xfId="2966"/>
    <cellStyle name="Normal 35 8 2" xfId="2967"/>
    <cellStyle name="Normal 35 8 2 2" xfId="2968"/>
    <cellStyle name="Normal 35 8 2 2 2" xfId="2969"/>
    <cellStyle name="Normal 35 8 2 3" xfId="2970"/>
    <cellStyle name="Normal 35 8 3" xfId="2971"/>
    <cellStyle name="Normal 35 8 3 2" xfId="2972"/>
    <cellStyle name="Normal 35 8 4" xfId="2973"/>
    <cellStyle name="Normal 35 9" xfId="2974"/>
    <cellStyle name="Normal 35 9 2" xfId="2975"/>
    <cellStyle name="Normal 35 9 2 2" xfId="2976"/>
    <cellStyle name="Normal 35 9 3" xfId="2977"/>
    <cellStyle name="Normal 36" xfId="2978"/>
    <cellStyle name="Normal 36 2" xfId="2979"/>
    <cellStyle name="Normal 37" xfId="2980"/>
    <cellStyle name="Normal 37 2" xfId="2981"/>
    <cellStyle name="Normal 38" xfId="2982"/>
    <cellStyle name="Normal 38 2" xfId="2983"/>
    <cellStyle name="Normal 38 2 2" xfId="2984"/>
    <cellStyle name="Normal 38 2 2 2" xfId="2985"/>
    <cellStyle name="Normal 38 2 3" xfId="2986"/>
    <cellStyle name="Normal 38 3" xfId="2987"/>
    <cellStyle name="Normal 38 3 2" xfId="2988"/>
    <cellStyle name="Normal 38 4" xfId="2989"/>
    <cellStyle name="Normal 38 4 2" xfId="2990"/>
    <cellStyle name="Normal 38 5" xfId="2991"/>
    <cellStyle name="Normal 39" xfId="2992"/>
    <cellStyle name="Normal 39 2" xfId="2993"/>
    <cellStyle name="Normal 4" xfId="42"/>
    <cellStyle name="Normal 4 10" xfId="2995"/>
    <cellStyle name="Normal 4 10 2" xfId="23240"/>
    <cellStyle name="Normal 4 10 3" xfId="21918"/>
    <cellStyle name="Normal 4 11" xfId="2996"/>
    <cellStyle name="Normal 4 12" xfId="2997"/>
    <cellStyle name="Normal 4 12 2" xfId="2998"/>
    <cellStyle name="Normal 4 12 3" xfId="23241"/>
    <cellStyle name="Normal 4 12 4" xfId="21942"/>
    <cellStyle name="Normal 4 13" xfId="2999"/>
    <cellStyle name="Normal 4 13 2" xfId="3000"/>
    <cellStyle name="Normal 4 13 3" xfId="23242"/>
    <cellStyle name="Normal 4 13 4" xfId="21953"/>
    <cellStyle name="Normal 4 14" xfId="3682"/>
    <cellStyle name="Normal 4 14 2" xfId="23592"/>
    <cellStyle name="Normal 4 14 3" xfId="21964"/>
    <cellStyle name="Normal 4 15" xfId="2994"/>
    <cellStyle name="Normal 4 16" xfId="9298"/>
    <cellStyle name="Normal 4 16 2" xfId="28996"/>
    <cellStyle name="Normal 4 16 3" xfId="21992"/>
    <cellStyle name="Normal 4 17" xfId="217"/>
    <cellStyle name="Normal 4 17 2" xfId="22694"/>
    <cellStyle name="Normal 4 17 3" xfId="21999"/>
    <cellStyle name="Normal 4 18" xfId="22022"/>
    <cellStyle name="Normal 4 19" xfId="22064"/>
    <cellStyle name="Normal 4 2" xfId="3001"/>
    <cellStyle name="Normal 4 2 10" xfId="3002"/>
    <cellStyle name="Normal 4 2 10 2" xfId="4244"/>
    <cellStyle name="Normal 4 2 10 2 2" xfId="5869"/>
    <cellStyle name="Normal 4 2 10 2 2 2" xfId="8955"/>
    <cellStyle name="Normal 4 2 10 2 2 2 2" xfId="15148"/>
    <cellStyle name="Normal 4 2 10 2 2 2 2 2" xfId="34826"/>
    <cellStyle name="Normal 4 2 10 2 2 2 3" xfId="21300"/>
    <cellStyle name="Normal 4 2 10 2 2 2 3 2" xfId="40978"/>
    <cellStyle name="Normal 4 2 10 2 2 2 4" xfId="28662"/>
    <cellStyle name="Normal 4 2 10 2 2 3" xfId="12082"/>
    <cellStyle name="Normal 4 2 10 2 2 3 2" xfId="31760"/>
    <cellStyle name="Normal 4 2 10 2 2 4" xfId="18234"/>
    <cellStyle name="Normal 4 2 10 2 2 4 2" xfId="37912"/>
    <cellStyle name="Normal 4 2 10 2 2 5" xfId="25596"/>
    <cellStyle name="Normal 4 2 10 2 3" xfId="7420"/>
    <cellStyle name="Normal 4 2 10 2 3 2" xfId="13614"/>
    <cellStyle name="Normal 4 2 10 2 3 2 2" xfId="33292"/>
    <cellStyle name="Normal 4 2 10 2 3 3" xfId="19766"/>
    <cellStyle name="Normal 4 2 10 2 3 3 2" xfId="39444"/>
    <cellStyle name="Normal 4 2 10 2 3 4" xfId="27128"/>
    <cellStyle name="Normal 4 2 10 2 4" xfId="10548"/>
    <cellStyle name="Normal 4 2 10 2 4 2" xfId="30226"/>
    <cellStyle name="Normal 4 2 10 2 5" xfId="16700"/>
    <cellStyle name="Normal 4 2 10 2 5 2" xfId="36378"/>
    <cellStyle name="Normal 4 2 10 2 6" xfId="24062"/>
    <cellStyle name="Normal 4 2 10 3" xfId="5086"/>
    <cellStyle name="Normal 4 2 10 3 2" xfId="8186"/>
    <cellStyle name="Normal 4 2 10 3 2 2" xfId="14379"/>
    <cellStyle name="Normal 4 2 10 3 2 2 2" xfId="34057"/>
    <cellStyle name="Normal 4 2 10 3 2 3" xfId="20531"/>
    <cellStyle name="Normal 4 2 10 3 2 3 2" xfId="40209"/>
    <cellStyle name="Normal 4 2 10 3 2 4" xfId="27893"/>
    <cellStyle name="Normal 4 2 10 3 3" xfId="11313"/>
    <cellStyle name="Normal 4 2 10 3 3 2" xfId="30991"/>
    <cellStyle name="Normal 4 2 10 3 4" xfId="17465"/>
    <cellStyle name="Normal 4 2 10 3 4 2" xfId="37143"/>
    <cellStyle name="Normal 4 2 10 3 5" xfId="24827"/>
    <cellStyle name="Normal 4 2 10 4" xfId="6651"/>
    <cellStyle name="Normal 4 2 10 4 2" xfId="12845"/>
    <cellStyle name="Normal 4 2 10 4 2 2" xfId="32523"/>
    <cellStyle name="Normal 4 2 10 4 3" xfId="18997"/>
    <cellStyle name="Normal 4 2 10 4 3 2" xfId="38675"/>
    <cellStyle name="Normal 4 2 10 4 4" xfId="26359"/>
    <cellStyle name="Normal 4 2 10 5" xfId="9779"/>
    <cellStyle name="Normal 4 2 10 5 2" xfId="29457"/>
    <cellStyle name="Normal 4 2 10 6" xfId="15931"/>
    <cellStyle name="Normal 4 2 10 6 2" xfId="35609"/>
    <cellStyle name="Normal 4 2 10 7" xfId="23244"/>
    <cellStyle name="Normal 4 2 11" xfId="3003"/>
    <cellStyle name="Normal 4 2 11 2" xfId="4245"/>
    <cellStyle name="Normal 4 2 11 2 2" xfId="5870"/>
    <cellStyle name="Normal 4 2 11 2 2 2" xfId="8956"/>
    <cellStyle name="Normal 4 2 11 2 2 2 2" xfId="15149"/>
    <cellStyle name="Normal 4 2 11 2 2 2 2 2" xfId="34827"/>
    <cellStyle name="Normal 4 2 11 2 2 2 3" xfId="21301"/>
    <cellStyle name="Normal 4 2 11 2 2 2 3 2" xfId="40979"/>
    <cellStyle name="Normal 4 2 11 2 2 2 4" xfId="28663"/>
    <cellStyle name="Normal 4 2 11 2 2 3" xfId="12083"/>
    <cellStyle name="Normal 4 2 11 2 2 3 2" xfId="31761"/>
    <cellStyle name="Normal 4 2 11 2 2 4" xfId="18235"/>
    <cellStyle name="Normal 4 2 11 2 2 4 2" xfId="37913"/>
    <cellStyle name="Normal 4 2 11 2 2 5" xfId="25597"/>
    <cellStyle name="Normal 4 2 11 2 3" xfId="7421"/>
    <cellStyle name="Normal 4 2 11 2 3 2" xfId="13615"/>
    <cellStyle name="Normal 4 2 11 2 3 2 2" xfId="33293"/>
    <cellStyle name="Normal 4 2 11 2 3 3" xfId="19767"/>
    <cellStyle name="Normal 4 2 11 2 3 3 2" xfId="39445"/>
    <cellStyle name="Normal 4 2 11 2 3 4" xfId="27129"/>
    <cellStyle name="Normal 4 2 11 2 4" xfId="10549"/>
    <cellStyle name="Normal 4 2 11 2 4 2" xfId="30227"/>
    <cellStyle name="Normal 4 2 11 2 5" xfId="16701"/>
    <cellStyle name="Normal 4 2 11 2 5 2" xfId="36379"/>
    <cellStyle name="Normal 4 2 11 2 6" xfId="24063"/>
    <cellStyle name="Normal 4 2 11 3" xfId="5087"/>
    <cellStyle name="Normal 4 2 11 3 2" xfId="8187"/>
    <cellStyle name="Normal 4 2 11 3 2 2" xfId="14380"/>
    <cellStyle name="Normal 4 2 11 3 2 2 2" xfId="34058"/>
    <cellStyle name="Normal 4 2 11 3 2 3" xfId="20532"/>
    <cellStyle name="Normal 4 2 11 3 2 3 2" xfId="40210"/>
    <cellStyle name="Normal 4 2 11 3 2 4" xfId="27894"/>
    <cellStyle name="Normal 4 2 11 3 3" xfId="11314"/>
    <cellStyle name="Normal 4 2 11 3 3 2" xfId="30992"/>
    <cellStyle name="Normal 4 2 11 3 4" xfId="17466"/>
    <cellStyle name="Normal 4 2 11 3 4 2" xfId="37144"/>
    <cellStyle name="Normal 4 2 11 3 5" xfId="24828"/>
    <cellStyle name="Normal 4 2 11 4" xfId="6652"/>
    <cellStyle name="Normal 4 2 11 4 2" xfId="12846"/>
    <cellStyle name="Normal 4 2 11 4 2 2" xfId="32524"/>
    <cellStyle name="Normal 4 2 11 4 3" xfId="18998"/>
    <cellStyle name="Normal 4 2 11 4 3 2" xfId="38676"/>
    <cellStyle name="Normal 4 2 11 4 4" xfId="26360"/>
    <cellStyle name="Normal 4 2 11 5" xfId="9780"/>
    <cellStyle name="Normal 4 2 11 5 2" xfId="29458"/>
    <cellStyle name="Normal 4 2 11 6" xfId="15932"/>
    <cellStyle name="Normal 4 2 11 6 2" xfId="35610"/>
    <cellStyle name="Normal 4 2 11 7" xfId="23245"/>
    <cellStyle name="Normal 4 2 12" xfId="3004"/>
    <cellStyle name="Normal 4 2 12 2" xfId="4246"/>
    <cellStyle name="Normal 4 2 12 2 2" xfId="5871"/>
    <cellStyle name="Normal 4 2 12 2 2 2" xfId="8957"/>
    <cellStyle name="Normal 4 2 12 2 2 2 2" xfId="15150"/>
    <cellStyle name="Normal 4 2 12 2 2 2 2 2" xfId="34828"/>
    <cellStyle name="Normal 4 2 12 2 2 2 3" xfId="21302"/>
    <cellStyle name="Normal 4 2 12 2 2 2 3 2" xfId="40980"/>
    <cellStyle name="Normal 4 2 12 2 2 2 4" xfId="28664"/>
    <cellStyle name="Normal 4 2 12 2 2 3" xfId="12084"/>
    <cellStyle name="Normal 4 2 12 2 2 3 2" xfId="31762"/>
    <cellStyle name="Normal 4 2 12 2 2 4" xfId="18236"/>
    <cellStyle name="Normal 4 2 12 2 2 4 2" xfId="37914"/>
    <cellStyle name="Normal 4 2 12 2 2 5" xfId="25598"/>
    <cellStyle name="Normal 4 2 12 2 3" xfId="7422"/>
    <cellStyle name="Normal 4 2 12 2 3 2" xfId="13616"/>
    <cellStyle name="Normal 4 2 12 2 3 2 2" xfId="33294"/>
    <cellStyle name="Normal 4 2 12 2 3 3" xfId="19768"/>
    <cellStyle name="Normal 4 2 12 2 3 3 2" xfId="39446"/>
    <cellStyle name="Normal 4 2 12 2 3 4" xfId="27130"/>
    <cellStyle name="Normal 4 2 12 2 4" xfId="10550"/>
    <cellStyle name="Normal 4 2 12 2 4 2" xfId="30228"/>
    <cellStyle name="Normal 4 2 12 2 5" xfId="16702"/>
    <cellStyle name="Normal 4 2 12 2 5 2" xfId="36380"/>
    <cellStyle name="Normal 4 2 12 2 6" xfId="24064"/>
    <cellStyle name="Normal 4 2 12 3" xfId="5088"/>
    <cellStyle name="Normal 4 2 12 3 2" xfId="8188"/>
    <cellStyle name="Normal 4 2 12 3 2 2" xfId="14381"/>
    <cellStyle name="Normal 4 2 12 3 2 2 2" xfId="34059"/>
    <cellStyle name="Normal 4 2 12 3 2 3" xfId="20533"/>
    <cellStyle name="Normal 4 2 12 3 2 3 2" xfId="40211"/>
    <cellStyle name="Normal 4 2 12 3 2 4" xfId="27895"/>
    <cellStyle name="Normal 4 2 12 3 3" xfId="11315"/>
    <cellStyle name="Normal 4 2 12 3 3 2" xfId="30993"/>
    <cellStyle name="Normal 4 2 12 3 4" xfId="17467"/>
    <cellStyle name="Normal 4 2 12 3 4 2" xfId="37145"/>
    <cellStyle name="Normal 4 2 12 3 5" xfId="24829"/>
    <cellStyle name="Normal 4 2 12 4" xfId="6653"/>
    <cellStyle name="Normal 4 2 12 4 2" xfId="12847"/>
    <cellStyle name="Normal 4 2 12 4 2 2" xfId="32525"/>
    <cellStyle name="Normal 4 2 12 4 3" xfId="18999"/>
    <cellStyle name="Normal 4 2 12 4 3 2" xfId="38677"/>
    <cellStyle name="Normal 4 2 12 4 4" xfId="26361"/>
    <cellStyle name="Normal 4 2 12 5" xfId="9781"/>
    <cellStyle name="Normal 4 2 12 5 2" xfId="29459"/>
    <cellStyle name="Normal 4 2 12 6" xfId="15933"/>
    <cellStyle name="Normal 4 2 12 6 2" xfId="35611"/>
    <cellStyle name="Normal 4 2 12 7" xfId="23246"/>
    <cellStyle name="Normal 4 2 13" xfId="3005"/>
    <cellStyle name="Normal 4 2 13 2" xfId="4247"/>
    <cellStyle name="Normal 4 2 13 2 2" xfId="5872"/>
    <cellStyle name="Normal 4 2 13 2 2 2" xfId="8958"/>
    <cellStyle name="Normal 4 2 13 2 2 2 2" xfId="15151"/>
    <cellStyle name="Normal 4 2 13 2 2 2 2 2" xfId="34829"/>
    <cellStyle name="Normal 4 2 13 2 2 2 3" xfId="21303"/>
    <cellStyle name="Normal 4 2 13 2 2 2 3 2" xfId="40981"/>
    <cellStyle name="Normal 4 2 13 2 2 2 4" xfId="28665"/>
    <cellStyle name="Normal 4 2 13 2 2 3" xfId="12085"/>
    <cellStyle name="Normal 4 2 13 2 2 3 2" xfId="31763"/>
    <cellStyle name="Normal 4 2 13 2 2 4" xfId="18237"/>
    <cellStyle name="Normal 4 2 13 2 2 4 2" xfId="37915"/>
    <cellStyle name="Normal 4 2 13 2 2 5" xfId="25599"/>
    <cellStyle name="Normal 4 2 13 2 3" xfId="7423"/>
    <cellStyle name="Normal 4 2 13 2 3 2" xfId="13617"/>
    <cellStyle name="Normal 4 2 13 2 3 2 2" xfId="33295"/>
    <cellStyle name="Normal 4 2 13 2 3 3" xfId="19769"/>
    <cellStyle name="Normal 4 2 13 2 3 3 2" xfId="39447"/>
    <cellStyle name="Normal 4 2 13 2 3 4" xfId="27131"/>
    <cellStyle name="Normal 4 2 13 2 4" xfId="10551"/>
    <cellStyle name="Normal 4 2 13 2 4 2" xfId="30229"/>
    <cellStyle name="Normal 4 2 13 2 5" xfId="16703"/>
    <cellStyle name="Normal 4 2 13 2 5 2" xfId="36381"/>
    <cellStyle name="Normal 4 2 13 2 6" xfId="24065"/>
    <cellStyle name="Normal 4 2 13 3" xfId="5089"/>
    <cellStyle name="Normal 4 2 13 3 2" xfId="8189"/>
    <cellStyle name="Normal 4 2 13 3 2 2" xfId="14382"/>
    <cellStyle name="Normal 4 2 13 3 2 2 2" xfId="34060"/>
    <cellStyle name="Normal 4 2 13 3 2 3" xfId="20534"/>
    <cellStyle name="Normal 4 2 13 3 2 3 2" xfId="40212"/>
    <cellStyle name="Normal 4 2 13 3 2 4" xfId="27896"/>
    <cellStyle name="Normal 4 2 13 3 3" xfId="11316"/>
    <cellStyle name="Normal 4 2 13 3 3 2" xfId="30994"/>
    <cellStyle name="Normal 4 2 13 3 4" xfId="17468"/>
    <cellStyle name="Normal 4 2 13 3 4 2" xfId="37146"/>
    <cellStyle name="Normal 4 2 13 3 5" xfId="24830"/>
    <cellStyle name="Normal 4 2 13 4" xfId="6654"/>
    <cellStyle name="Normal 4 2 13 4 2" xfId="12848"/>
    <cellStyle name="Normal 4 2 13 4 2 2" xfId="32526"/>
    <cellStyle name="Normal 4 2 13 4 3" xfId="19000"/>
    <cellStyle name="Normal 4 2 13 4 3 2" xfId="38678"/>
    <cellStyle name="Normal 4 2 13 4 4" xfId="26362"/>
    <cellStyle name="Normal 4 2 13 5" xfId="9782"/>
    <cellStyle name="Normal 4 2 13 5 2" xfId="29460"/>
    <cellStyle name="Normal 4 2 13 6" xfId="15934"/>
    <cellStyle name="Normal 4 2 13 6 2" xfId="35612"/>
    <cellStyle name="Normal 4 2 13 7" xfId="23247"/>
    <cellStyle name="Normal 4 2 14" xfId="3006"/>
    <cellStyle name="Normal 4 2 14 2" xfId="4248"/>
    <cellStyle name="Normal 4 2 14 2 2" xfId="5873"/>
    <cellStyle name="Normal 4 2 14 2 2 2" xfId="8959"/>
    <cellStyle name="Normal 4 2 14 2 2 2 2" xfId="15152"/>
    <cellStyle name="Normal 4 2 14 2 2 2 2 2" xfId="34830"/>
    <cellStyle name="Normal 4 2 14 2 2 2 3" xfId="21304"/>
    <cellStyle name="Normal 4 2 14 2 2 2 3 2" xfId="40982"/>
    <cellStyle name="Normal 4 2 14 2 2 2 4" xfId="28666"/>
    <cellStyle name="Normal 4 2 14 2 2 3" xfId="12086"/>
    <cellStyle name="Normal 4 2 14 2 2 3 2" xfId="31764"/>
    <cellStyle name="Normal 4 2 14 2 2 4" xfId="18238"/>
    <cellStyle name="Normal 4 2 14 2 2 4 2" xfId="37916"/>
    <cellStyle name="Normal 4 2 14 2 2 5" xfId="25600"/>
    <cellStyle name="Normal 4 2 14 2 3" xfId="7424"/>
    <cellStyle name="Normal 4 2 14 2 3 2" xfId="13618"/>
    <cellStyle name="Normal 4 2 14 2 3 2 2" xfId="33296"/>
    <cellStyle name="Normal 4 2 14 2 3 3" xfId="19770"/>
    <cellStyle name="Normal 4 2 14 2 3 3 2" xfId="39448"/>
    <cellStyle name="Normal 4 2 14 2 3 4" xfId="27132"/>
    <cellStyle name="Normal 4 2 14 2 4" xfId="10552"/>
    <cellStyle name="Normal 4 2 14 2 4 2" xfId="30230"/>
    <cellStyle name="Normal 4 2 14 2 5" xfId="16704"/>
    <cellStyle name="Normal 4 2 14 2 5 2" xfId="36382"/>
    <cellStyle name="Normal 4 2 14 2 6" xfId="24066"/>
    <cellStyle name="Normal 4 2 14 3" xfId="5090"/>
    <cellStyle name="Normal 4 2 14 3 2" xfId="8190"/>
    <cellStyle name="Normal 4 2 14 3 2 2" xfId="14383"/>
    <cellStyle name="Normal 4 2 14 3 2 2 2" xfId="34061"/>
    <cellStyle name="Normal 4 2 14 3 2 3" xfId="20535"/>
    <cellStyle name="Normal 4 2 14 3 2 3 2" xfId="40213"/>
    <cellStyle name="Normal 4 2 14 3 2 4" xfId="27897"/>
    <cellStyle name="Normal 4 2 14 3 3" xfId="11317"/>
    <cellStyle name="Normal 4 2 14 3 3 2" xfId="30995"/>
    <cellStyle name="Normal 4 2 14 3 4" xfId="17469"/>
    <cellStyle name="Normal 4 2 14 3 4 2" xfId="37147"/>
    <cellStyle name="Normal 4 2 14 3 5" xfId="24831"/>
    <cellStyle name="Normal 4 2 14 4" xfId="6655"/>
    <cellStyle name="Normal 4 2 14 4 2" xfId="12849"/>
    <cellStyle name="Normal 4 2 14 4 2 2" xfId="32527"/>
    <cellStyle name="Normal 4 2 14 4 3" xfId="19001"/>
    <cellStyle name="Normal 4 2 14 4 3 2" xfId="38679"/>
    <cellStyle name="Normal 4 2 14 4 4" xfId="26363"/>
    <cellStyle name="Normal 4 2 14 5" xfId="9783"/>
    <cellStyle name="Normal 4 2 14 5 2" xfId="29461"/>
    <cellStyle name="Normal 4 2 14 6" xfId="15935"/>
    <cellStyle name="Normal 4 2 14 6 2" xfId="35613"/>
    <cellStyle name="Normal 4 2 14 7" xfId="23248"/>
    <cellStyle name="Normal 4 2 15" xfId="3007"/>
    <cellStyle name="Normal 4 2 15 2" xfId="4249"/>
    <cellStyle name="Normal 4 2 15 2 2" xfId="5874"/>
    <cellStyle name="Normal 4 2 15 2 2 2" xfId="8960"/>
    <cellStyle name="Normal 4 2 15 2 2 2 2" xfId="15153"/>
    <cellStyle name="Normal 4 2 15 2 2 2 2 2" xfId="34831"/>
    <cellStyle name="Normal 4 2 15 2 2 2 3" xfId="21305"/>
    <cellStyle name="Normal 4 2 15 2 2 2 3 2" xfId="40983"/>
    <cellStyle name="Normal 4 2 15 2 2 2 4" xfId="28667"/>
    <cellStyle name="Normal 4 2 15 2 2 3" xfId="12087"/>
    <cellStyle name="Normal 4 2 15 2 2 3 2" xfId="31765"/>
    <cellStyle name="Normal 4 2 15 2 2 4" xfId="18239"/>
    <cellStyle name="Normal 4 2 15 2 2 4 2" xfId="37917"/>
    <cellStyle name="Normal 4 2 15 2 2 5" xfId="25601"/>
    <cellStyle name="Normal 4 2 15 2 3" xfId="7425"/>
    <cellStyle name="Normal 4 2 15 2 3 2" xfId="13619"/>
    <cellStyle name="Normal 4 2 15 2 3 2 2" xfId="33297"/>
    <cellStyle name="Normal 4 2 15 2 3 3" xfId="19771"/>
    <cellStyle name="Normal 4 2 15 2 3 3 2" xfId="39449"/>
    <cellStyle name="Normal 4 2 15 2 3 4" xfId="27133"/>
    <cellStyle name="Normal 4 2 15 2 4" xfId="10553"/>
    <cellStyle name="Normal 4 2 15 2 4 2" xfId="30231"/>
    <cellStyle name="Normal 4 2 15 2 5" xfId="16705"/>
    <cellStyle name="Normal 4 2 15 2 5 2" xfId="36383"/>
    <cellStyle name="Normal 4 2 15 2 6" xfId="24067"/>
    <cellStyle name="Normal 4 2 15 3" xfId="5091"/>
    <cellStyle name="Normal 4 2 15 3 2" xfId="8191"/>
    <cellStyle name="Normal 4 2 15 3 2 2" xfId="14384"/>
    <cellStyle name="Normal 4 2 15 3 2 2 2" xfId="34062"/>
    <cellStyle name="Normal 4 2 15 3 2 3" xfId="20536"/>
    <cellStyle name="Normal 4 2 15 3 2 3 2" xfId="40214"/>
    <cellStyle name="Normal 4 2 15 3 2 4" xfId="27898"/>
    <cellStyle name="Normal 4 2 15 3 3" xfId="11318"/>
    <cellStyle name="Normal 4 2 15 3 3 2" xfId="30996"/>
    <cellStyle name="Normal 4 2 15 3 4" xfId="17470"/>
    <cellStyle name="Normal 4 2 15 3 4 2" xfId="37148"/>
    <cellStyle name="Normal 4 2 15 3 5" xfId="24832"/>
    <cellStyle name="Normal 4 2 15 4" xfId="6656"/>
    <cellStyle name="Normal 4 2 15 4 2" xfId="12850"/>
    <cellStyle name="Normal 4 2 15 4 2 2" xfId="32528"/>
    <cellStyle name="Normal 4 2 15 4 3" xfId="19002"/>
    <cellStyle name="Normal 4 2 15 4 3 2" xfId="38680"/>
    <cellStyle name="Normal 4 2 15 4 4" xfId="26364"/>
    <cellStyle name="Normal 4 2 15 5" xfId="9784"/>
    <cellStyle name="Normal 4 2 15 5 2" xfId="29462"/>
    <cellStyle name="Normal 4 2 15 6" xfId="15936"/>
    <cellStyle name="Normal 4 2 15 6 2" xfId="35614"/>
    <cellStyle name="Normal 4 2 15 7" xfId="23249"/>
    <cellStyle name="Normal 4 2 16" xfId="3008"/>
    <cellStyle name="Normal 4 2 16 2" xfId="4250"/>
    <cellStyle name="Normal 4 2 16 2 2" xfId="5875"/>
    <cellStyle name="Normal 4 2 16 2 2 2" xfId="8961"/>
    <cellStyle name="Normal 4 2 16 2 2 2 2" xfId="15154"/>
    <cellStyle name="Normal 4 2 16 2 2 2 2 2" xfId="34832"/>
    <cellStyle name="Normal 4 2 16 2 2 2 3" xfId="21306"/>
    <cellStyle name="Normal 4 2 16 2 2 2 3 2" xfId="40984"/>
    <cellStyle name="Normal 4 2 16 2 2 2 4" xfId="28668"/>
    <cellStyle name="Normal 4 2 16 2 2 3" xfId="12088"/>
    <cellStyle name="Normal 4 2 16 2 2 3 2" xfId="31766"/>
    <cellStyle name="Normal 4 2 16 2 2 4" xfId="18240"/>
    <cellStyle name="Normal 4 2 16 2 2 4 2" xfId="37918"/>
    <cellStyle name="Normal 4 2 16 2 2 5" xfId="25602"/>
    <cellStyle name="Normal 4 2 16 2 3" xfId="7426"/>
    <cellStyle name="Normal 4 2 16 2 3 2" xfId="13620"/>
    <cellStyle name="Normal 4 2 16 2 3 2 2" xfId="33298"/>
    <cellStyle name="Normal 4 2 16 2 3 3" xfId="19772"/>
    <cellStyle name="Normal 4 2 16 2 3 3 2" xfId="39450"/>
    <cellStyle name="Normal 4 2 16 2 3 4" xfId="27134"/>
    <cellStyle name="Normal 4 2 16 2 4" xfId="10554"/>
    <cellStyle name="Normal 4 2 16 2 4 2" xfId="30232"/>
    <cellStyle name="Normal 4 2 16 2 5" xfId="16706"/>
    <cellStyle name="Normal 4 2 16 2 5 2" xfId="36384"/>
    <cellStyle name="Normal 4 2 16 2 6" xfId="24068"/>
    <cellStyle name="Normal 4 2 16 3" xfId="5092"/>
    <cellStyle name="Normal 4 2 16 3 2" xfId="8192"/>
    <cellStyle name="Normal 4 2 16 3 2 2" xfId="14385"/>
    <cellStyle name="Normal 4 2 16 3 2 2 2" xfId="34063"/>
    <cellStyle name="Normal 4 2 16 3 2 3" xfId="20537"/>
    <cellStyle name="Normal 4 2 16 3 2 3 2" xfId="40215"/>
    <cellStyle name="Normal 4 2 16 3 2 4" xfId="27899"/>
    <cellStyle name="Normal 4 2 16 3 3" xfId="11319"/>
    <cellStyle name="Normal 4 2 16 3 3 2" xfId="30997"/>
    <cellStyle name="Normal 4 2 16 3 4" xfId="17471"/>
    <cellStyle name="Normal 4 2 16 3 4 2" xfId="37149"/>
    <cellStyle name="Normal 4 2 16 3 5" xfId="24833"/>
    <cellStyle name="Normal 4 2 16 4" xfId="6657"/>
    <cellStyle name="Normal 4 2 16 4 2" xfId="12851"/>
    <cellStyle name="Normal 4 2 16 4 2 2" xfId="32529"/>
    <cellStyle name="Normal 4 2 16 4 3" xfId="19003"/>
    <cellStyle name="Normal 4 2 16 4 3 2" xfId="38681"/>
    <cellStyle name="Normal 4 2 16 4 4" xfId="26365"/>
    <cellStyle name="Normal 4 2 16 5" xfId="9785"/>
    <cellStyle name="Normal 4 2 16 5 2" xfId="29463"/>
    <cellStyle name="Normal 4 2 16 6" xfId="15937"/>
    <cellStyle name="Normal 4 2 16 6 2" xfId="35615"/>
    <cellStyle name="Normal 4 2 16 7" xfId="23250"/>
    <cellStyle name="Normal 4 2 17" xfId="3009"/>
    <cellStyle name="Normal 4 2 17 2" xfId="4251"/>
    <cellStyle name="Normal 4 2 17 2 2" xfId="5876"/>
    <cellStyle name="Normal 4 2 17 2 2 2" xfId="8962"/>
    <cellStyle name="Normal 4 2 17 2 2 2 2" xfId="15155"/>
    <cellStyle name="Normal 4 2 17 2 2 2 2 2" xfId="34833"/>
    <cellStyle name="Normal 4 2 17 2 2 2 3" xfId="21307"/>
    <cellStyle name="Normal 4 2 17 2 2 2 3 2" xfId="40985"/>
    <cellStyle name="Normal 4 2 17 2 2 2 4" xfId="28669"/>
    <cellStyle name="Normal 4 2 17 2 2 3" xfId="12089"/>
    <cellStyle name="Normal 4 2 17 2 2 3 2" xfId="31767"/>
    <cellStyle name="Normal 4 2 17 2 2 4" xfId="18241"/>
    <cellStyle name="Normal 4 2 17 2 2 4 2" xfId="37919"/>
    <cellStyle name="Normal 4 2 17 2 2 5" xfId="25603"/>
    <cellStyle name="Normal 4 2 17 2 3" xfId="7427"/>
    <cellStyle name="Normal 4 2 17 2 3 2" xfId="13621"/>
    <cellStyle name="Normal 4 2 17 2 3 2 2" xfId="33299"/>
    <cellStyle name="Normal 4 2 17 2 3 3" xfId="19773"/>
    <cellStyle name="Normal 4 2 17 2 3 3 2" xfId="39451"/>
    <cellStyle name="Normal 4 2 17 2 3 4" xfId="27135"/>
    <cellStyle name="Normal 4 2 17 2 4" xfId="10555"/>
    <cellStyle name="Normal 4 2 17 2 4 2" xfId="30233"/>
    <cellStyle name="Normal 4 2 17 2 5" xfId="16707"/>
    <cellStyle name="Normal 4 2 17 2 5 2" xfId="36385"/>
    <cellStyle name="Normal 4 2 17 2 6" xfId="24069"/>
    <cellStyle name="Normal 4 2 17 3" xfId="5093"/>
    <cellStyle name="Normal 4 2 17 3 2" xfId="8193"/>
    <cellStyle name="Normal 4 2 17 3 2 2" xfId="14386"/>
    <cellStyle name="Normal 4 2 17 3 2 2 2" xfId="34064"/>
    <cellStyle name="Normal 4 2 17 3 2 3" xfId="20538"/>
    <cellStyle name="Normal 4 2 17 3 2 3 2" xfId="40216"/>
    <cellStyle name="Normal 4 2 17 3 2 4" xfId="27900"/>
    <cellStyle name="Normal 4 2 17 3 3" xfId="11320"/>
    <cellStyle name="Normal 4 2 17 3 3 2" xfId="30998"/>
    <cellStyle name="Normal 4 2 17 3 4" xfId="17472"/>
    <cellStyle name="Normal 4 2 17 3 4 2" xfId="37150"/>
    <cellStyle name="Normal 4 2 17 3 5" xfId="24834"/>
    <cellStyle name="Normal 4 2 17 4" xfId="6658"/>
    <cellStyle name="Normal 4 2 17 4 2" xfId="12852"/>
    <cellStyle name="Normal 4 2 17 4 2 2" xfId="32530"/>
    <cellStyle name="Normal 4 2 17 4 3" xfId="19004"/>
    <cellStyle name="Normal 4 2 17 4 3 2" xfId="38682"/>
    <cellStyle name="Normal 4 2 17 4 4" xfId="26366"/>
    <cellStyle name="Normal 4 2 17 5" xfId="9786"/>
    <cellStyle name="Normal 4 2 17 5 2" xfId="29464"/>
    <cellStyle name="Normal 4 2 17 6" xfId="15938"/>
    <cellStyle name="Normal 4 2 17 6 2" xfId="35616"/>
    <cellStyle name="Normal 4 2 17 7" xfId="23251"/>
    <cellStyle name="Normal 4 2 18" xfId="3010"/>
    <cellStyle name="Normal 4 2 18 2" xfId="4252"/>
    <cellStyle name="Normal 4 2 18 2 2" xfId="5877"/>
    <cellStyle name="Normal 4 2 18 2 2 2" xfId="8963"/>
    <cellStyle name="Normal 4 2 18 2 2 2 2" xfId="15156"/>
    <cellStyle name="Normal 4 2 18 2 2 2 2 2" xfId="34834"/>
    <cellStyle name="Normal 4 2 18 2 2 2 3" xfId="21308"/>
    <cellStyle name="Normal 4 2 18 2 2 2 3 2" xfId="40986"/>
    <cellStyle name="Normal 4 2 18 2 2 2 4" xfId="28670"/>
    <cellStyle name="Normal 4 2 18 2 2 3" xfId="12090"/>
    <cellStyle name="Normal 4 2 18 2 2 3 2" xfId="31768"/>
    <cellStyle name="Normal 4 2 18 2 2 4" xfId="18242"/>
    <cellStyle name="Normal 4 2 18 2 2 4 2" xfId="37920"/>
    <cellStyle name="Normal 4 2 18 2 2 5" xfId="25604"/>
    <cellStyle name="Normal 4 2 18 2 3" xfId="7428"/>
    <cellStyle name="Normal 4 2 18 2 3 2" xfId="13622"/>
    <cellStyle name="Normal 4 2 18 2 3 2 2" xfId="33300"/>
    <cellStyle name="Normal 4 2 18 2 3 3" xfId="19774"/>
    <cellStyle name="Normal 4 2 18 2 3 3 2" xfId="39452"/>
    <cellStyle name="Normal 4 2 18 2 3 4" xfId="27136"/>
    <cellStyle name="Normal 4 2 18 2 4" xfId="10556"/>
    <cellStyle name="Normal 4 2 18 2 4 2" xfId="30234"/>
    <cellStyle name="Normal 4 2 18 2 5" xfId="16708"/>
    <cellStyle name="Normal 4 2 18 2 5 2" xfId="36386"/>
    <cellStyle name="Normal 4 2 18 2 6" xfId="24070"/>
    <cellStyle name="Normal 4 2 18 3" xfId="5094"/>
    <cellStyle name="Normal 4 2 18 3 2" xfId="8194"/>
    <cellStyle name="Normal 4 2 18 3 2 2" xfId="14387"/>
    <cellStyle name="Normal 4 2 18 3 2 2 2" xfId="34065"/>
    <cellStyle name="Normal 4 2 18 3 2 3" xfId="20539"/>
    <cellStyle name="Normal 4 2 18 3 2 3 2" xfId="40217"/>
    <cellStyle name="Normal 4 2 18 3 2 4" xfId="27901"/>
    <cellStyle name="Normal 4 2 18 3 3" xfId="11321"/>
    <cellStyle name="Normal 4 2 18 3 3 2" xfId="30999"/>
    <cellStyle name="Normal 4 2 18 3 4" xfId="17473"/>
    <cellStyle name="Normal 4 2 18 3 4 2" xfId="37151"/>
    <cellStyle name="Normal 4 2 18 3 5" xfId="24835"/>
    <cellStyle name="Normal 4 2 18 4" xfId="6659"/>
    <cellStyle name="Normal 4 2 18 4 2" xfId="12853"/>
    <cellStyle name="Normal 4 2 18 4 2 2" xfId="32531"/>
    <cellStyle name="Normal 4 2 18 4 3" xfId="19005"/>
    <cellStyle name="Normal 4 2 18 4 3 2" xfId="38683"/>
    <cellStyle name="Normal 4 2 18 4 4" xfId="26367"/>
    <cellStyle name="Normal 4 2 18 5" xfId="9787"/>
    <cellStyle name="Normal 4 2 18 5 2" xfId="29465"/>
    <cellStyle name="Normal 4 2 18 6" xfId="15939"/>
    <cellStyle name="Normal 4 2 18 6 2" xfId="35617"/>
    <cellStyle name="Normal 4 2 18 7" xfId="23252"/>
    <cellStyle name="Normal 4 2 19" xfId="3011"/>
    <cellStyle name="Normal 4 2 19 2" xfId="4253"/>
    <cellStyle name="Normal 4 2 19 2 2" xfId="5878"/>
    <cellStyle name="Normal 4 2 19 2 2 2" xfId="8964"/>
    <cellStyle name="Normal 4 2 19 2 2 2 2" xfId="15157"/>
    <cellStyle name="Normal 4 2 19 2 2 2 2 2" xfId="34835"/>
    <cellStyle name="Normal 4 2 19 2 2 2 3" xfId="21309"/>
    <cellStyle name="Normal 4 2 19 2 2 2 3 2" xfId="40987"/>
    <cellStyle name="Normal 4 2 19 2 2 2 4" xfId="28671"/>
    <cellStyle name="Normal 4 2 19 2 2 3" xfId="12091"/>
    <cellStyle name="Normal 4 2 19 2 2 3 2" xfId="31769"/>
    <cellStyle name="Normal 4 2 19 2 2 4" xfId="18243"/>
    <cellStyle name="Normal 4 2 19 2 2 4 2" xfId="37921"/>
    <cellStyle name="Normal 4 2 19 2 2 5" xfId="25605"/>
    <cellStyle name="Normal 4 2 19 2 3" xfId="7429"/>
    <cellStyle name="Normal 4 2 19 2 3 2" xfId="13623"/>
    <cellStyle name="Normal 4 2 19 2 3 2 2" xfId="33301"/>
    <cellStyle name="Normal 4 2 19 2 3 3" xfId="19775"/>
    <cellStyle name="Normal 4 2 19 2 3 3 2" xfId="39453"/>
    <cellStyle name="Normal 4 2 19 2 3 4" xfId="27137"/>
    <cellStyle name="Normal 4 2 19 2 4" xfId="10557"/>
    <cellStyle name="Normal 4 2 19 2 4 2" xfId="30235"/>
    <cellStyle name="Normal 4 2 19 2 5" xfId="16709"/>
    <cellStyle name="Normal 4 2 19 2 5 2" xfId="36387"/>
    <cellStyle name="Normal 4 2 19 2 6" xfId="24071"/>
    <cellStyle name="Normal 4 2 19 3" xfId="5095"/>
    <cellStyle name="Normal 4 2 19 3 2" xfId="8195"/>
    <cellStyle name="Normal 4 2 19 3 2 2" xfId="14388"/>
    <cellStyle name="Normal 4 2 19 3 2 2 2" xfId="34066"/>
    <cellStyle name="Normal 4 2 19 3 2 3" xfId="20540"/>
    <cellStyle name="Normal 4 2 19 3 2 3 2" xfId="40218"/>
    <cellStyle name="Normal 4 2 19 3 2 4" xfId="27902"/>
    <cellStyle name="Normal 4 2 19 3 3" xfId="11322"/>
    <cellStyle name="Normal 4 2 19 3 3 2" xfId="31000"/>
    <cellStyle name="Normal 4 2 19 3 4" xfId="17474"/>
    <cellStyle name="Normal 4 2 19 3 4 2" xfId="37152"/>
    <cellStyle name="Normal 4 2 19 3 5" xfId="24836"/>
    <cellStyle name="Normal 4 2 19 4" xfId="6660"/>
    <cellStyle name="Normal 4 2 19 4 2" xfId="12854"/>
    <cellStyle name="Normal 4 2 19 4 2 2" xfId="32532"/>
    <cellStyle name="Normal 4 2 19 4 3" xfId="19006"/>
    <cellStyle name="Normal 4 2 19 4 3 2" xfId="38684"/>
    <cellStyle name="Normal 4 2 19 4 4" xfId="26368"/>
    <cellStyle name="Normal 4 2 19 5" xfId="9788"/>
    <cellStyle name="Normal 4 2 19 5 2" xfId="29466"/>
    <cellStyle name="Normal 4 2 19 6" xfId="15940"/>
    <cellStyle name="Normal 4 2 19 6 2" xfId="35618"/>
    <cellStyle name="Normal 4 2 19 7" xfId="23253"/>
    <cellStyle name="Normal 4 2 2" xfId="3012"/>
    <cellStyle name="Normal 4 2 2 10" xfId="15941"/>
    <cellStyle name="Normal 4 2 2 10 2" xfId="35619"/>
    <cellStyle name="Normal 4 2 2 11" xfId="23254"/>
    <cellStyle name="Normal 4 2 2 2" xfId="3013"/>
    <cellStyle name="Normal 4 2 2 2 2" xfId="4255"/>
    <cellStyle name="Normal 4 2 2 2 2 2" xfId="5880"/>
    <cellStyle name="Normal 4 2 2 2 2 2 2" xfId="8966"/>
    <cellStyle name="Normal 4 2 2 2 2 2 2 2" xfId="15159"/>
    <cellStyle name="Normal 4 2 2 2 2 2 2 2 2" xfId="34837"/>
    <cellStyle name="Normal 4 2 2 2 2 2 2 3" xfId="21311"/>
    <cellStyle name="Normal 4 2 2 2 2 2 2 3 2" xfId="40989"/>
    <cellStyle name="Normal 4 2 2 2 2 2 2 4" xfId="28673"/>
    <cellStyle name="Normal 4 2 2 2 2 2 3" xfId="12093"/>
    <cellStyle name="Normal 4 2 2 2 2 2 3 2" xfId="31771"/>
    <cellStyle name="Normal 4 2 2 2 2 2 4" xfId="18245"/>
    <cellStyle name="Normal 4 2 2 2 2 2 4 2" xfId="37923"/>
    <cellStyle name="Normal 4 2 2 2 2 2 5" xfId="25607"/>
    <cellStyle name="Normal 4 2 2 2 2 3" xfId="7431"/>
    <cellStyle name="Normal 4 2 2 2 2 3 2" xfId="13625"/>
    <cellStyle name="Normal 4 2 2 2 2 3 2 2" xfId="33303"/>
    <cellStyle name="Normal 4 2 2 2 2 3 3" xfId="19777"/>
    <cellStyle name="Normal 4 2 2 2 2 3 3 2" xfId="39455"/>
    <cellStyle name="Normal 4 2 2 2 2 3 4" xfId="27139"/>
    <cellStyle name="Normal 4 2 2 2 2 4" xfId="10559"/>
    <cellStyle name="Normal 4 2 2 2 2 4 2" xfId="30237"/>
    <cellStyle name="Normal 4 2 2 2 2 5" xfId="16711"/>
    <cellStyle name="Normal 4 2 2 2 2 5 2" xfId="36389"/>
    <cellStyle name="Normal 4 2 2 2 2 6" xfId="24073"/>
    <cellStyle name="Normal 4 2 2 2 3" xfId="5097"/>
    <cellStyle name="Normal 4 2 2 2 3 2" xfId="8197"/>
    <cellStyle name="Normal 4 2 2 2 3 2 2" xfId="14390"/>
    <cellStyle name="Normal 4 2 2 2 3 2 2 2" xfId="34068"/>
    <cellStyle name="Normal 4 2 2 2 3 2 3" xfId="20542"/>
    <cellStyle name="Normal 4 2 2 2 3 2 3 2" xfId="40220"/>
    <cellStyle name="Normal 4 2 2 2 3 2 4" xfId="27904"/>
    <cellStyle name="Normal 4 2 2 2 3 3" xfId="11324"/>
    <cellStyle name="Normal 4 2 2 2 3 3 2" xfId="31002"/>
    <cellStyle name="Normal 4 2 2 2 3 4" xfId="17476"/>
    <cellStyle name="Normal 4 2 2 2 3 4 2" xfId="37154"/>
    <cellStyle name="Normal 4 2 2 2 3 5" xfId="24838"/>
    <cellStyle name="Normal 4 2 2 2 4" xfId="6662"/>
    <cellStyle name="Normal 4 2 2 2 4 2" xfId="12856"/>
    <cellStyle name="Normal 4 2 2 2 4 2 2" xfId="32534"/>
    <cellStyle name="Normal 4 2 2 2 4 3" xfId="19008"/>
    <cellStyle name="Normal 4 2 2 2 4 3 2" xfId="38686"/>
    <cellStyle name="Normal 4 2 2 2 4 4" xfId="26370"/>
    <cellStyle name="Normal 4 2 2 2 5" xfId="9790"/>
    <cellStyle name="Normal 4 2 2 2 5 2" xfId="29468"/>
    <cellStyle name="Normal 4 2 2 2 6" xfId="15942"/>
    <cellStyle name="Normal 4 2 2 2 6 2" xfId="35620"/>
    <cellStyle name="Normal 4 2 2 2 7" xfId="23255"/>
    <cellStyle name="Normal 4 2 2 3" xfId="3014"/>
    <cellStyle name="Normal 4 2 2 3 2" xfId="4256"/>
    <cellStyle name="Normal 4 2 2 3 2 2" xfId="5881"/>
    <cellStyle name="Normal 4 2 2 3 2 2 2" xfId="8967"/>
    <cellStyle name="Normal 4 2 2 3 2 2 2 2" xfId="15160"/>
    <cellStyle name="Normal 4 2 2 3 2 2 2 2 2" xfId="34838"/>
    <cellStyle name="Normal 4 2 2 3 2 2 2 3" xfId="21312"/>
    <cellStyle name="Normal 4 2 2 3 2 2 2 3 2" xfId="40990"/>
    <cellStyle name="Normal 4 2 2 3 2 2 2 4" xfId="28674"/>
    <cellStyle name="Normal 4 2 2 3 2 2 3" xfId="12094"/>
    <cellStyle name="Normal 4 2 2 3 2 2 3 2" xfId="31772"/>
    <cellStyle name="Normal 4 2 2 3 2 2 4" xfId="18246"/>
    <cellStyle name="Normal 4 2 2 3 2 2 4 2" xfId="37924"/>
    <cellStyle name="Normal 4 2 2 3 2 2 5" xfId="25608"/>
    <cellStyle name="Normal 4 2 2 3 2 3" xfId="7432"/>
    <cellStyle name="Normal 4 2 2 3 2 3 2" xfId="13626"/>
    <cellStyle name="Normal 4 2 2 3 2 3 2 2" xfId="33304"/>
    <cellStyle name="Normal 4 2 2 3 2 3 3" xfId="19778"/>
    <cellStyle name="Normal 4 2 2 3 2 3 3 2" xfId="39456"/>
    <cellStyle name="Normal 4 2 2 3 2 3 4" xfId="27140"/>
    <cellStyle name="Normal 4 2 2 3 2 4" xfId="10560"/>
    <cellStyle name="Normal 4 2 2 3 2 4 2" xfId="30238"/>
    <cellStyle name="Normal 4 2 2 3 2 5" xfId="16712"/>
    <cellStyle name="Normal 4 2 2 3 2 5 2" xfId="36390"/>
    <cellStyle name="Normal 4 2 2 3 2 6" xfId="24074"/>
    <cellStyle name="Normal 4 2 2 3 3" xfId="5098"/>
    <cellStyle name="Normal 4 2 2 3 3 2" xfId="8198"/>
    <cellStyle name="Normal 4 2 2 3 3 2 2" xfId="14391"/>
    <cellStyle name="Normal 4 2 2 3 3 2 2 2" xfId="34069"/>
    <cellStyle name="Normal 4 2 2 3 3 2 3" xfId="20543"/>
    <cellStyle name="Normal 4 2 2 3 3 2 3 2" xfId="40221"/>
    <cellStyle name="Normal 4 2 2 3 3 2 4" xfId="27905"/>
    <cellStyle name="Normal 4 2 2 3 3 3" xfId="11325"/>
    <cellStyle name="Normal 4 2 2 3 3 3 2" xfId="31003"/>
    <cellStyle name="Normal 4 2 2 3 3 4" xfId="17477"/>
    <cellStyle name="Normal 4 2 2 3 3 4 2" xfId="37155"/>
    <cellStyle name="Normal 4 2 2 3 3 5" xfId="24839"/>
    <cellStyle name="Normal 4 2 2 3 4" xfId="6663"/>
    <cellStyle name="Normal 4 2 2 3 4 2" xfId="12857"/>
    <cellStyle name="Normal 4 2 2 3 4 2 2" xfId="32535"/>
    <cellStyle name="Normal 4 2 2 3 4 3" xfId="19009"/>
    <cellStyle name="Normal 4 2 2 3 4 3 2" xfId="38687"/>
    <cellStyle name="Normal 4 2 2 3 4 4" xfId="26371"/>
    <cellStyle name="Normal 4 2 2 3 5" xfId="9791"/>
    <cellStyle name="Normal 4 2 2 3 5 2" xfId="29469"/>
    <cellStyle name="Normal 4 2 2 3 6" xfId="15943"/>
    <cellStyle name="Normal 4 2 2 3 6 2" xfId="35621"/>
    <cellStyle name="Normal 4 2 2 3 7" xfId="23256"/>
    <cellStyle name="Normal 4 2 2 4" xfId="3015"/>
    <cellStyle name="Normal 4 2 2 4 2" xfId="4257"/>
    <cellStyle name="Normal 4 2 2 4 2 2" xfId="5882"/>
    <cellStyle name="Normal 4 2 2 4 2 2 2" xfId="8968"/>
    <cellStyle name="Normal 4 2 2 4 2 2 2 2" xfId="15161"/>
    <cellStyle name="Normal 4 2 2 4 2 2 2 2 2" xfId="34839"/>
    <cellStyle name="Normal 4 2 2 4 2 2 2 3" xfId="21313"/>
    <cellStyle name="Normal 4 2 2 4 2 2 2 3 2" xfId="40991"/>
    <cellStyle name="Normal 4 2 2 4 2 2 2 4" xfId="28675"/>
    <cellStyle name="Normal 4 2 2 4 2 2 3" xfId="12095"/>
    <cellStyle name="Normal 4 2 2 4 2 2 3 2" xfId="31773"/>
    <cellStyle name="Normal 4 2 2 4 2 2 4" xfId="18247"/>
    <cellStyle name="Normal 4 2 2 4 2 2 4 2" xfId="37925"/>
    <cellStyle name="Normal 4 2 2 4 2 2 5" xfId="25609"/>
    <cellStyle name="Normal 4 2 2 4 2 3" xfId="7433"/>
    <cellStyle name="Normal 4 2 2 4 2 3 2" xfId="13627"/>
    <cellStyle name="Normal 4 2 2 4 2 3 2 2" xfId="33305"/>
    <cellStyle name="Normal 4 2 2 4 2 3 3" xfId="19779"/>
    <cellStyle name="Normal 4 2 2 4 2 3 3 2" xfId="39457"/>
    <cellStyle name="Normal 4 2 2 4 2 3 4" xfId="27141"/>
    <cellStyle name="Normal 4 2 2 4 2 4" xfId="10561"/>
    <cellStyle name="Normal 4 2 2 4 2 4 2" xfId="30239"/>
    <cellStyle name="Normal 4 2 2 4 2 5" xfId="16713"/>
    <cellStyle name="Normal 4 2 2 4 2 5 2" xfId="36391"/>
    <cellStyle name="Normal 4 2 2 4 2 6" xfId="24075"/>
    <cellStyle name="Normal 4 2 2 4 3" xfId="5099"/>
    <cellStyle name="Normal 4 2 2 4 3 2" xfId="8199"/>
    <cellStyle name="Normal 4 2 2 4 3 2 2" xfId="14392"/>
    <cellStyle name="Normal 4 2 2 4 3 2 2 2" xfId="34070"/>
    <cellStyle name="Normal 4 2 2 4 3 2 3" xfId="20544"/>
    <cellStyle name="Normal 4 2 2 4 3 2 3 2" xfId="40222"/>
    <cellStyle name="Normal 4 2 2 4 3 2 4" xfId="27906"/>
    <cellStyle name="Normal 4 2 2 4 3 3" xfId="11326"/>
    <cellStyle name="Normal 4 2 2 4 3 3 2" xfId="31004"/>
    <cellStyle name="Normal 4 2 2 4 3 4" xfId="17478"/>
    <cellStyle name="Normal 4 2 2 4 3 4 2" xfId="37156"/>
    <cellStyle name="Normal 4 2 2 4 3 5" xfId="24840"/>
    <cellStyle name="Normal 4 2 2 4 4" xfId="6664"/>
    <cellStyle name="Normal 4 2 2 4 4 2" xfId="12858"/>
    <cellStyle name="Normal 4 2 2 4 4 2 2" xfId="32536"/>
    <cellStyle name="Normal 4 2 2 4 4 3" xfId="19010"/>
    <cellStyle name="Normal 4 2 2 4 4 3 2" xfId="38688"/>
    <cellStyle name="Normal 4 2 2 4 4 4" xfId="26372"/>
    <cellStyle name="Normal 4 2 2 4 5" xfId="9792"/>
    <cellStyle name="Normal 4 2 2 4 5 2" xfId="29470"/>
    <cellStyle name="Normal 4 2 2 4 6" xfId="15944"/>
    <cellStyle name="Normal 4 2 2 4 6 2" xfId="35622"/>
    <cellStyle name="Normal 4 2 2 4 7" xfId="23257"/>
    <cellStyle name="Normal 4 2 2 5" xfId="3016"/>
    <cellStyle name="Normal 4 2 2 5 2" xfId="4258"/>
    <cellStyle name="Normal 4 2 2 5 2 2" xfId="5883"/>
    <cellStyle name="Normal 4 2 2 5 2 2 2" xfId="8969"/>
    <cellStyle name="Normal 4 2 2 5 2 2 2 2" xfId="15162"/>
    <cellStyle name="Normal 4 2 2 5 2 2 2 2 2" xfId="34840"/>
    <cellStyle name="Normal 4 2 2 5 2 2 2 3" xfId="21314"/>
    <cellStyle name="Normal 4 2 2 5 2 2 2 3 2" xfId="40992"/>
    <cellStyle name="Normal 4 2 2 5 2 2 2 4" xfId="28676"/>
    <cellStyle name="Normal 4 2 2 5 2 2 3" xfId="12096"/>
    <cellStyle name="Normal 4 2 2 5 2 2 3 2" xfId="31774"/>
    <cellStyle name="Normal 4 2 2 5 2 2 4" xfId="18248"/>
    <cellStyle name="Normal 4 2 2 5 2 2 4 2" xfId="37926"/>
    <cellStyle name="Normal 4 2 2 5 2 2 5" xfId="25610"/>
    <cellStyle name="Normal 4 2 2 5 2 3" xfId="7434"/>
    <cellStyle name="Normal 4 2 2 5 2 3 2" xfId="13628"/>
    <cellStyle name="Normal 4 2 2 5 2 3 2 2" xfId="33306"/>
    <cellStyle name="Normal 4 2 2 5 2 3 3" xfId="19780"/>
    <cellStyle name="Normal 4 2 2 5 2 3 3 2" xfId="39458"/>
    <cellStyle name="Normal 4 2 2 5 2 3 4" xfId="27142"/>
    <cellStyle name="Normal 4 2 2 5 2 4" xfId="10562"/>
    <cellStyle name="Normal 4 2 2 5 2 4 2" xfId="30240"/>
    <cellStyle name="Normal 4 2 2 5 2 5" xfId="16714"/>
    <cellStyle name="Normal 4 2 2 5 2 5 2" xfId="36392"/>
    <cellStyle name="Normal 4 2 2 5 2 6" xfId="24076"/>
    <cellStyle name="Normal 4 2 2 5 3" xfId="5100"/>
    <cellStyle name="Normal 4 2 2 5 3 2" xfId="8200"/>
    <cellStyle name="Normal 4 2 2 5 3 2 2" xfId="14393"/>
    <cellStyle name="Normal 4 2 2 5 3 2 2 2" xfId="34071"/>
    <cellStyle name="Normal 4 2 2 5 3 2 3" xfId="20545"/>
    <cellStyle name="Normal 4 2 2 5 3 2 3 2" xfId="40223"/>
    <cellStyle name="Normal 4 2 2 5 3 2 4" xfId="27907"/>
    <cellStyle name="Normal 4 2 2 5 3 3" xfId="11327"/>
    <cellStyle name="Normal 4 2 2 5 3 3 2" xfId="31005"/>
    <cellStyle name="Normal 4 2 2 5 3 4" xfId="17479"/>
    <cellStyle name="Normal 4 2 2 5 3 4 2" xfId="37157"/>
    <cellStyle name="Normal 4 2 2 5 3 5" xfId="24841"/>
    <cellStyle name="Normal 4 2 2 5 4" xfId="6665"/>
    <cellStyle name="Normal 4 2 2 5 4 2" xfId="12859"/>
    <cellStyle name="Normal 4 2 2 5 4 2 2" xfId="32537"/>
    <cellStyle name="Normal 4 2 2 5 4 3" xfId="19011"/>
    <cellStyle name="Normal 4 2 2 5 4 3 2" xfId="38689"/>
    <cellStyle name="Normal 4 2 2 5 4 4" xfId="26373"/>
    <cellStyle name="Normal 4 2 2 5 5" xfId="9793"/>
    <cellStyle name="Normal 4 2 2 5 5 2" xfId="29471"/>
    <cellStyle name="Normal 4 2 2 5 6" xfId="15945"/>
    <cellStyle name="Normal 4 2 2 5 6 2" xfId="35623"/>
    <cellStyle name="Normal 4 2 2 5 7" xfId="23258"/>
    <cellStyle name="Normal 4 2 2 6" xfId="4254"/>
    <cellStyle name="Normal 4 2 2 6 2" xfId="5879"/>
    <cellStyle name="Normal 4 2 2 6 2 2" xfId="8965"/>
    <cellStyle name="Normal 4 2 2 6 2 2 2" xfId="15158"/>
    <cellStyle name="Normal 4 2 2 6 2 2 2 2" xfId="34836"/>
    <cellStyle name="Normal 4 2 2 6 2 2 3" xfId="21310"/>
    <cellStyle name="Normal 4 2 2 6 2 2 3 2" xfId="40988"/>
    <cellStyle name="Normal 4 2 2 6 2 2 4" xfId="28672"/>
    <cellStyle name="Normal 4 2 2 6 2 3" xfId="12092"/>
    <cellStyle name="Normal 4 2 2 6 2 3 2" xfId="31770"/>
    <cellStyle name="Normal 4 2 2 6 2 4" xfId="18244"/>
    <cellStyle name="Normal 4 2 2 6 2 4 2" xfId="37922"/>
    <cellStyle name="Normal 4 2 2 6 2 5" xfId="25606"/>
    <cellStyle name="Normal 4 2 2 6 3" xfId="7430"/>
    <cellStyle name="Normal 4 2 2 6 3 2" xfId="13624"/>
    <cellStyle name="Normal 4 2 2 6 3 2 2" xfId="33302"/>
    <cellStyle name="Normal 4 2 2 6 3 3" xfId="19776"/>
    <cellStyle name="Normal 4 2 2 6 3 3 2" xfId="39454"/>
    <cellStyle name="Normal 4 2 2 6 3 4" xfId="27138"/>
    <cellStyle name="Normal 4 2 2 6 4" xfId="10558"/>
    <cellStyle name="Normal 4 2 2 6 4 2" xfId="30236"/>
    <cellStyle name="Normal 4 2 2 6 5" xfId="16710"/>
    <cellStyle name="Normal 4 2 2 6 5 2" xfId="36388"/>
    <cellStyle name="Normal 4 2 2 6 6" xfId="24072"/>
    <cellStyle name="Normal 4 2 2 7" xfId="5096"/>
    <cellStyle name="Normal 4 2 2 7 2" xfId="8196"/>
    <cellStyle name="Normal 4 2 2 7 2 2" xfId="14389"/>
    <cellStyle name="Normal 4 2 2 7 2 2 2" xfId="34067"/>
    <cellStyle name="Normal 4 2 2 7 2 3" xfId="20541"/>
    <cellStyle name="Normal 4 2 2 7 2 3 2" xfId="40219"/>
    <cellStyle name="Normal 4 2 2 7 2 4" xfId="27903"/>
    <cellStyle name="Normal 4 2 2 7 3" xfId="11323"/>
    <cellStyle name="Normal 4 2 2 7 3 2" xfId="31001"/>
    <cellStyle name="Normal 4 2 2 7 4" xfId="17475"/>
    <cellStyle name="Normal 4 2 2 7 4 2" xfId="37153"/>
    <cellStyle name="Normal 4 2 2 7 5" xfId="24837"/>
    <cellStyle name="Normal 4 2 2 8" xfId="6661"/>
    <cellStyle name="Normal 4 2 2 8 2" xfId="12855"/>
    <cellStyle name="Normal 4 2 2 8 2 2" xfId="32533"/>
    <cellStyle name="Normal 4 2 2 8 3" xfId="19007"/>
    <cellStyle name="Normal 4 2 2 8 3 2" xfId="38685"/>
    <cellStyle name="Normal 4 2 2 8 4" xfId="26369"/>
    <cellStyle name="Normal 4 2 2 9" xfId="9789"/>
    <cellStyle name="Normal 4 2 2 9 2" xfId="29467"/>
    <cellStyle name="Normal 4 2 20" xfId="3017"/>
    <cellStyle name="Normal 4 2 20 2" xfId="4259"/>
    <cellStyle name="Normal 4 2 20 2 2" xfId="5884"/>
    <cellStyle name="Normal 4 2 20 2 2 2" xfId="8970"/>
    <cellStyle name="Normal 4 2 20 2 2 2 2" xfId="15163"/>
    <cellStyle name="Normal 4 2 20 2 2 2 2 2" xfId="34841"/>
    <cellStyle name="Normal 4 2 20 2 2 2 3" xfId="21315"/>
    <cellStyle name="Normal 4 2 20 2 2 2 3 2" xfId="40993"/>
    <cellStyle name="Normal 4 2 20 2 2 2 4" xfId="28677"/>
    <cellStyle name="Normal 4 2 20 2 2 3" xfId="12097"/>
    <cellStyle name="Normal 4 2 20 2 2 3 2" xfId="31775"/>
    <cellStyle name="Normal 4 2 20 2 2 4" xfId="18249"/>
    <cellStyle name="Normal 4 2 20 2 2 4 2" xfId="37927"/>
    <cellStyle name="Normal 4 2 20 2 2 5" xfId="25611"/>
    <cellStyle name="Normal 4 2 20 2 3" xfId="7435"/>
    <cellStyle name="Normal 4 2 20 2 3 2" xfId="13629"/>
    <cellStyle name="Normal 4 2 20 2 3 2 2" xfId="33307"/>
    <cellStyle name="Normal 4 2 20 2 3 3" xfId="19781"/>
    <cellStyle name="Normal 4 2 20 2 3 3 2" xfId="39459"/>
    <cellStyle name="Normal 4 2 20 2 3 4" xfId="27143"/>
    <cellStyle name="Normal 4 2 20 2 4" xfId="10563"/>
    <cellStyle name="Normal 4 2 20 2 4 2" xfId="30241"/>
    <cellStyle name="Normal 4 2 20 2 5" xfId="16715"/>
    <cellStyle name="Normal 4 2 20 2 5 2" xfId="36393"/>
    <cellStyle name="Normal 4 2 20 2 6" xfId="24077"/>
    <cellStyle name="Normal 4 2 20 3" xfId="5101"/>
    <cellStyle name="Normal 4 2 20 3 2" xfId="8201"/>
    <cellStyle name="Normal 4 2 20 3 2 2" xfId="14394"/>
    <cellStyle name="Normal 4 2 20 3 2 2 2" xfId="34072"/>
    <cellStyle name="Normal 4 2 20 3 2 3" xfId="20546"/>
    <cellStyle name="Normal 4 2 20 3 2 3 2" xfId="40224"/>
    <cellStyle name="Normal 4 2 20 3 2 4" xfId="27908"/>
    <cellStyle name="Normal 4 2 20 3 3" xfId="11328"/>
    <cellStyle name="Normal 4 2 20 3 3 2" xfId="31006"/>
    <cellStyle name="Normal 4 2 20 3 4" xfId="17480"/>
    <cellStyle name="Normal 4 2 20 3 4 2" xfId="37158"/>
    <cellStyle name="Normal 4 2 20 3 5" xfId="24842"/>
    <cellStyle name="Normal 4 2 20 4" xfId="6666"/>
    <cellStyle name="Normal 4 2 20 4 2" xfId="12860"/>
    <cellStyle name="Normal 4 2 20 4 2 2" xfId="32538"/>
    <cellStyle name="Normal 4 2 20 4 3" xfId="19012"/>
    <cellStyle name="Normal 4 2 20 4 3 2" xfId="38690"/>
    <cellStyle name="Normal 4 2 20 4 4" xfId="26374"/>
    <cellStyle name="Normal 4 2 20 5" xfId="9794"/>
    <cellStyle name="Normal 4 2 20 5 2" xfId="29472"/>
    <cellStyle name="Normal 4 2 20 6" xfId="15946"/>
    <cellStyle name="Normal 4 2 20 6 2" xfId="35624"/>
    <cellStyle name="Normal 4 2 20 7" xfId="23259"/>
    <cellStyle name="Normal 4 2 21" xfId="3018"/>
    <cellStyle name="Normal 4 2 21 2" xfId="4260"/>
    <cellStyle name="Normal 4 2 21 2 2" xfId="5885"/>
    <cellStyle name="Normal 4 2 21 2 2 2" xfId="8971"/>
    <cellStyle name="Normal 4 2 21 2 2 2 2" xfId="15164"/>
    <cellStyle name="Normal 4 2 21 2 2 2 2 2" xfId="34842"/>
    <cellStyle name="Normal 4 2 21 2 2 2 3" xfId="21316"/>
    <cellStyle name="Normal 4 2 21 2 2 2 3 2" xfId="40994"/>
    <cellStyle name="Normal 4 2 21 2 2 2 4" xfId="28678"/>
    <cellStyle name="Normal 4 2 21 2 2 3" xfId="12098"/>
    <cellStyle name="Normal 4 2 21 2 2 3 2" xfId="31776"/>
    <cellStyle name="Normal 4 2 21 2 2 4" xfId="18250"/>
    <cellStyle name="Normal 4 2 21 2 2 4 2" xfId="37928"/>
    <cellStyle name="Normal 4 2 21 2 2 5" xfId="25612"/>
    <cellStyle name="Normal 4 2 21 2 3" xfId="7436"/>
    <cellStyle name="Normal 4 2 21 2 3 2" xfId="13630"/>
    <cellStyle name="Normal 4 2 21 2 3 2 2" xfId="33308"/>
    <cellStyle name="Normal 4 2 21 2 3 3" xfId="19782"/>
    <cellStyle name="Normal 4 2 21 2 3 3 2" xfId="39460"/>
    <cellStyle name="Normal 4 2 21 2 3 4" xfId="27144"/>
    <cellStyle name="Normal 4 2 21 2 4" xfId="10564"/>
    <cellStyle name="Normal 4 2 21 2 4 2" xfId="30242"/>
    <cellStyle name="Normal 4 2 21 2 5" xfId="16716"/>
    <cellStyle name="Normal 4 2 21 2 5 2" xfId="36394"/>
    <cellStyle name="Normal 4 2 21 2 6" xfId="24078"/>
    <cellStyle name="Normal 4 2 21 3" xfId="5102"/>
    <cellStyle name="Normal 4 2 21 3 2" xfId="8202"/>
    <cellStyle name="Normal 4 2 21 3 2 2" xfId="14395"/>
    <cellStyle name="Normal 4 2 21 3 2 2 2" xfId="34073"/>
    <cellStyle name="Normal 4 2 21 3 2 3" xfId="20547"/>
    <cellStyle name="Normal 4 2 21 3 2 3 2" xfId="40225"/>
    <cellStyle name="Normal 4 2 21 3 2 4" xfId="27909"/>
    <cellStyle name="Normal 4 2 21 3 3" xfId="11329"/>
    <cellStyle name="Normal 4 2 21 3 3 2" xfId="31007"/>
    <cellStyle name="Normal 4 2 21 3 4" xfId="17481"/>
    <cellStyle name="Normal 4 2 21 3 4 2" xfId="37159"/>
    <cellStyle name="Normal 4 2 21 3 5" xfId="24843"/>
    <cellStyle name="Normal 4 2 21 4" xfId="6667"/>
    <cellStyle name="Normal 4 2 21 4 2" xfId="12861"/>
    <cellStyle name="Normal 4 2 21 4 2 2" xfId="32539"/>
    <cellStyle name="Normal 4 2 21 4 3" xfId="19013"/>
    <cellStyle name="Normal 4 2 21 4 3 2" xfId="38691"/>
    <cellStyle name="Normal 4 2 21 4 4" xfId="26375"/>
    <cellStyle name="Normal 4 2 21 5" xfId="9795"/>
    <cellStyle name="Normal 4 2 21 5 2" xfId="29473"/>
    <cellStyle name="Normal 4 2 21 6" xfId="15947"/>
    <cellStyle name="Normal 4 2 21 6 2" xfId="35625"/>
    <cellStyle name="Normal 4 2 21 7" xfId="23260"/>
    <cellStyle name="Normal 4 2 22" xfId="3019"/>
    <cellStyle name="Normal 4 2 22 2" xfId="4261"/>
    <cellStyle name="Normal 4 2 22 2 2" xfId="5886"/>
    <cellStyle name="Normal 4 2 22 2 2 2" xfId="8972"/>
    <cellStyle name="Normal 4 2 22 2 2 2 2" xfId="15165"/>
    <cellStyle name="Normal 4 2 22 2 2 2 2 2" xfId="34843"/>
    <cellStyle name="Normal 4 2 22 2 2 2 3" xfId="21317"/>
    <cellStyle name="Normal 4 2 22 2 2 2 3 2" xfId="40995"/>
    <cellStyle name="Normal 4 2 22 2 2 2 4" xfId="28679"/>
    <cellStyle name="Normal 4 2 22 2 2 3" xfId="12099"/>
    <cellStyle name="Normal 4 2 22 2 2 3 2" xfId="31777"/>
    <cellStyle name="Normal 4 2 22 2 2 4" xfId="18251"/>
    <cellStyle name="Normal 4 2 22 2 2 4 2" xfId="37929"/>
    <cellStyle name="Normal 4 2 22 2 2 5" xfId="25613"/>
    <cellStyle name="Normal 4 2 22 2 3" xfId="7437"/>
    <cellStyle name="Normal 4 2 22 2 3 2" xfId="13631"/>
    <cellStyle name="Normal 4 2 22 2 3 2 2" xfId="33309"/>
    <cellStyle name="Normal 4 2 22 2 3 3" xfId="19783"/>
    <cellStyle name="Normal 4 2 22 2 3 3 2" xfId="39461"/>
    <cellStyle name="Normal 4 2 22 2 3 4" xfId="27145"/>
    <cellStyle name="Normal 4 2 22 2 4" xfId="10565"/>
    <cellStyle name="Normal 4 2 22 2 4 2" xfId="30243"/>
    <cellStyle name="Normal 4 2 22 2 5" xfId="16717"/>
    <cellStyle name="Normal 4 2 22 2 5 2" xfId="36395"/>
    <cellStyle name="Normal 4 2 22 2 6" xfId="24079"/>
    <cellStyle name="Normal 4 2 22 3" xfId="5103"/>
    <cellStyle name="Normal 4 2 22 3 2" xfId="8203"/>
    <cellStyle name="Normal 4 2 22 3 2 2" xfId="14396"/>
    <cellStyle name="Normal 4 2 22 3 2 2 2" xfId="34074"/>
    <cellStyle name="Normal 4 2 22 3 2 3" xfId="20548"/>
    <cellStyle name="Normal 4 2 22 3 2 3 2" xfId="40226"/>
    <cellStyle name="Normal 4 2 22 3 2 4" xfId="27910"/>
    <cellStyle name="Normal 4 2 22 3 3" xfId="11330"/>
    <cellStyle name="Normal 4 2 22 3 3 2" xfId="31008"/>
    <cellStyle name="Normal 4 2 22 3 4" xfId="17482"/>
    <cellStyle name="Normal 4 2 22 3 4 2" xfId="37160"/>
    <cellStyle name="Normal 4 2 22 3 5" xfId="24844"/>
    <cellStyle name="Normal 4 2 22 4" xfId="6668"/>
    <cellStyle name="Normal 4 2 22 4 2" xfId="12862"/>
    <cellStyle name="Normal 4 2 22 4 2 2" xfId="32540"/>
    <cellStyle name="Normal 4 2 22 4 3" xfId="19014"/>
    <cellStyle name="Normal 4 2 22 4 3 2" xfId="38692"/>
    <cellStyle name="Normal 4 2 22 4 4" xfId="26376"/>
    <cellStyle name="Normal 4 2 22 5" xfId="9796"/>
    <cellStyle name="Normal 4 2 22 5 2" xfId="29474"/>
    <cellStyle name="Normal 4 2 22 6" xfId="15948"/>
    <cellStyle name="Normal 4 2 22 6 2" xfId="35626"/>
    <cellStyle name="Normal 4 2 22 7" xfId="23261"/>
    <cellStyle name="Normal 4 2 23" xfId="3020"/>
    <cellStyle name="Normal 4 2 23 2" xfId="4262"/>
    <cellStyle name="Normal 4 2 23 2 2" xfId="5887"/>
    <cellStyle name="Normal 4 2 23 2 2 2" xfId="8973"/>
    <cellStyle name="Normal 4 2 23 2 2 2 2" xfId="15166"/>
    <cellStyle name="Normal 4 2 23 2 2 2 2 2" xfId="34844"/>
    <cellStyle name="Normal 4 2 23 2 2 2 3" xfId="21318"/>
    <cellStyle name="Normal 4 2 23 2 2 2 3 2" xfId="40996"/>
    <cellStyle name="Normal 4 2 23 2 2 2 4" xfId="28680"/>
    <cellStyle name="Normal 4 2 23 2 2 3" xfId="12100"/>
    <cellStyle name="Normal 4 2 23 2 2 3 2" xfId="31778"/>
    <cellStyle name="Normal 4 2 23 2 2 4" xfId="18252"/>
    <cellStyle name="Normal 4 2 23 2 2 4 2" xfId="37930"/>
    <cellStyle name="Normal 4 2 23 2 2 5" xfId="25614"/>
    <cellStyle name="Normal 4 2 23 2 3" xfId="7438"/>
    <cellStyle name="Normal 4 2 23 2 3 2" xfId="13632"/>
    <cellStyle name="Normal 4 2 23 2 3 2 2" xfId="33310"/>
    <cellStyle name="Normal 4 2 23 2 3 3" xfId="19784"/>
    <cellStyle name="Normal 4 2 23 2 3 3 2" xfId="39462"/>
    <cellStyle name="Normal 4 2 23 2 3 4" xfId="27146"/>
    <cellStyle name="Normal 4 2 23 2 4" xfId="10566"/>
    <cellStyle name="Normal 4 2 23 2 4 2" xfId="30244"/>
    <cellStyle name="Normal 4 2 23 2 5" xfId="16718"/>
    <cellStyle name="Normal 4 2 23 2 5 2" xfId="36396"/>
    <cellStyle name="Normal 4 2 23 2 6" xfId="24080"/>
    <cellStyle name="Normal 4 2 23 3" xfId="5104"/>
    <cellStyle name="Normal 4 2 23 3 2" xfId="8204"/>
    <cellStyle name="Normal 4 2 23 3 2 2" xfId="14397"/>
    <cellStyle name="Normal 4 2 23 3 2 2 2" xfId="34075"/>
    <cellStyle name="Normal 4 2 23 3 2 3" xfId="20549"/>
    <cellStyle name="Normal 4 2 23 3 2 3 2" xfId="40227"/>
    <cellStyle name="Normal 4 2 23 3 2 4" xfId="27911"/>
    <cellStyle name="Normal 4 2 23 3 3" xfId="11331"/>
    <cellStyle name="Normal 4 2 23 3 3 2" xfId="31009"/>
    <cellStyle name="Normal 4 2 23 3 4" xfId="17483"/>
    <cellStyle name="Normal 4 2 23 3 4 2" xfId="37161"/>
    <cellStyle name="Normal 4 2 23 3 5" xfId="24845"/>
    <cellStyle name="Normal 4 2 23 4" xfId="6669"/>
    <cellStyle name="Normal 4 2 23 4 2" xfId="12863"/>
    <cellStyle name="Normal 4 2 23 4 2 2" xfId="32541"/>
    <cellStyle name="Normal 4 2 23 4 3" xfId="19015"/>
    <cellStyle name="Normal 4 2 23 4 3 2" xfId="38693"/>
    <cellStyle name="Normal 4 2 23 4 4" xfId="26377"/>
    <cellStyle name="Normal 4 2 23 5" xfId="9797"/>
    <cellStyle name="Normal 4 2 23 5 2" xfId="29475"/>
    <cellStyle name="Normal 4 2 23 6" xfId="15949"/>
    <cellStyle name="Normal 4 2 23 6 2" xfId="35627"/>
    <cellStyle name="Normal 4 2 23 7" xfId="23262"/>
    <cellStyle name="Normal 4 2 24" xfId="3021"/>
    <cellStyle name="Normal 4 2 24 2" xfId="4263"/>
    <cellStyle name="Normal 4 2 24 2 2" xfId="5888"/>
    <cellStyle name="Normal 4 2 24 2 2 2" xfId="8974"/>
    <cellStyle name="Normal 4 2 24 2 2 2 2" xfId="15167"/>
    <cellStyle name="Normal 4 2 24 2 2 2 2 2" xfId="34845"/>
    <cellStyle name="Normal 4 2 24 2 2 2 3" xfId="21319"/>
    <cellStyle name="Normal 4 2 24 2 2 2 3 2" xfId="40997"/>
    <cellStyle name="Normal 4 2 24 2 2 2 4" xfId="28681"/>
    <cellStyle name="Normal 4 2 24 2 2 3" xfId="12101"/>
    <cellStyle name="Normal 4 2 24 2 2 3 2" xfId="31779"/>
    <cellStyle name="Normal 4 2 24 2 2 4" xfId="18253"/>
    <cellStyle name="Normal 4 2 24 2 2 4 2" xfId="37931"/>
    <cellStyle name="Normal 4 2 24 2 2 5" xfId="25615"/>
    <cellStyle name="Normal 4 2 24 2 3" xfId="7439"/>
    <cellStyle name="Normal 4 2 24 2 3 2" xfId="13633"/>
    <cellStyle name="Normal 4 2 24 2 3 2 2" xfId="33311"/>
    <cellStyle name="Normal 4 2 24 2 3 3" xfId="19785"/>
    <cellStyle name="Normal 4 2 24 2 3 3 2" xfId="39463"/>
    <cellStyle name="Normal 4 2 24 2 3 4" xfId="27147"/>
    <cellStyle name="Normal 4 2 24 2 4" xfId="10567"/>
    <cellStyle name="Normal 4 2 24 2 4 2" xfId="30245"/>
    <cellStyle name="Normal 4 2 24 2 5" xfId="16719"/>
    <cellStyle name="Normal 4 2 24 2 5 2" xfId="36397"/>
    <cellStyle name="Normal 4 2 24 2 6" xfId="24081"/>
    <cellStyle name="Normal 4 2 24 3" xfId="5105"/>
    <cellStyle name="Normal 4 2 24 3 2" xfId="8205"/>
    <cellStyle name="Normal 4 2 24 3 2 2" xfId="14398"/>
    <cellStyle name="Normal 4 2 24 3 2 2 2" xfId="34076"/>
    <cellStyle name="Normal 4 2 24 3 2 3" xfId="20550"/>
    <cellStyle name="Normal 4 2 24 3 2 3 2" xfId="40228"/>
    <cellStyle name="Normal 4 2 24 3 2 4" xfId="27912"/>
    <cellStyle name="Normal 4 2 24 3 3" xfId="11332"/>
    <cellStyle name="Normal 4 2 24 3 3 2" xfId="31010"/>
    <cellStyle name="Normal 4 2 24 3 4" xfId="17484"/>
    <cellStyle name="Normal 4 2 24 3 4 2" xfId="37162"/>
    <cellStyle name="Normal 4 2 24 3 5" xfId="24846"/>
    <cellStyle name="Normal 4 2 24 4" xfId="6670"/>
    <cellStyle name="Normal 4 2 24 4 2" xfId="12864"/>
    <cellStyle name="Normal 4 2 24 4 2 2" xfId="32542"/>
    <cellStyle name="Normal 4 2 24 4 3" xfId="19016"/>
    <cellStyle name="Normal 4 2 24 4 3 2" xfId="38694"/>
    <cellStyle name="Normal 4 2 24 4 4" xfId="26378"/>
    <cellStyle name="Normal 4 2 24 5" xfId="9798"/>
    <cellStyle name="Normal 4 2 24 5 2" xfId="29476"/>
    <cellStyle name="Normal 4 2 24 6" xfId="15950"/>
    <cellStyle name="Normal 4 2 24 6 2" xfId="35628"/>
    <cellStyle name="Normal 4 2 24 7" xfId="23263"/>
    <cellStyle name="Normal 4 2 25" xfId="3022"/>
    <cellStyle name="Normal 4 2 26" xfId="3023"/>
    <cellStyle name="Normal 4 2 26 2" xfId="3024"/>
    <cellStyle name="Normal 4 2 27" xfId="3025"/>
    <cellStyle name="Normal 4 2 27 2" xfId="3026"/>
    <cellStyle name="Normal 4 2 28" xfId="9324"/>
    <cellStyle name="Normal 4 2 29" xfId="23243"/>
    <cellStyle name="Normal 4 2 3" xfId="3027"/>
    <cellStyle name="Normal 4 2 3 2" xfId="3028"/>
    <cellStyle name="Normal 4 2 3 2 2" xfId="4265"/>
    <cellStyle name="Normal 4 2 3 2 2 2" xfId="5890"/>
    <cellStyle name="Normal 4 2 3 2 2 2 2" xfId="8976"/>
    <cellStyle name="Normal 4 2 3 2 2 2 2 2" xfId="15169"/>
    <cellStyle name="Normal 4 2 3 2 2 2 2 2 2" xfId="34847"/>
    <cellStyle name="Normal 4 2 3 2 2 2 2 3" xfId="21321"/>
    <cellStyle name="Normal 4 2 3 2 2 2 2 3 2" xfId="40999"/>
    <cellStyle name="Normal 4 2 3 2 2 2 2 4" xfId="28683"/>
    <cellStyle name="Normal 4 2 3 2 2 2 3" xfId="12103"/>
    <cellStyle name="Normal 4 2 3 2 2 2 3 2" xfId="31781"/>
    <cellStyle name="Normal 4 2 3 2 2 2 4" xfId="18255"/>
    <cellStyle name="Normal 4 2 3 2 2 2 4 2" xfId="37933"/>
    <cellStyle name="Normal 4 2 3 2 2 2 5" xfId="25617"/>
    <cellStyle name="Normal 4 2 3 2 2 3" xfId="7441"/>
    <cellStyle name="Normal 4 2 3 2 2 3 2" xfId="13635"/>
    <cellStyle name="Normal 4 2 3 2 2 3 2 2" xfId="33313"/>
    <cellStyle name="Normal 4 2 3 2 2 3 3" xfId="19787"/>
    <cellStyle name="Normal 4 2 3 2 2 3 3 2" xfId="39465"/>
    <cellStyle name="Normal 4 2 3 2 2 3 4" xfId="27149"/>
    <cellStyle name="Normal 4 2 3 2 2 4" xfId="10569"/>
    <cellStyle name="Normal 4 2 3 2 2 4 2" xfId="30247"/>
    <cellStyle name="Normal 4 2 3 2 2 5" xfId="16721"/>
    <cellStyle name="Normal 4 2 3 2 2 5 2" xfId="36399"/>
    <cellStyle name="Normal 4 2 3 2 2 6" xfId="24083"/>
    <cellStyle name="Normal 4 2 3 2 3" xfId="5107"/>
    <cellStyle name="Normal 4 2 3 2 3 2" xfId="8207"/>
    <cellStyle name="Normal 4 2 3 2 3 2 2" xfId="14400"/>
    <cellStyle name="Normal 4 2 3 2 3 2 2 2" xfId="34078"/>
    <cellStyle name="Normal 4 2 3 2 3 2 3" xfId="20552"/>
    <cellStyle name="Normal 4 2 3 2 3 2 3 2" xfId="40230"/>
    <cellStyle name="Normal 4 2 3 2 3 2 4" xfId="27914"/>
    <cellStyle name="Normal 4 2 3 2 3 3" xfId="11334"/>
    <cellStyle name="Normal 4 2 3 2 3 3 2" xfId="31012"/>
    <cellStyle name="Normal 4 2 3 2 3 4" xfId="17486"/>
    <cellStyle name="Normal 4 2 3 2 3 4 2" xfId="37164"/>
    <cellStyle name="Normal 4 2 3 2 3 5" xfId="24848"/>
    <cellStyle name="Normal 4 2 3 2 4" xfId="6672"/>
    <cellStyle name="Normal 4 2 3 2 4 2" xfId="12866"/>
    <cellStyle name="Normal 4 2 3 2 4 2 2" xfId="32544"/>
    <cellStyle name="Normal 4 2 3 2 4 3" xfId="19018"/>
    <cellStyle name="Normal 4 2 3 2 4 3 2" xfId="38696"/>
    <cellStyle name="Normal 4 2 3 2 4 4" xfId="26380"/>
    <cellStyle name="Normal 4 2 3 2 5" xfId="9800"/>
    <cellStyle name="Normal 4 2 3 2 5 2" xfId="29478"/>
    <cellStyle name="Normal 4 2 3 2 6" xfId="15952"/>
    <cellStyle name="Normal 4 2 3 2 6 2" xfId="35630"/>
    <cellStyle name="Normal 4 2 3 2 7" xfId="23265"/>
    <cellStyle name="Normal 4 2 3 3" xfId="4264"/>
    <cellStyle name="Normal 4 2 3 3 2" xfId="5889"/>
    <cellStyle name="Normal 4 2 3 3 2 2" xfId="8975"/>
    <cellStyle name="Normal 4 2 3 3 2 2 2" xfId="15168"/>
    <cellStyle name="Normal 4 2 3 3 2 2 2 2" xfId="34846"/>
    <cellStyle name="Normal 4 2 3 3 2 2 3" xfId="21320"/>
    <cellStyle name="Normal 4 2 3 3 2 2 3 2" xfId="40998"/>
    <cellStyle name="Normal 4 2 3 3 2 2 4" xfId="28682"/>
    <cellStyle name="Normal 4 2 3 3 2 3" xfId="12102"/>
    <cellStyle name="Normal 4 2 3 3 2 3 2" xfId="31780"/>
    <cellStyle name="Normal 4 2 3 3 2 4" xfId="18254"/>
    <cellStyle name="Normal 4 2 3 3 2 4 2" xfId="37932"/>
    <cellStyle name="Normal 4 2 3 3 2 5" xfId="25616"/>
    <cellStyle name="Normal 4 2 3 3 3" xfId="7440"/>
    <cellStyle name="Normal 4 2 3 3 3 2" xfId="13634"/>
    <cellStyle name="Normal 4 2 3 3 3 2 2" xfId="33312"/>
    <cellStyle name="Normal 4 2 3 3 3 3" xfId="19786"/>
    <cellStyle name="Normal 4 2 3 3 3 3 2" xfId="39464"/>
    <cellStyle name="Normal 4 2 3 3 3 4" xfId="27148"/>
    <cellStyle name="Normal 4 2 3 3 4" xfId="10568"/>
    <cellStyle name="Normal 4 2 3 3 4 2" xfId="30246"/>
    <cellStyle name="Normal 4 2 3 3 5" xfId="16720"/>
    <cellStyle name="Normal 4 2 3 3 5 2" xfId="36398"/>
    <cellStyle name="Normal 4 2 3 3 6" xfId="24082"/>
    <cellStyle name="Normal 4 2 3 4" xfId="5106"/>
    <cellStyle name="Normal 4 2 3 4 2" xfId="8206"/>
    <cellStyle name="Normal 4 2 3 4 2 2" xfId="14399"/>
    <cellStyle name="Normal 4 2 3 4 2 2 2" xfId="34077"/>
    <cellStyle name="Normal 4 2 3 4 2 3" xfId="20551"/>
    <cellStyle name="Normal 4 2 3 4 2 3 2" xfId="40229"/>
    <cellStyle name="Normal 4 2 3 4 2 4" xfId="27913"/>
    <cellStyle name="Normal 4 2 3 4 3" xfId="11333"/>
    <cellStyle name="Normal 4 2 3 4 3 2" xfId="31011"/>
    <cellStyle name="Normal 4 2 3 4 4" xfId="17485"/>
    <cellStyle name="Normal 4 2 3 4 4 2" xfId="37163"/>
    <cellStyle name="Normal 4 2 3 4 5" xfId="24847"/>
    <cellStyle name="Normal 4 2 3 5" xfId="6671"/>
    <cellStyle name="Normal 4 2 3 5 2" xfId="12865"/>
    <cellStyle name="Normal 4 2 3 5 2 2" xfId="32543"/>
    <cellStyle name="Normal 4 2 3 5 3" xfId="19017"/>
    <cellStyle name="Normal 4 2 3 5 3 2" xfId="38695"/>
    <cellStyle name="Normal 4 2 3 5 4" xfId="26379"/>
    <cellStyle name="Normal 4 2 3 6" xfId="9799"/>
    <cellStyle name="Normal 4 2 3 6 2" xfId="29477"/>
    <cellStyle name="Normal 4 2 3 7" xfId="15951"/>
    <cellStyle name="Normal 4 2 3 7 2" xfId="35629"/>
    <cellStyle name="Normal 4 2 3 8" xfId="23264"/>
    <cellStyle name="Normal 4 2 30" xfId="42018"/>
    <cellStyle name="Normal 4 2 4" xfId="3029"/>
    <cellStyle name="Normal 4 2 4 2" xfId="3030"/>
    <cellStyle name="Normal 4 2 4 2 2" xfId="4267"/>
    <cellStyle name="Normal 4 2 4 2 2 2" xfId="5892"/>
    <cellStyle name="Normal 4 2 4 2 2 2 2" xfId="8978"/>
    <cellStyle name="Normal 4 2 4 2 2 2 2 2" xfId="15171"/>
    <cellStyle name="Normal 4 2 4 2 2 2 2 2 2" xfId="34849"/>
    <cellStyle name="Normal 4 2 4 2 2 2 2 3" xfId="21323"/>
    <cellStyle name="Normal 4 2 4 2 2 2 2 3 2" xfId="41001"/>
    <cellStyle name="Normal 4 2 4 2 2 2 2 4" xfId="28685"/>
    <cellStyle name="Normal 4 2 4 2 2 2 3" xfId="12105"/>
    <cellStyle name="Normal 4 2 4 2 2 2 3 2" xfId="31783"/>
    <cellStyle name="Normal 4 2 4 2 2 2 4" xfId="18257"/>
    <cellStyle name="Normal 4 2 4 2 2 2 4 2" xfId="37935"/>
    <cellStyle name="Normal 4 2 4 2 2 2 5" xfId="25619"/>
    <cellStyle name="Normal 4 2 4 2 2 3" xfId="7443"/>
    <cellStyle name="Normal 4 2 4 2 2 3 2" xfId="13637"/>
    <cellStyle name="Normal 4 2 4 2 2 3 2 2" xfId="33315"/>
    <cellStyle name="Normal 4 2 4 2 2 3 3" xfId="19789"/>
    <cellStyle name="Normal 4 2 4 2 2 3 3 2" xfId="39467"/>
    <cellStyle name="Normal 4 2 4 2 2 3 4" xfId="27151"/>
    <cellStyle name="Normal 4 2 4 2 2 4" xfId="10571"/>
    <cellStyle name="Normal 4 2 4 2 2 4 2" xfId="30249"/>
    <cellStyle name="Normal 4 2 4 2 2 5" xfId="16723"/>
    <cellStyle name="Normal 4 2 4 2 2 5 2" xfId="36401"/>
    <cellStyle name="Normal 4 2 4 2 2 6" xfId="24085"/>
    <cellStyle name="Normal 4 2 4 2 3" xfId="5109"/>
    <cellStyle name="Normal 4 2 4 2 3 2" xfId="8209"/>
    <cellStyle name="Normal 4 2 4 2 3 2 2" xfId="14402"/>
    <cellStyle name="Normal 4 2 4 2 3 2 2 2" xfId="34080"/>
    <cellStyle name="Normal 4 2 4 2 3 2 3" xfId="20554"/>
    <cellStyle name="Normal 4 2 4 2 3 2 3 2" xfId="40232"/>
    <cellStyle name="Normal 4 2 4 2 3 2 4" xfId="27916"/>
    <cellStyle name="Normal 4 2 4 2 3 3" xfId="11336"/>
    <cellStyle name="Normal 4 2 4 2 3 3 2" xfId="31014"/>
    <cellStyle name="Normal 4 2 4 2 3 4" xfId="17488"/>
    <cellStyle name="Normal 4 2 4 2 3 4 2" xfId="37166"/>
    <cellStyle name="Normal 4 2 4 2 3 5" xfId="24850"/>
    <cellStyle name="Normal 4 2 4 2 4" xfId="6674"/>
    <cellStyle name="Normal 4 2 4 2 4 2" xfId="12868"/>
    <cellStyle name="Normal 4 2 4 2 4 2 2" xfId="32546"/>
    <cellStyle name="Normal 4 2 4 2 4 3" xfId="19020"/>
    <cellStyle name="Normal 4 2 4 2 4 3 2" xfId="38698"/>
    <cellStyle name="Normal 4 2 4 2 4 4" xfId="26382"/>
    <cellStyle name="Normal 4 2 4 2 5" xfId="9802"/>
    <cellStyle name="Normal 4 2 4 2 5 2" xfId="29480"/>
    <cellStyle name="Normal 4 2 4 2 6" xfId="15954"/>
    <cellStyle name="Normal 4 2 4 2 6 2" xfId="35632"/>
    <cellStyle name="Normal 4 2 4 2 7" xfId="23267"/>
    <cellStyle name="Normal 4 2 4 3" xfId="4266"/>
    <cellStyle name="Normal 4 2 4 3 2" xfId="5891"/>
    <cellStyle name="Normal 4 2 4 3 2 2" xfId="8977"/>
    <cellStyle name="Normal 4 2 4 3 2 2 2" xfId="15170"/>
    <cellStyle name="Normal 4 2 4 3 2 2 2 2" xfId="34848"/>
    <cellStyle name="Normal 4 2 4 3 2 2 3" xfId="21322"/>
    <cellStyle name="Normal 4 2 4 3 2 2 3 2" xfId="41000"/>
    <cellStyle name="Normal 4 2 4 3 2 2 4" xfId="28684"/>
    <cellStyle name="Normal 4 2 4 3 2 3" xfId="12104"/>
    <cellStyle name="Normal 4 2 4 3 2 3 2" xfId="31782"/>
    <cellStyle name="Normal 4 2 4 3 2 4" xfId="18256"/>
    <cellStyle name="Normal 4 2 4 3 2 4 2" xfId="37934"/>
    <cellStyle name="Normal 4 2 4 3 2 5" xfId="25618"/>
    <cellStyle name="Normal 4 2 4 3 3" xfId="7442"/>
    <cellStyle name="Normal 4 2 4 3 3 2" xfId="13636"/>
    <cellStyle name="Normal 4 2 4 3 3 2 2" xfId="33314"/>
    <cellStyle name="Normal 4 2 4 3 3 3" xfId="19788"/>
    <cellStyle name="Normal 4 2 4 3 3 3 2" xfId="39466"/>
    <cellStyle name="Normal 4 2 4 3 3 4" xfId="27150"/>
    <cellStyle name="Normal 4 2 4 3 4" xfId="10570"/>
    <cellStyle name="Normal 4 2 4 3 4 2" xfId="30248"/>
    <cellStyle name="Normal 4 2 4 3 5" xfId="16722"/>
    <cellStyle name="Normal 4 2 4 3 5 2" xfId="36400"/>
    <cellStyle name="Normal 4 2 4 3 6" xfId="24084"/>
    <cellStyle name="Normal 4 2 4 4" xfId="5108"/>
    <cellStyle name="Normal 4 2 4 4 2" xfId="8208"/>
    <cellStyle name="Normal 4 2 4 4 2 2" xfId="14401"/>
    <cellStyle name="Normal 4 2 4 4 2 2 2" xfId="34079"/>
    <cellStyle name="Normal 4 2 4 4 2 3" xfId="20553"/>
    <cellStyle name="Normal 4 2 4 4 2 3 2" xfId="40231"/>
    <cellStyle name="Normal 4 2 4 4 2 4" xfId="27915"/>
    <cellStyle name="Normal 4 2 4 4 3" xfId="11335"/>
    <cellStyle name="Normal 4 2 4 4 3 2" xfId="31013"/>
    <cellStyle name="Normal 4 2 4 4 4" xfId="17487"/>
    <cellStyle name="Normal 4 2 4 4 4 2" xfId="37165"/>
    <cellStyle name="Normal 4 2 4 4 5" xfId="24849"/>
    <cellStyle name="Normal 4 2 4 5" xfId="6673"/>
    <cellStyle name="Normal 4 2 4 5 2" xfId="12867"/>
    <cellStyle name="Normal 4 2 4 5 2 2" xfId="32545"/>
    <cellStyle name="Normal 4 2 4 5 3" xfId="19019"/>
    <cellStyle name="Normal 4 2 4 5 3 2" xfId="38697"/>
    <cellStyle name="Normal 4 2 4 5 4" xfId="26381"/>
    <cellStyle name="Normal 4 2 4 6" xfId="9801"/>
    <cellStyle name="Normal 4 2 4 6 2" xfId="29479"/>
    <cellStyle name="Normal 4 2 4 7" xfId="15953"/>
    <cellStyle name="Normal 4 2 4 7 2" xfId="35631"/>
    <cellStyle name="Normal 4 2 4 8" xfId="23266"/>
    <cellStyle name="Normal 4 2 5" xfId="3031"/>
    <cellStyle name="Normal 4 2 5 2" xfId="3032"/>
    <cellStyle name="Normal 4 2 5 2 2" xfId="4269"/>
    <cellStyle name="Normal 4 2 5 2 2 2" xfId="5894"/>
    <cellStyle name="Normal 4 2 5 2 2 2 2" xfId="8980"/>
    <cellStyle name="Normal 4 2 5 2 2 2 2 2" xfId="15173"/>
    <cellStyle name="Normal 4 2 5 2 2 2 2 2 2" xfId="34851"/>
    <cellStyle name="Normal 4 2 5 2 2 2 2 3" xfId="21325"/>
    <cellStyle name="Normal 4 2 5 2 2 2 2 3 2" xfId="41003"/>
    <cellStyle name="Normal 4 2 5 2 2 2 2 4" xfId="28687"/>
    <cellStyle name="Normal 4 2 5 2 2 2 3" xfId="12107"/>
    <cellStyle name="Normal 4 2 5 2 2 2 3 2" xfId="31785"/>
    <cellStyle name="Normal 4 2 5 2 2 2 4" xfId="18259"/>
    <cellStyle name="Normal 4 2 5 2 2 2 4 2" xfId="37937"/>
    <cellStyle name="Normal 4 2 5 2 2 2 5" xfId="25621"/>
    <cellStyle name="Normal 4 2 5 2 2 3" xfId="7445"/>
    <cellStyle name="Normal 4 2 5 2 2 3 2" xfId="13639"/>
    <cellStyle name="Normal 4 2 5 2 2 3 2 2" xfId="33317"/>
    <cellStyle name="Normal 4 2 5 2 2 3 3" xfId="19791"/>
    <cellStyle name="Normal 4 2 5 2 2 3 3 2" xfId="39469"/>
    <cellStyle name="Normal 4 2 5 2 2 3 4" xfId="27153"/>
    <cellStyle name="Normal 4 2 5 2 2 4" xfId="10573"/>
    <cellStyle name="Normal 4 2 5 2 2 4 2" xfId="30251"/>
    <cellStyle name="Normal 4 2 5 2 2 5" xfId="16725"/>
    <cellStyle name="Normal 4 2 5 2 2 5 2" xfId="36403"/>
    <cellStyle name="Normal 4 2 5 2 2 6" xfId="24087"/>
    <cellStyle name="Normal 4 2 5 2 3" xfId="5111"/>
    <cellStyle name="Normal 4 2 5 2 3 2" xfId="8211"/>
    <cellStyle name="Normal 4 2 5 2 3 2 2" xfId="14404"/>
    <cellStyle name="Normal 4 2 5 2 3 2 2 2" xfId="34082"/>
    <cellStyle name="Normal 4 2 5 2 3 2 3" xfId="20556"/>
    <cellStyle name="Normal 4 2 5 2 3 2 3 2" xfId="40234"/>
    <cellStyle name="Normal 4 2 5 2 3 2 4" xfId="27918"/>
    <cellStyle name="Normal 4 2 5 2 3 3" xfId="11338"/>
    <cellStyle name="Normal 4 2 5 2 3 3 2" xfId="31016"/>
    <cellStyle name="Normal 4 2 5 2 3 4" xfId="17490"/>
    <cellStyle name="Normal 4 2 5 2 3 4 2" xfId="37168"/>
    <cellStyle name="Normal 4 2 5 2 3 5" xfId="24852"/>
    <cellStyle name="Normal 4 2 5 2 4" xfId="6676"/>
    <cellStyle name="Normal 4 2 5 2 4 2" xfId="12870"/>
    <cellStyle name="Normal 4 2 5 2 4 2 2" xfId="32548"/>
    <cellStyle name="Normal 4 2 5 2 4 3" xfId="19022"/>
    <cellStyle name="Normal 4 2 5 2 4 3 2" xfId="38700"/>
    <cellStyle name="Normal 4 2 5 2 4 4" xfId="26384"/>
    <cellStyle name="Normal 4 2 5 2 5" xfId="9804"/>
    <cellStyle name="Normal 4 2 5 2 5 2" xfId="29482"/>
    <cellStyle name="Normal 4 2 5 2 6" xfId="15956"/>
    <cellStyle name="Normal 4 2 5 2 6 2" xfId="35634"/>
    <cellStyle name="Normal 4 2 5 2 7" xfId="23269"/>
    <cellStyle name="Normal 4 2 5 3" xfId="4268"/>
    <cellStyle name="Normal 4 2 5 3 2" xfId="5893"/>
    <cellStyle name="Normal 4 2 5 3 2 2" xfId="8979"/>
    <cellStyle name="Normal 4 2 5 3 2 2 2" xfId="15172"/>
    <cellStyle name="Normal 4 2 5 3 2 2 2 2" xfId="34850"/>
    <cellStyle name="Normal 4 2 5 3 2 2 3" xfId="21324"/>
    <cellStyle name="Normal 4 2 5 3 2 2 3 2" xfId="41002"/>
    <cellStyle name="Normal 4 2 5 3 2 2 4" xfId="28686"/>
    <cellStyle name="Normal 4 2 5 3 2 3" xfId="12106"/>
    <cellStyle name="Normal 4 2 5 3 2 3 2" xfId="31784"/>
    <cellStyle name="Normal 4 2 5 3 2 4" xfId="18258"/>
    <cellStyle name="Normal 4 2 5 3 2 4 2" xfId="37936"/>
    <cellStyle name="Normal 4 2 5 3 2 5" xfId="25620"/>
    <cellStyle name="Normal 4 2 5 3 3" xfId="7444"/>
    <cellStyle name="Normal 4 2 5 3 3 2" xfId="13638"/>
    <cellStyle name="Normal 4 2 5 3 3 2 2" xfId="33316"/>
    <cellStyle name="Normal 4 2 5 3 3 3" xfId="19790"/>
    <cellStyle name="Normal 4 2 5 3 3 3 2" xfId="39468"/>
    <cellStyle name="Normal 4 2 5 3 3 4" xfId="27152"/>
    <cellStyle name="Normal 4 2 5 3 4" xfId="10572"/>
    <cellStyle name="Normal 4 2 5 3 4 2" xfId="30250"/>
    <cellStyle name="Normal 4 2 5 3 5" xfId="16724"/>
    <cellStyle name="Normal 4 2 5 3 5 2" xfId="36402"/>
    <cellStyle name="Normal 4 2 5 3 6" xfId="24086"/>
    <cellStyle name="Normal 4 2 5 4" xfId="5110"/>
    <cellStyle name="Normal 4 2 5 4 2" xfId="8210"/>
    <cellStyle name="Normal 4 2 5 4 2 2" xfId="14403"/>
    <cellStyle name="Normal 4 2 5 4 2 2 2" xfId="34081"/>
    <cellStyle name="Normal 4 2 5 4 2 3" xfId="20555"/>
    <cellStyle name="Normal 4 2 5 4 2 3 2" xfId="40233"/>
    <cellStyle name="Normal 4 2 5 4 2 4" xfId="27917"/>
    <cellStyle name="Normal 4 2 5 4 3" xfId="11337"/>
    <cellStyle name="Normal 4 2 5 4 3 2" xfId="31015"/>
    <cellStyle name="Normal 4 2 5 4 4" xfId="17489"/>
    <cellStyle name="Normal 4 2 5 4 4 2" xfId="37167"/>
    <cellStyle name="Normal 4 2 5 4 5" xfId="24851"/>
    <cellStyle name="Normal 4 2 5 5" xfId="6675"/>
    <cellStyle name="Normal 4 2 5 5 2" xfId="12869"/>
    <cellStyle name="Normal 4 2 5 5 2 2" xfId="32547"/>
    <cellStyle name="Normal 4 2 5 5 3" xfId="19021"/>
    <cellStyle name="Normal 4 2 5 5 3 2" xfId="38699"/>
    <cellStyle name="Normal 4 2 5 5 4" xfId="26383"/>
    <cellStyle name="Normal 4 2 5 6" xfId="9803"/>
    <cellStyle name="Normal 4 2 5 6 2" xfId="29481"/>
    <cellStyle name="Normal 4 2 5 7" xfId="15955"/>
    <cellStyle name="Normal 4 2 5 7 2" xfId="35633"/>
    <cellStyle name="Normal 4 2 5 8" xfId="23268"/>
    <cellStyle name="Normal 4 2 6" xfId="3033"/>
    <cellStyle name="Normal 4 2 6 2" xfId="4270"/>
    <cellStyle name="Normal 4 2 6 2 2" xfId="5895"/>
    <cellStyle name="Normal 4 2 6 2 2 2" xfId="8981"/>
    <cellStyle name="Normal 4 2 6 2 2 2 2" xfId="15174"/>
    <cellStyle name="Normal 4 2 6 2 2 2 2 2" xfId="34852"/>
    <cellStyle name="Normal 4 2 6 2 2 2 3" xfId="21326"/>
    <cellStyle name="Normal 4 2 6 2 2 2 3 2" xfId="41004"/>
    <cellStyle name="Normal 4 2 6 2 2 2 4" xfId="28688"/>
    <cellStyle name="Normal 4 2 6 2 2 3" xfId="12108"/>
    <cellStyle name="Normal 4 2 6 2 2 3 2" xfId="31786"/>
    <cellStyle name="Normal 4 2 6 2 2 4" xfId="18260"/>
    <cellStyle name="Normal 4 2 6 2 2 4 2" xfId="37938"/>
    <cellStyle name="Normal 4 2 6 2 2 5" xfId="25622"/>
    <cellStyle name="Normal 4 2 6 2 3" xfId="7446"/>
    <cellStyle name="Normal 4 2 6 2 3 2" xfId="13640"/>
    <cellStyle name="Normal 4 2 6 2 3 2 2" xfId="33318"/>
    <cellStyle name="Normal 4 2 6 2 3 3" xfId="19792"/>
    <cellStyle name="Normal 4 2 6 2 3 3 2" xfId="39470"/>
    <cellStyle name="Normal 4 2 6 2 3 4" xfId="27154"/>
    <cellStyle name="Normal 4 2 6 2 4" xfId="10574"/>
    <cellStyle name="Normal 4 2 6 2 4 2" xfId="30252"/>
    <cellStyle name="Normal 4 2 6 2 5" xfId="16726"/>
    <cellStyle name="Normal 4 2 6 2 5 2" xfId="36404"/>
    <cellStyle name="Normal 4 2 6 2 6" xfId="24088"/>
    <cellStyle name="Normal 4 2 6 3" xfId="5112"/>
    <cellStyle name="Normal 4 2 6 3 2" xfId="8212"/>
    <cellStyle name="Normal 4 2 6 3 2 2" xfId="14405"/>
    <cellStyle name="Normal 4 2 6 3 2 2 2" xfId="34083"/>
    <cellStyle name="Normal 4 2 6 3 2 3" xfId="20557"/>
    <cellStyle name="Normal 4 2 6 3 2 3 2" xfId="40235"/>
    <cellStyle name="Normal 4 2 6 3 2 4" xfId="27919"/>
    <cellStyle name="Normal 4 2 6 3 3" xfId="11339"/>
    <cellStyle name="Normal 4 2 6 3 3 2" xfId="31017"/>
    <cellStyle name="Normal 4 2 6 3 4" xfId="17491"/>
    <cellStyle name="Normal 4 2 6 3 4 2" xfId="37169"/>
    <cellStyle name="Normal 4 2 6 3 5" xfId="24853"/>
    <cellStyle name="Normal 4 2 6 4" xfId="6677"/>
    <cellStyle name="Normal 4 2 6 4 2" xfId="12871"/>
    <cellStyle name="Normal 4 2 6 4 2 2" xfId="32549"/>
    <cellStyle name="Normal 4 2 6 4 3" xfId="19023"/>
    <cellStyle name="Normal 4 2 6 4 3 2" xfId="38701"/>
    <cellStyle name="Normal 4 2 6 4 4" xfId="26385"/>
    <cellStyle name="Normal 4 2 6 5" xfId="9805"/>
    <cellStyle name="Normal 4 2 6 5 2" xfId="29483"/>
    <cellStyle name="Normal 4 2 6 6" xfId="15957"/>
    <cellStyle name="Normal 4 2 6 6 2" xfId="35635"/>
    <cellStyle name="Normal 4 2 6 7" xfId="23270"/>
    <cellStyle name="Normal 4 2 7" xfId="3034"/>
    <cellStyle name="Normal 4 2 7 2" xfId="4271"/>
    <cellStyle name="Normal 4 2 7 2 2" xfId="5896"/>
    <cellStyle name="Normal 4 2 7 2 2 2" xfId="8982"/>
    <cellStyle name="Normal 4 2 7 2 2 2 2" xfId="15175"/>
    <cellStyle name="Normal 4 2 7 2 2 2 2 2" xfId="34853"/>
    <cellStyle name="Normal 4 2 7 2 2 2 3" xfId="21327"/>
    <cellStyle name="Normal 4 2 7 2 2 2 3 2" xfId="41005"/>
    <cellStyle name="Normal 4 2 7 2 2 2 4" xfId="28689"/>
    <cellStyle name="Normal 4 2 7 2 2 3" xfId="12109"/>
    <cellStyle name="Normal 4 2 7 2 2 3 2" xfId="31787"/>
    <cellStyle name="Normal 4 2 7 2 2 4" xfId="18261"/>
    <cellStyle name="Normal 4 2 7 2 2 4 2" xfId="37939"/>
    <cellStyle name="Normal 4 2 7 2 2 5" xfId="25623"/>
    <cellStyle name="Normal 4 2 7 2 3" xfId="7447"/>
    <cellStyle name="Normal 4 2 7 2 3 2" xfId="13641"/>
    <cellStyle name="Normal 4 2 7 2 3 2 2" xfId="33319"/>
    <cellStyle name="Normal 4 2 7 2 3 3" xfId="19793"/>
    <cellStyle name="Normal 4 2 7 2 3 3 2" xfId="39471"/>
    <cellStyle name="Normal 4 2 7 2 3 4" xfId="27155"/>
    <cellStyle name="Normal 4 2 7 2 4" xfId="10575"/>
    <cellStyle name="Normal 4 2 7 2 4 2" xfId="30253"/>
    <cellStyle name="Normal 4 2 7 2 5" xfId="16727"/>
    <cellStyle name="Normal 4 2 7 2 5 2" xfId="36405"/>
    <cellStyle name="Normal 4 2 7 2 6" xfId="24089"/>
    <cellStyle name="Normal 4 2 7 3" xfId="5113"/>
    <cellStyle name="Normal 4 2 7 3 2" xfId="8213"/>
    <cellStyle name="Normal 4 2 7 3 2 2" xfId="14406"/>
    <cellStyle name="Normal 4 2 7 3 2 2 2" xfId="34084"/>
    <cellStyle name="Normal 4 2 7 3 2 3" xfId="20558"/>
    <cellStyle name="Normal 4 2 7 3 2 3 2" xfId="40236"/>
    <cellStyle name="Normal 4 2 7 3 2 4" xfId="27920"/>
    <cellStyle name="Normal 4 2 7 3 3" xfId="11340"/>
    <cellStyle name="Normal 4 2 7 3 3 2" xfId="31018"/>
    <cellStyle name="Normal 4 2 7 3 4" xfId="17492"/>
    <cellStyle name="Normal 4 2 7 3 4 2" xfId="37170"/>
    <cellStyle name="Normal 4 2 7 3 5" xfId="24854"/>
    <cellStyle name="Normal 4 2 7 4" xfId="6678"/>
    <cellStyle name="Normal 4 2 7 4 2" xfId="12872"/>
    <cellStyle name="Normal 4 2 7 4 2 2" xfId="32550"/>
    <cellStyle name="Normal 4 2 7 4 3" xfId="19024"/>
    <cellStyle name="Normal 4 2 7 4 3 2" xfId="38702"/>
    <cellStyle name="Normal 4 2 7 4 4" xfId="26386"/>
    <cellStyle name="Normal 4 2 7 5" xfId="9806"/>
    <cellStyle name="Normal 4 2 7 5 2" xfId="29484"/>
    <cellStyle name="Normal 4 2 7 6" xfId="15958"/>
    <cellStyle name="Normal 4 2 7 6 2" xfId="35636"/>
    <cellStyle name="Normal 4 2 7 7" xfId="23271"/>
    <cellStyle name="Normal 4 2 8" xfId="3035"/>
    <cellStyle name="Normal 4 2 8 2" xfId="4272"/>
    <cellStyle name="Normal 4 2 8 2 2" xfId="5897"/>
    <cellStyle name="Normal 4 2 8 2 2 2" xfId="8983"/>
    <cellStyle name="Normal 4 2 8 2 2 2 2" xfId="15176"/>
    <cellStyle name="Normal 4 2 8 2 2 2 2 2" xfId="34854"/>
    <cellStyle name="Normal 4 2 8 2 2 2 3" xfId="21328"/>
    <cellStyle name="Normal 4 2 8 2 2 2 3 2" xfId="41006"/>
    <cellStyle name="Normal 4 2 8 2 2 2 4" xfId="28690"/>
    <cellStyle name="Normal 4 2 8 2 2 3" xfId="12110"/>
    <cellStyle name="Normal 4 2 8 2 2 3 2" xfId="31788"/>
    <cellStyle name="Normal 4 2 8 2 2 4" xfId="18262"/>
    <cellStyle name="Normal 4 2 8 2 2 4 2" xfId="37940"/>
    <cellStyle name="Normal 4 2 8 2 2 5" xfId="25624"/>
    <cellStyle name="Normal 4 2 8 2 3" xfId="7448"/>
    <cellStyle name="Normal 4 2 8 2 3 2" xfId="13642"/>
    <cellStyle name="Normal 4 2 8 2 3 2 2" xfId="33320"/>
    <cellStyle name="Normal 4 2 8 2 3 3" xfId="19794"/>
    <cellStyle name="Normal 4 2 8 2 3 3 2" xfId="39472"/>
    <cellStyle name="Normal 4 2 8 2 3 4" xfId="27156"/>
    <cellStyle name="Normal 4 2 8 2 4" xfId="10576"/>
    <cellStyle name="Normal 4 2 8 2 4 2" xfId="30254"/>
    <cellStyle name="Normal 4 2 8 2 5" xfId="16728"/>
    <cellStyle name="Normal 4 2 8 2 5 2" xfId="36406"/>
    <cellStyle name="Normal 4 2 8 2 6" xfId="24090"/>
    <cellStyle name="Normal 4 2 8 3" xfId="5114"/>
    <cellStyle name="Normal 4 2 8 3 2" xfId="8214"/>
    <cellStyle name="Normal 4 2 8 3 2 2" xfId="14407"/>
    <cellStyle name="Normal 4 2 8 3 2 2 2" xfId="34085"/>
    <cellStyle name="Normal 4 2 8 3 2 3" xfId="20559"/>
    <cellStyle name="Normal 4 2 8 3 2 3 2" xfId="40237"/>
    <cellStyle name="Normal 4 2 8 3 2 4" xfId="27921"/>
    <cellStyle name="Normal 4 2 8 3 3" xfId="11341"/>
    <cellStyle name="Normal 4 2 8 3 3 2" xfId="31019"/>
    <cellStyle name="Normal 4 2 8 3 4" xfId="17493"/>
    <cellStyle name="Normal 4 2 8 3 4 2" xfId="37171"/>
    <cellStyle name="Normal 4 2 8 3 5" xfId="24855"/>
    <cellStyle name="Normal 4 2 8 4" xfId="6679"/>
    <cellStyle name="Normal 4 2 8 4 2" xfId="12873"/>
    <cellStyle name="Normal 4 2 8 4 2 2" xfId="32551"/>
    <cellStyle name="Normal 4 2 8 4 3" xfId="19025"/>
    <cellStyle name="Normal 4 2 8 4 3 2" xfId="38703"/>
    <cellStyle name="Normal 4 2 8 4 4" xfId="26387"/>
    <cellStyle name="Normal 4 2 8 5" xfId="9807"/>
    <cellStyle name="Normal 4 2 8 5 2" xfId="29485"/>
    <cellStyle name="Normal 4 2 8 6" xfId="15959"/>
    <cellStyle name="Normal 4 2 8 6 2" xfId="35637"/>
    <cellStyle name="Normal 4 2 8 7" xfId="23272"/>
    <cellStyle name="Normal 4 2 9" xfId="3036"/>
    <cellStyle name="Normal 4 2 9 2" xfId="4273"/>
    <cellStyle name="Normal 4 2 9 2 2" xfId="5898"/>
    <cellStyle name="Normal 4 2 9 2 2 2" xfId="8984"/>
    <cellStyle name="Normal 4 2 9 2 2 2 2" xfId="15177"/>
    <cellStyle name="Normal 4 2 9 2 2 2 2 2" xfId="34855"/>
    <cellStyle name="Normal 4 2 9 2 2 2 3" xfId="21329"/>
    <cellStyle name="Normal 4 2 9 2 2 2 3 2" xfId="41007"/>
    <cellStyle name="Normal 4 2 9 2 2 2 4" xfId="28691"/>
    <cellStyle name="Normal 4 2 9 2 2 3" xfId="12111"/>
    <cellStyle name="Normal 4 2 9 2 2 3 2" xfId="31789"/>
    <cellStyle name="Normal 4 2 9 2 2 4" xfId="18263"/>
    <cellStyle name="Normal 4 2 9 2 2 4 2" xfId="37941"/>
    <cellStyle name="Normal 4 2 9 2 2 5" xfId="25625"/>
    <cellStyle name="Normal 4 2 9 2 3" xfId="7449"/>
    <cellStyle name="Normal 4 2 9 2 3 2" xfId="13643"/>
    <cellStyle name="Normal 4 2 9 2 3 2 2" xfId="33321"/>
    <cellStyle name="Normal 4 2 9 2 3 3" xfId="19795"/>
    <cellStyle name="Normal 4 2 9 2 3 3 2" xfId="39473"/>
    <cellStyle name="Normal 4 2 9 2 3 4" xfId="27157"/>
    <cellStyle name="Normal 4 2 9 2 4" xfId="10577"/>
    <cellStyle name="Normal 4 2 9 2 4 2" xfId="30255"/>
    <cellStyle name="Normal 4 2 9 2 5" xfId="16729"/>
    <cellStyle name="Normal 4 2 9 2 5 2" xfId="36407"/>
    <cellStyle name="Normal 4 2 9 2 6" xfId="24091"/>
    <cellStyle name="Normal 4 2 9 3" xfId="5115"/>
    <cellStyle name="Normal 4 2 9 3 2" xfId="8215"/>
    <cellStyle name="Normal 4 2 9 3 2 2" xfId="14408"/>
    <cellStyle name="Normal 4 2 9 3 2 2 2" xfId="34086"/>
    <cellStyle name="Normal 4 2 9 3 2 3" xfId="20560"/>
    <cellStyle name="Normal 4 2 9 3 2 3 2" xfId="40238"/>
    <cellStyle name="Normal 4 2 9 3 2 4" xfId="27922"/>
    <cellStyle name="Normal 4 2 9 3 3" xfId="11342"/>
    <cellStyle name="Normal 4 2 9 3 3 2" xfId="31020"/>
    <cellStyle name="Normal 4 2 9 3 4" xfId="17494"/>
    <cellStyle name="Normal 4 2 9 3 4 2" xfId="37172"/>
    <cellStyle name="Normal 4 2 9 3 5" xfId="24856"/>
    <cellStyle name="Normal 4 2 9 4" xfId="6680"/>
    <cellStyle name="Normal 4 2 9 4 2" xfId="12874"/>
    <cellStyle name="Normal 4 2 9 4 2 2" xfId="32552"/>
    <cellStyle name="Normal 4 2 9 4 3" xfId="19026"/>
    <cellStyle name="Normal 4 2 9 4 3 2" xfId="38704"/>
    <cellStyle name="Normal 4 2 9 4 4" xfId="26388"/>
    <cellStyle name="Normal 4 2 9 5" xfId="9808"/>
    <cellStyle name="Normal 4 2 9 5 2" xfId="29486"/>
    <cellStyle name="Normal 4 2 9 6" xfId="15960"/>
    <cellStyle name="Normal 4 2 9 6 2" xfId="35638"/>
    <cellStyle name="Normal 4 2 9 7" xfId="23273"/>
    <cellStyle name="Normal 4 20" xfId="22091"/>
    <cellStyle name="Normal 4 21" xfId="22117"/>
    <cellStyle name="Normal 4 22" xfId="22139"/>
    <cellStyle name="Normal 4 23" xfId="22156"/>
    <cellStyle name="Normal 4 24" xfId="22175"/>
    <cellStyle name="Normal 4 25" xfId="22225"/>
    <cellStyle name="Normal 4 26" xfId="22257"/>
    <cellStyle name="Normal 4 27" xfId="22283"/>
    <cellStyle name="Normal 4 28" xfId="22307"/>
    <cellStyle name="Normal 4 29" xfId="22330"/>
    <cellStyle name="Normal 4 3" xfId="3037"/>
    <cellStyle name="Normal 4 3 10" xfId="9809"/>
    <cellStyle name="Normal 4 3 10 2" xfId="29487"/>
    <cellStyle name="Normal 4 3 11" xfId="15961"/>
    <cellStyle name="Normal 4 3 11 2" xfId="35639"/>
    <cellStyle name="Normal 4 3 12" xfId="23274"/>
    <cellStyle name="Normal 4 3 13" xfId="42019"/>
    <cellStyle name="Normal 4 3 14" xfId="21806"/>
    <cellStyle name="Normal 4 3 2" xfId="3038"/>
    <cellStyle name="Normal 4 3 2 10" xfId="15962"/>
    <cellStyle name="Normal 4 3 2 10 2" xfId="35640"/>
    <cellStyle name="Normal 4 3 2 11" xfId="23275"/>
    <cellStyle name="Normal 4 3 2 2" xfId="3039"/>
    <cellStyle name="Normal 4 3 2 2 10" xfId="23276"/>
    <cellStyle name="Normal 4 3 2 2 2" xfId="3040"/>
    <cellStyle name="Normal 4 3 2 2 2 2" xfId="3041"/>
    <cellStyle name="Normal 4 3 2 2 2 2 2" xfId="4278"/>
    <cellStyle name="Normal 4 3 2 2 2 2 2 2" xfId="5903"/>
    <cellStyle name="Normal 4 3 2 2 2 2 2 2 2" xfId="8989"/>
    <cellStyle name="Normal 4 3 2 2 2 2 2 2 2 2" xfId="15182"/>
    <cellStyle name="Normal 4 3 2 2 2 2 2 2 2 2 2" xfId="34860"/>
    <cellStyle name="Normal 4 3 2 2 2 2 2 2 2 3" xfId="21334"/>
    <cellStyle name="Normal 4 3 2 2 2 2 2 2 2 3 2" xfId="41012"/>
    <cellStyle name="Normal 4 3 2 2 2 2 2 2 2 4" xfId="28696"/>
    <cellStyle name="Normal 4 3 2 2 2 2 2 2 3" xfId="12116"/>
    <cellStyle name="Normal 4 3 2 2 2 2 2 2 3 2" xfId="31794"/>
    <cellStyle name="Normal 4 3 2 2 2 2 2 2 4" xfId="18268"/>
    <cellStyle name="Normal 4 3 2 2 2 2 2 2 4 2" xfId="37946"/>
    <cellStyle name="Normal 4 3 2 2 2 2 2 2 5" xfId="25630"/>
    <cellStyle name="Normal 4 3 2 2 2 2 2 3" xfId="7454"/>
    <cellStyle name="Normal 4 3 2 2 2 2 2 3 2" xfId="13648"/>
    <cellStyle name="Normal 4 3 2 2 2 2 2 3 2 2" xfId="33326"/>
    <cellStyle name="Normal 4 3 2 2 2 2 2 3 3" xfId="19800"/>
    <cellStyle name="Normal 4 3 2 2 2 2 2 3 3 2" xfId="39478"/>
    <cellStyle name="Normal 4 3 2 2 2 2 2 3 4" xfId="27162"/>
    <cellStyle name="Normal 4 3 2 2 2 2 2 4" xfId="10582"/>
    <cellStyle name="Normal 4 3 2 2 2 2 2 4 2" xfId="30260"/>
    <cellStyle name="Normal 4 3 2 2 2 2 2 5" xfId="16734"/>
    <cellStyle name="Normal 4 3 2 2 2 2 2 5 2" xfId="36412"/>
    <cellStyle name="Normal 4 3 2 2 2 2 2 6" xfId="24096"/>
    <cellStyle name="Normal 4 3 2 2 2 2 3" xfId="5120"/>
    <cellStyle name="Normal 4 3 2 2 2 2 3 2" xfId="8220"/>
    <cellStyle name="Normal 4 3 2 2 2 2 3 2 2" xfId="14413"/>
    <cellStyle name="Normal 4 3 2 2 2 2 3 2 2 2" xfId="34091"/>
    <cellStyle name="Normal 4 3 2 2 2 2 3 2 3" xfId="20565"/>
    <cellStyle name="Normal 4 3 2 2 2 2 3 2 3 2" xfId="40243"/>
    <cellStyle name="Normal 4 3 2 2 2 2 3 2 4" xfId="27927"/>
    <cellStyle name="Normal 4 3 2 2 2 2 3 3" xfId="11347"/>
    <cellStyle name="Normal 4 3 2 2 2 2 3 3 2" xfId="31025"/>
    <cellStyle name="Normal 4 3 2 2 2 2 3 4" xfId="17499"/>
    <cellStyle name="Normal 4 3 2 2 2 2 3 4 2" xfId="37177"/>
    <cellStyle name="Normal 4 3 2 2 2 2 3 5" xfId="24861"/>
    <cellStyle name="Normal 4 3 2 2 2 2 4" xfId="6685"/>
    <cellStyle name="Normal 4 3 2 2 2 2 4 2" xfId="12879"/>
    <cellStyle name="Normal 4 3 2 2 2 2 4 2 2" xfId="32557"/>
    <cellStyle name="Normal 4 3 2 2 2 2 4 3" xfId="19031"/>
    <cellStyle name="Normal 4 3 2 2 2 2 4 3 2" xfId="38709"/>
    <cellStyle name="Normal 4 3 2 2 2 2 4 4" xfId="26393"/>
    <cellStyle name="Normal 4 3 2 2 2 2 5" xfId="9813"/>
    <cellStyle name="Normal 4 3 2 2 2 2 5 2" xfId="29491"/>
    <cellStyle name="Normal 4 3 2 2 2 2 6" xfId="15965"/>
    <cellStyle name="Normal 4 3 2 2 2 2 6 2" xfId="35643"/>
    <cellStyle name="Normal 4 3 2 2 2 2 7" xfId="23278"/>
    <cellStyle name="Normal 4 3 2 2 2 3" xfId="4277"/>
    <cellStyle name="Normal 4 3 2 2 2 3 2" xfId="5902"/>
    <cellStyle name="Normal 4 3 2 2 2 3 2 2" xfId="8988"/>
    <cellStyle name="Normal 4 3 2 2 2 3 2 2 2" xfId="15181"/>
    <cellStyle name="Normal 4 3 2 2 2 3 2 2 2 2" xfId="34859"/>
    <cellStyle name="Normal 4 3 2 2 2 3 2 2 3" xfId="21333"/>
    <cellStyle name="Normal 4 3 2 2 2 3 2 2 3 2" xfId="41011"/>
    <cellStyle name="Normal 4 3 2 2 2 3 2 2 4" xfId="28695"/>
    <cellStyle name="Normal 4 3 2 2 2 3 2 3" xfId="12115"/>
    <cellStyle name="Normal 4 3 2 2 2 3 2 3 2" xfId="31793"/>
    <cellStyle name="Normal 4 3 2 2 2 3 2 4" xfId="18267"/>
    <cellStyle name="Normal 4 3 2 2 2 3 2 4 2" xfId="37945"/>
    <cellStyle name="Normal 4 3 2 2 2 3 2 5" xfId="25629"/>
    <cellStyle name="Normal 4 3 2 2 2 3 3" xfId="7453"/>
    <cellStyle name="Normal 4 3 2 2 2 3 3 2" xfId="13647"/>
    <cellStyle name="Normal 4 3 2 2 2 3 3 2 2" xfId="33325"/>
    <cellStyle name="Normal 4 3 2 2 2 3 3 3" xfId="19799"/>
    <cellStyle name="Normal 4 3 2 2 2 3 3 3 2" xfId="39477"/>
    <cellStyle name="Normal 4 3 2 2 2 3 3 4" xfId="27161"/>
    <cellStyle name="Normal 4 3 2 2 2 3 4" xfId="10581"/>
    <cellStyle name="Normal 4 3 2 2 2 3 4 2" xfId="30259"/>
    <cellStyle name="Normal 4 3 2 2 2 3 5" xfId="16733"/>
    <cellStyle name="Normal 4 3 2 2 2 3 5 2" xfId="36411"/>
    <cellStyle name="Normal 4 3 2 2 2 3 6" xfId="24095"/>
    <cellStyle name="Normal 4 3 2 2 2 4" xfId="5119"/>
    <cellStyle name="Normal 4 3 2 2 2 4 2" xfId="8219"/>
    <cellStyle name="Normal 4 3 2 2 2 4 2 2" xfId="14412"/>
    <cellStyle name="Normal 4 3 2 2 2 4 2 2 2" xfId="34090"/>
    <cellStyle name="Normal 4 3 2 2 2 4 2 3" xfId="20564"/>
    <cellStyle name="Normal 4 3 2 2 2 4 2 3 2" xfId="40242"/>
    <cellStyle name="Normal 4 3 2 2 2 4 2 4" xfId="27926"/>
    <cellStyle name="Normal 4 3 2 2 2 4 3" xfId="11346"/>
    <cellStyle name="Normal 4 3 2 2 2 4 3 2" xfId="31024"/>
    <cellStyle name="Normal 4 3 2 2 2 4 4" xfId="17498"/>
    <cellStyle name="Normal 4 3 2 2 2 4 4 2" xfId="37176"/>
    <cellStyle name="Normal 4 3 2 2 2 4 5" xfId="24860"/>
    <cellStyle name="Normal 4 3 2 2 2 5" xfId="6684"/>
    <cellStyle name="Normal 4 3 2 2 2 5 2" xfId="12878"/>
    <cellStyle name="Normal 4 3 2 2 2 5 2 2" xfId="32556"/>
    <cellStyle name="Normal 4 3 2 2 2 5 3" xfId="19030"/>
    <cellStyle name="Normal 4 3 2 2 2 5 3 2" xfId="38708"/>
    <cellStyle name="Normal 4 3 2 2 2 5 4" xfId="26392"/>
    <cellStyle name="Normal 4 3 2 2 2 6" xfId="9812"/>
    <cellStyle name="Normal 4 3 2 2 2 6 2" xfId="29490"/>
    <cellStyle name="Normal 4 3 2 2 2 7" xfId="15964"/>
    <cellStyle name="Normal 4 3 2 2 2 7 2" xfId="35642"/>
    <cellStyle name="Normal 4 3 2 2 2 8" xfId="23277"/>
    <cellStyle name="Normal 4 3 2 2 3" xfId="3042"/>
    <cellStyle name="Normal 4 3 2 2 3 2" xfId="3043"/>
    <cellStyle name="Normal 4 3 2 2 3 2 2" xfId="4280"/>
    <cellStyle name="Normal 4 3 2 2 3 2 2 2" xfId="5905"/>
    <cellStyle name="Normal 4 3 2 2 3 2 2 2 2" xfId="8991"/>
    <cellStyle name="Normal 4 3 2 2 3 2 2 2 2 2" xfId="15184"/>
    <cellStyle name="Normal 4 3 2 2 3 2 2 2 2 2 2" xfId="34862"/>
    <cellStyle name="Normal 4 3 2 2 3 2 2 2 2 3" xfId="21336"/>
    <cellStyle name="Normal 4 3 2 2 3 2 2 2 2 3 2" xfId="41014"/>
    <cellStyle name="Normal 4 3 2 2 3 2 2 2 2 4" xfId="28698"/>
    <cellStyle name="Normal 4 3 2 2 3 2 2 2 3" xfId="12118"/>
    <cellStyle name="Normal 4 3 2 2 3 2 2 2 3 2" xfId="31796"/>
    <cellStyle name="Normal 4 3 2 2 3 2 2 2 4" xfId="18270"/>
    <cellStyle name="Normal 4 3 2 2 3 2 2 2 4 2" xfId="37948"/>
    <cellStyle name="Normal 4 3 2 2 3 2 2 2 5" xfId="25632"/>
    <cellStyle name="Normal 4 3 2 2 3 2 2 3" xfId="7456"/>
    <cellStyle name="Normal 4 3 2 2 3 2 2 3 2" xfId="13650"/>
    <cellStyle name="Normal 4 3 2 2 3 2 2 3 2 2" xfId="33328"/>
    <cellStyle name="Normal 4 3 2 2 3 2 2 3 3" xfId="19802"/>
    <cellStyle name="Normal 4 3 2 2 3 2 2 3 3 2" xfId="39480"/>
    <cellStyle name="Normal 4 3 2 2 3 2 2 3 4" xfId="27164"/>
    <cellStyle name="Normal 4 3 2 2 3 2 2 4" xfId="10584"/>
    <cellStyle name="Normal 4 3 2 2 3 2 2 4 2" xfId="30262"/>
    <cellStyle name="Normal 4 3 2 2 3 2 2 5" xfId="16736"/>
    <cellStyle name="Normal 4 3 2 2 3 2 2 5 2" xfId="36414"/>
    <cellStyle name="Normal 4 3 2 2 3 2 2 6" xfId="24098"/>
    <cellStyle name="Normal 4 3 2 2 3 2 3" xfId="5122"/>
    <cellStyle name="Normal 4 3 2 2 3 2 3 2" xfId="8222"/>
    <cellStyle name="Normal 4 3 2 2 3 2 3 2 2" xfId="14415"/>
    <cellStyle name="Normal 4 3 2 2 3 2 3 2 2 2" xfId="34093"/>
    <cellStyle name="Normal 4 3 2 2 3 2 3 2 3" xfId="20567"/>
    <cellStyle name="Normal 4 3 2 2 3 2 3 2 3 2" xfId="40245"/>
    <cellStyle name="Normal 4 3 2 2 3 2 3 2 4" xfId="27929"/>
    <cellStyle name="Normal 4 3 2 2 3 2 3 3" xfId="11349"/>
    <cellStyle name="Normal 4 3 2 2 3 2 3 3 2" xfId="31027"/>
    <cellStyle name="Normal 4 3 2 2 3 2 3 4" xfId="17501"/>
    <cellStyle name="Normal 4 3 2 2 3 2 3 4 2" xfId="37179"/>
    <cellStyle name="Normal 4 3 2 2 3 2 3 5" xfId="24863"/>
    <cellStyle name="Normal 4 3 2 2 3 2 4" xfId="6687"/>
    <cellStyle name="Normal 4 3 2 2 3 2 4 2" xfId="12881"/>
    <cellStyle name="Normal 4 3 2 2 3 2 4 2 2" xfId="32559"/>
    <cellStyle name="Normal 4 3 2 2 3 2 4 3" xfId="19033"/>
    <cellStyle name="Normal 4 3 2 2 3 2 4 3 2" xfId="38711"/>
    <cellStyle name="Normal 4 3 2 2 3 2 4 4" xfId="26395"/>
    <cellStyle name="Normal 4 3 2 2 3 2 5" xfId="9815"/>
    <cellStyle name="Normal 4 3 2 2 3 2 5 2" xfId="29493"/>
    <cellStyle name="Normal 4 3 2 2 3 2 6" xfId="15967"/>
    <cellStyle name="Normal 4 3 2 2 3 2 6 2" xfId="35645"/>
    <cellStyle name="Normal 4 3 2 2 3 2 7" xfId="23280"/>
    <cellStyle name="Normal 4 3 2 2 3 3" xfId="4279"/>
    <cellStyle name="Normal 4 3 2 2 3 3 2" xfId="5904"/>
    <cellStyle name="Normal 4 3 2 2 3 3 2 2" xfId="8990"/>
    <cellStyle name="Normal 4 3 2 2 3 3 2 2 2" xfId="15183"/>
    <cellStyle name="Normal 4 3 2 2 3 3 2 2 2 2" xfId="34861"/>
    <cellStyle name="Normal 4 3 2 2 3 3 2 2 3" xfId="21335"/>
    <cellStyle name="Normal 4 3 2 2 3 3 2 2 3 2" xfId="41013"/>
    <cellStyle name="Normal 4 3 2 2 3 3 2 2 4" xfId="28697"/>
    <cellStyle name="Normal 4 3 2 2 3 3 2 3" xfId="12117"/>
    <cellStyle name="Normal 4 3 2 2 3 3 2 3 2" xfId="31795"/>
    <cellStyle name="Normal 4 3 2 2 3 3 2 4" xfId="18269"/>
    <cellStyle name="Normal 4 3 2 2 3 3 2 4 2" xfId="37947"/>
    <cellStyle name="Normal 4 3 2 2 3 3 2 5" xfId="25631"/>
    <cellStyle name="Normal 4 3 2 2 3 3 3" xfId="7455"/>
    <cellStyle name="Normal 4 3 2 2 3 3 3 2" xfId="13649"/>
    <cellStyle name="Normal 4 3 2 2 3 3 3 2 2" xfId="33327"/>
    <cellStyle name="Normal 4 3 2 2 3 3 3 3" xfId="19801"/>
    <cellStyle name="Normal 4 3 2 2 3 3 3 3 2" xfId="39479"/>
    <cellStyle name="Normal 4 3 2 2 3 3 3 4" xfId="27163"/>
    <cellStyle name="Normal 4 3 2 2 3 3 4" xfId="10583"/>
    <cellStyle name="Normal 4 3 2 2 3 3 4 2" xfId="30261"/>
    <cellStyle name="Normal 4 3 2 2 3 3 5" xfId="16735"/>
    <cellStyle name="Normal 4 3 2 2 3 3 5 2" xfId="36413"/>
    <cellStyle name="Normal 4 3 2 2 3 3 6" xfId="24097"/>
    <cellStyle name="Normal 4 3 2 2 3 4" xfId="5121"/>
    <cellStyle name="Normal 4 3 2 2 3 4 2" xfId="8221"/>
    <cellStyle name="Normal 4 3 2 2 3 4 2 2" xfId="14414"/>
    <cellStyle name="Normal 4 3 2 2 3 4 2 2 2" xfId="34092"/>
    <cellStyle name="Normal 4 3 2 2 3 4 2 3" xfId="20566"/>
    <cellStyle name="Normal 4 3 2 2 3 4 2 3 2" xfId="40244"/>
    <cellStyle name="Normal 4 3 2 2 3 4 2 4" xfId="27928"/>
    <cellStyle name="Normal 4 3 2 2 3 4 3" xfId="11348"/>
    <cellStyle name="Normal 4 3 2 2 3 4 3 2" xfId="31026"/>
    <cellStyle name="Normal 4 3 2 2 3 4 4" xfId="17500"/>
    <cellStyle name="Normal 4 3 2 2 3 4 4 2" xfId="37178"/>
    <cellStyle name="Normal 4 3 2 2 3 4 5" xfId="24862"/>
    <cellStyle name="Normal 4 3 2 2 3 5" xfId="6686"/>
    <cellStyle name="Normal 4 3 2 2 3 5 2" xfId="12880"/>
    <cellStyle name="Normal 4 3 2 2 3 5 2 2" xfId="32558"/>
    <cellStyle name="Normal 4 3 2 2 3 5 3" xfId="19032"/>
    <cellStyle name="Normal 4 3 2 2 3 5 3 2" xfId="38710"/>
    <cellStyle name="Normal 4 3 2 2 3 5 4" xfId="26394"/>
    <cellStyle name="Normal 4 3 2 2 3 6" xfId="9814"/>
    <cellStyle name="Normal 4 3 2 2 3 6 2" xfId="29492"/>
    <cellStyle name="Normal 4 3 2 2 3 7" xfId="15966"/>
    <cellStyle name="Normal 4 3 2 2 3 7 2" xfId="35644"/>
    <cellStyle name="Normal 4 3 2 2 3 8" xfId="23279"/>
    <cellStyle name="Normal 4 3 2 2 4" xfId="3044"/>
    <cellStyle name="Normal 4 3 2 2 4 2" xfId="4281"/>
    <cellStyle name="Normal 4 3 2 2 4 2 2" xfId="5906"/>
    <cellStyle name="Normal 4 3 2 2 4 2 2 2" xfId="8992"/>
    <cellStyle name="Normal 4 3 2 2 4 2 2 2 2" xfId="15185"/>
    <cellStyle name="Normal 4 3 2 2 4 2 2 2 2 2" xfId="34863"/>
    <cellStyle name="Normal 4 3 2 2 4 2 2 2 3" xfId="21337"/>
    <cellStyle name="Normal 4 3 2 2 4 2 2 2 3 2" xfId="41015"/>
    <cellStyle name="Normal 4 3 2 2 4 2 2 2 4" xfId="28699"/>
    <cellStyle name="Normal 4 3 2 2 4 2 2 3" xfId="12119"/>
    <cellStyle name="Normal 4 3 2 2 4 2 2 3 2" xfId="31797"/>
    <cellStyle name="Normal 4 3 2 2 4 2 2 4" xfId="18271"/>
    <cellStyle name="Normal 4 3 2 2 4 2 2 4 2" xfId="37949"/>
    <cellStyle name="Normal 4 3 2 2 4 2 2 5" xfId="25633"/>
    <cellStyle name="Normal 4 3 2 2 4 2 3" xfId="7457"/>
    <cellStyle name="Normal 4 3 2 2 4 2 3 2" xfId="13651"/>
    <cellStyle name="Normal 4 3 2 2 4 2 3 2 2" xfId="33329"/>
    <cellStyle name="Normal 4 3 2 2 4 2 3 3" xfId="19803"/>
    <cellStyle name="Normal 4 3 2 2 4 2 3 3 2" xfId="39481"/>
    <cellStyle name="Normal 4 3 2 2 4 2 3 4" xfId="27165"/>
    <cellStyle name="Normal 4 3 2 2 4 2 4" xfId="10585"/>
    <cellStyle name="Normal 4 3 2 2 4 2 4 2" xfId="30263"/>
    <cellStyle name="Normal 4 3 2 2 4 2 5" xfId="16737"/>
    <cellStyle name="Normal 4 3 2 2 4 2 5 2" xfId="36415"/>
    <cellStyle name="Normal 4 3 2 2 4 2 6" xfId="24099"/>
    <cellStyle name="Normal 4 3 2 2 4 3" xfId="5123"/>
    <cellStyle name="Normal 4 3 2 2 4 3 2" xfId="8223"/>
    <cellStyle name="Normal 4 3 2 2 4 3 2 2" xfId="14416"/>
    <cellStyle name="Normal 4 3 2 2 4 3 2 2 2" xfId="34094"/>
    <cellStyle name="Normal 4 3 2 2 4 3 2 3" xfId="20568"/>
    <cellStyle name="Normal 4 3 2 2 4 3 2 3 2" xfId="40246"/>
    <cellStyle name="Normal 4 3 2 2 4 3 2 4" xfId="27930"/>
    <cellStyle name="Normal 4 3 2 2 4 3 3" xfId="11350"/>
    <cellStyle name="Normal 4 3 2 2 4 3 3 2" xfId="31028"/>
    <cellStyle name="Normal 4 3 2 2 4 3 4" xfId="17502"/>
    <cellStyle name="Normal 4 3 2 2 4 3 4 2" xfId="37180"/>
    <cellStyle name="Normal 4 3 2 2 4 3 5" xfId="24864"/>
    <cellStyle name="Normal 4 3 2 2 4 4" xfId="6688"/>
    <cellStyle name="Normal 4 3 2 2 4 4 2" xfId="12882"/>
    <cellStyle name="Normal 4 3 2 2 4 4 2 2" xfId="32560"/>
    <cellStyle name="Normal 4 3 2 2 4 4 3" xfId="19034"/>
    <cellStyle name="Normal 4 3 2 2 4 4 3 2" xfId="38712"/>
    <cellStyle name="Normal 4 3 2 2 4 4 4" xfId="26396"/>
    <cellStyle name="Normal 4 3 2 2 4 5" xfId="9816"/>
    <cellStyle name="Normal 4 3 2 2 4 5 2" xfId="29494"/>
    <cellStyle name="Normal 4 3 2 2 4 6" xfId="15968"/>
    <cellStyle name="Normal 4 3 2 2 4 6 2" xfId="35646"/>
    <cellStyle name="Normal 4 3 2 2 4 7" xfId="23281"/>
    <cellStyle name="Normal 4 3 2 2 5" xfId="4276"/>
    <cellStyle name="Normal 4 3 2 2 5 2" xfId="5901"/>
    <cellStyle name="Normal 4 3 2 2 5 2 2" xfId="8987"/>
    <cellStyle name="Normal 4 3 2 2 5 2 2 2" xfId="15180"/>
    <cellStyle name="Normal 4 3 2 2 5 2 2 2 2" xfId="34858"/>
    <cellStyle name="Normal 4 3 2 2 5 2 2 3" xfId="21332"/>
    <cellStyle name="Normal 4 3 2 2 5 2 2 3 2" xfId="41010"/>
    <cellStyle name="Normal 4 3 2 2 5 2 2 4" xfId="28694"/>
    <cellStyle name="Normal 4 3 2 2 5 2 3" xfId="12114"/>
    <cellStyle name="Normal 4 3 2 2 5 2 3 2" xfId="31792"/>
    <cellStyle name="Normal 4 3 2 2 5 2 4" xfId="18266"/>
    <cellStyle name="Normal 4 3 2 2 5 2 4 2" xfId="37944"/>
    <cellStyle name="Normal 4 3 2 2 5 2 5" xfId="25628"/>
    <cellStyle name="Normal 4 3 2 2 5 3" xfId="7452"/>
    <cellStyle name="Normal 4 3 2 2 5 3 2" xfId="13646"/>
    <cellStyle name="Normal 4 3 2 2 5 3 2 2" xfId="33324"/>
    <cellStyle name="Normal 4 3 2 2 5 3 3" xfId="19798"/>
    <cellStyle name="Normal 4 3 2 2 5 3 3 2" xfId="39476"/>
    <cellStyle name="Normal 4 3 2 2 5 3 4" xfId="27160"/>
    <cellStyle name="Normal 4 3 2 2 5 4" xfId="10580"/>
    <cellStyle name="Normal 4 3 2 2 5 4 2" xfId="30258"/>
    <cellStyle name="Normal 4 3 2 2 5 5" xfId="16732"/>
    <cellStyle name="Normal 4 3 2 2 5 5 2" xfId="36410"/>
    <cellStyle name="Normal 4 3 2 2 5 6" xfId="24094"/>
    <cellStyle name="Normal 4 3 2 2 6" xfId="5118"/>
    <cellStyle name="Normal 4 3 2 2 6 2" xfId="8218"/>
    <cellStyle name="Normal 4 3 2 2 6 2 2" xfId="14411"/>
    <cellStyle name="Normal 4 3 2 2 6 2 2 2" xfId="34089"/>
    <cellStyle name="Normal 4 3 2 2 6 2 3" xfId="20563"/>
    <cellStyle name="Normal 4 3 2 2 6 2 3 2" xfId="40241"/>
    <cellStyle name="Normal 4 3 2 2 6 2 4" xfId="27925"/>
    <cellStyle name="Normal 4 3 2 2 6 3" xfId="11345"/>
    <cellStyle name="Normal 4 3 2 2 6 3 2" xfId="31023"/>
    <cellStyle name="Normal 4 3 2 2 6 4" xfId="17497"/>
    <cellStyle name="Normal 4 3 2 2 6 4 2" xfId="37175"/>
    <cellStyle name="Normal 4 3 2 2 6 5" xfId="24859"/>
    <cellStyle name="Normal 4 3 2 2 7" xfId="6683"/>
    <cellStyle name="Normal 4 3 2 2 7 2" xfId="12877"/>
    <cellStyle name="Normal 4 3 2 2 7 2 2" xfId="32555"/>
    <cellStyle name="Normal 4 3 2 2 7 3" xfId="19029"/>
    <cellStyle name="Normal 4 3 2 2 7 3 2" xfId="38707"/>
    <cellStyle name="Normal 4 3 2 2 7 4" xfId="26391"/>
    <cellStyle name="Normal 4 3 2 2 8" xfId="9811"/>
    <cellStyle name="Normal 4 3 2 2 8 2" xfId="29489"/>
    <cellStyle name="Normal 4 3 2 2 9" xfId="15963"/>
    <cellStyle name="Normal 4 3 2 2 9 2" xfId="35641"/>
    <cellStyle name="Normal 4 3 2 3" xfId="3045"/>
    <cellStyle name="Normal 4 3 2 3 2" xfId="3046"/>
    <cellStyle name="Normal 4 3 2 3 2 2" xfId="4283"/>
    <cellStyle name="Normal 4 3 2 3 2 2 2" xfId="5908"/>
    <cellStyle name="Normal 4 3 2 3 2 2 2 2" xfId="8994"/>
    <cellStyle name="Normal 4 3 2 3 2 2 2 2 2" xfId="15187"/>
    <cellStyle name="Normal 4 3 2 3 2 2 2 2 2 2" xfId="34865"/>
    <cellStyle name="Normal 4 3 2 3 2 2 2 2 3" xfId="21339"/>
    <cellStyle name="Normal 4 3 2 3 2 2 2 2 3 2" xfId="41017"/>
    <cellStyle name="Normal 4 3 2 3 2 2 2 2 4" xfId="28701"/>
    <cellStyle name="Normal 4 3 2 3 2 2 2 3" xfId="12121"/>
    <cellStyle name="Normal 4 3 2 3 2 2 2 3 2" xfId="31799"/>
    <cellStyle name="Normal 4 3 2 3 2 2 2 4" xfId="18273"/>
    <cellStyle name="Normal 4 3 2 3 2 2 2 4 2" xfId="37951"/>
    <cellStyle name="Normal 4 3 2 3 2 2 2 5" xfId="25635"/>
    <cellStyle name="Normal 4 3 2 3 2 2 3" xfId="7459"/>
    <cellStyle name="Normal 4 3 2 3 2 2 3 2" xfId="13653"/>
    <cellStyle name="Normal 4 3 2 3 2 2 3 2 2" xfId="33331"/>
    <cellStyle name="Normal 4 3 2 3 2 2 3 3" xfId="19805"/>
    <cellStyle name="Normal 4 3 2 3 2 2 3 3 2" xfId="39483"/>
    <cellStyle name="Normal 4 3 2 3 2 2 3 4" xfId="27167"/>
    <cellStyle name="Normal 4 3 2 3 2 2 4" xfId="10587"/>
    <cellStyle name="Normal 4 3 2 3 2 2 4 2" xfId="30265"/>
    <cellStyle name="Normal 4 3 2 3 2 2 5" xfId="16739"/>
    <cellStyle name="Normal 4 3 2 3 2 2 5 2" xfId="36417"/>
    <cellStyle name="Normal 4 3 2 3 2 2 6" xfId="24101"/>
    <cellStyle name="Normal 4 3 2 3 2 3" xfId="5125"/>
    <cellStyle name="Normal 4 3 2 3 2 3 2" xfId="8225"/>
    <cellStyle name="Normal 4 3 2 3 2 3 2 2" xfId="14418"/>
    <cellStyle name="Normal 4 3 2 3 2 3 2 2 2" xfId="34096"/>
    <cellStyle name="Normal 4 3 2 3 2 3 2 3" xfId="20570"/>
    <cellStyle name="Normal 4 3 2 3 2 3 2 3 2" xfId="40248"/>
    <cellStyle name="Normal 4 3 2 3 2 3 2 4" xfId="27932"/>
    <cellStyle name="Normal 4 3 2 3 2 3 3" xfId="11352"/>
    <cellStyle name="Normal 4 3 2 3 2 3 3 2" xfId="31030"/>
    <cellStyle name="Normal 4 3 2 3 2 3 4" xfId="17504"/>
    <cellStyle name="Normal 4 3 2 3 2 3 4 2" xfId="37182"/>
    <cellStyle name="Normal 4 3 2 3 2 3 5" xfId="24866"/>
    <cellStyle name="Normal 4 3 2 3 2 4" xfId="6690"/>
    <cellStyle name="Normal 4 3 2 3 2 4 2" xfId="12884"/>
    <cellStyle name="Normal 4 3 2 3 2 4 2 2" xfId="32562"/>
    <cellStyle name="Normal 4 3 2 3 2 4 3" xfId="19036"/>
    <cellStyle name="Normal 4 3 2 3 2 4 3 2" xfId="38714"/>
    <cellStyle name="Normal 4 3 2 3 2 4 4" xfId="26398"/>
    <cellStyle name="Normal 4 3 2 3 2 5" xfId="9818"/>
    <cellStyle name="Normal 4 3 2 3 2 5 2" xfId="29496"/>
    <cellStyle name="Normal 4 3 2 3 2 6" xfId="15970"/>
    <cellStyle name="Normal 4 3 2 3 2 6 2" xfId="35648"/>
    <cellStyle name="Normal 4 3 2 3 2 7" xfId="23283"/>
    <cellStyle name="Normal 4 3 2 3 3" xfId="4282"/>
    <cellStyle name="Normal 4 3 2 3 3 2" xfId="5907"/>
    <cellStyle name="Normal 4 3 2 3 3 2 2" xfId="8993"/>
    <cellStyle name="Normal 4 3 2 3 3 2 2 2" xfId="15186"/>
    <cellStyle name="Normal 4 3 2 3 3 2 2 2 2" xfId="34864"/>
    <cellStyle name="Normal 4 3 2 3 3 2 2 3" xfId="21338"/>
    <cellStyle name="Normal 4 3 2 3 3 2 2 3 2" xfId="41016"/>
    <cellStyle name="Normal 4 3 2 3 3 2 2 4" xfId="28700"/>
    <cellStyle name="Normal 4 3 2 3 3 2 3" xfId="12120"/>
    <cellStyle name="Normal 4 3 2 3 3 2 3 2" xfId="31798"/>
    <cellStyle name="Normal 4 3 2 3 3 2 4" xfId="18272"/>
    <cellStyle name="Normal 4 3 2 3 3 2 4 2" xfId="37950"/>
    <cellStyle name="Normal 4 3 2 3 3 2 5" xfId="25634"/>
    <cellStyle name="Normal 4 3 2 3 3 3" xfId="7458"/>
    <cellStyle name="Normal 4 3 2 3 3 3 2" xfId="13652"/>
    <cellStyle name="Normal 4 3 2 3 3 3 2 2" xfId="33330"/>
    <cellStyle name="Normal 4 3 2 3 3 3 3" xfId="19804"/>
    <cellStyle name="Normal 4 3 2 3 3 3 3 2" xfId="39482"/>
    <cellStyle name="Normal 4 3 2 3 3 3 4" xfId="27166"/>
    <cellStyle name="Normal 4 3 2 3 3 4" xfId="10586"/>
    <cellStyle name="Normal 4 3 2 3 3 4 2" xfId="30264"/>
    <cellStyle name="Normal 4 3 2 3 3 5" xfId="16738"/>
    <cellStyle name="Normal 4 3 2 3 3 5 2" xfId="36416"/>
    <cellStyle name="Normal 4 3 2 3 3 6" xfId="24100"/>
    <cellStyle name="Normal 4 3 2 3 4" xfId="5124"/>
    <cellStyle name="Normal 4 3 2 3 4 2" xfId="8224"/>
    <cellStyle name="Normal 4 3 2 3 4 2 2" xfId="14417"/>
    <cellStyle name="Normal 4 3 2 3 4 2 2 2" xfId="34095"/>
    <cellStyle name="Normal 4 3 2 3 4 2 3" xfId="20569"/>
    <cellStyle name="Normal 4 3 2 3 4 2 3 2" xfId="40247"/>
    <cellStyle name="Normal 4 3 2 3 4 2 4" xfId="27931"/>
    <cellStyle name="Normal 4 3 2 3 4 3" xfId="11351"/>
    <cellStyle name="Normal 4 3 2 3 4 3 2" xfId="31029"/>
    <cellStyle name="Normal 4 3 2 3 4 4" xfId="17503"/>
    <cellStyle name="Normal 4 3 2 3 4 4 2" xfId="37181"/>
    <cellStyle name="Normal 4 3 2 3 4 5" xfId="24865"/>
    <cellStyle name="Normal 4 3 2 3 5" xfId="6689"/>
    <cellStyle name="Normal 4 3 2 3 5 2" xfId="12883"/>
    <cellStyle name="Normal 4 3 2 3 5 2 2" xfId="32561"/>
    <cellStyle name="Normal 4 3 2 3 5 3" xfId="19035"/>
    <cellStyle name="Normal 4 3 2 3 5 3 2" xfId="38713"/>
    <cellStyle name="Normal 4 3 2 3 5 4" xfId="26397"/>
    <cellStyle name="Normal 4 3 2 3 6" xfId="9817"/>
    <cellStyle name="Normal 4 3 2 3 6 2" xfId="29495"/>
    <cellStyle name="Normal 4 3 2 3 7" xfId="15969"/>
    <cellStyle name="Normal 4 3 2 3 7 2" xfId="35647"/>
    <cellStyle name="Normal 4 3 2 3 8" xfId="23282"/>
    <cellStyle name="Normal 4 3 2 4" xfId="3047"/>
    <cellStyle name="Normal 4 3 2 4 2" xfId="3048"/>
    <cellStyle name="Normal 4 3 2 4 2 2" xfId="4285"/>
    <cellStyle name="Normal 4 3 2 4 2 2 2" xfId="5910"/>
    <cellStyle name="Normal 4 3 2 4 2 2 2 2" xfId="8996"/>
    <cellStyle name="Normal 4 3 2 4 2 2 2 2 2" xfId="15189"/>
    <cellStyle name="Normal 4 3 2 4 2 2 2 2 2 2" xfId="34867"/>
    <cellStyle name="Normal 4 3 2 4 2 2 2 2 3" xfId="21341"/>
    <cellStyle name="Normal 4 3 2 4 2 2 2 2 3 2" xfId="41019"/>
    <cellStyle name="Normal 4 3 2 4 2 2 2 2 4" xfId="28703"/>
    <cellStyle name="Normal 4 3 2 4 2 2 2 3" xfId="12123"/>
    <cellStyle name="Normal 4 3 2 4 2 2 2 3 2" xfId="31801"/>
    <cellStyle name="Normal 4 3 2 4 2 2 2 4" xfId="18275"/>
    <cellStyle name="Normal 4 3 2 4 2 2 2 4 2" xfId="37953"/>
    <cellStyle name="Normal 4 3 2 4 2 2 2 5" xfId="25637"/>
    <cellStyle name="Normal 4 3 2 4 2 2 3" xfId="7461"/>
    <cellStyle name="Normal 4 3 2 4 2 2 3 2" xfId="13655"/>
    <cellStyle name="Normal 4 3 2 4 2 2 3 2 2" xfId="33333"/>
    <cellStyle name="Normal 4 3 2 4 2 2 3 3" xfId="19807"/>
    <cellStyle name="Normal 4 3 2 4 2 2 3 3 2" xfId="39485"/>
    <cellStyle name="Normal 4 3 2 4 2 2 3 4" xfId="27169"/>
    <cellStyle name="Normal 4 3 2 4 2 2 4" xfId="10589"/>
    <cellStyle name="Normal 4 3 2 4 2 2 4 2" xfId="30267"/>
    <cellStyle name="Normal 4 3 2 4 2 2 5" xfId="16741"/>
    <cellStyle name="Normal 4 3 2 4 2 2 5 2" xfId="36419"/>
    <cellStyle name="Normal 4 3 2 4 2 2 6" xfId="24103"/>
    <cellStyle name="Normal 4 3 2 4 2 3" xfId="5127"/>
    <cellStyle name="Normal 4 3 2 4 2 3 2" xfId="8227"/>
    <cellStyle name="Normal 4 3 2 4 2 3 2 2" xfId="14420"/>
    <cellStyle name="Normal 4 3 2 4 2 3 2 2 2" xfId="34098"/>
    <cellStyle name="Normal 4 3 2 4 2 3 2 3" xfId="20572"/>
    <cellStyle name="Normal 4 3 2 4 2 3 2 3 2" xfId="40250"/>
    <cellStyle name="Normal 4 3 2 4 2 3 2 4" xfId="27934"/>
    <cellStyle name="Normal 4 3 2 4 2 3 3" xfId="11354"/>
    <cellStyle name="Normal 4 3 2 4 2 3 3 2" xfId="31032"/>
    <cellStyle name="Normal 4 3 2 4 2 3 4" xfId="17506"/>
    <cellStyle name="Normal 4 3 2 4 2 3 4 2" xfId="37184"/>
    <cellStyle name="Normal 4 3 2 4 2 3 5" xfId="24868"/>
    <cellStyle name="Normal 4 3 2 4 2 4" xfId="6692"/>
    <cellStyle name="Normal 4 3 2 4 2 4 2" xfId="12886"/>
    <cellStyle name="Normal 4 3 2 4 2 4 2 2" xfId="32564"/>
    <cellStyle name="Normal 4 3 2 4 2 4 3" xfId="19038"/>
    <cellStyle name="Normal 4 3 2 4 2 4 3 2" xfId="38716"/>
    <cellStyle name="Normal 4 3 2 4 2 4 4" xfId="26400"/>
    <cellStyle name="Normal 4 3 2 4 2 5" xfId="9820"/>
    <cellStyle name="Normal 4 3 2 4 2 5 2" xfId="29498"/>
    <cellStyle name="Normal 4 3 2 4 2 6" xfId="15972"/>
    <cellStyle name="Normal 4 3 2 4 2 6 2" xfId="35650"/>
    <cellStyle name="Normal 4 3 2 4 2 7" xfId="23285"/>
    <cellStyle name="Normal 4 3 2 4 3" xfId="4284"/>
    <cellStyle name="Normal 4 3 2 4 3 2" xfId="5909"/>
    <cellStyle name="Normal 4 3 2 4 3 2 2" xfId="8995"/>
    <cellStyle name="Normal 4 3 2 4 3 2 2 2" xfId="15188"/>
    <cellStyle name="Normal 4 3 2 4 3 2 2 2 2" xfId="34866"/>
    <cellStyle name="Normal 4 3 2 4 3 2 2 3" xfId="21340"/>
    <cellStyle name="Normal 4 3 2 4 3 2 2 3 2" xfId="41018"/>
    <cellStyle name="Normal 4 3 2 4 3 2 2 4" xfId="28702"/>
    <cellStyle name="Normal 4 3 2 4 3 2 3" xfId="12122"/>
    <cellStyle name="Normal 4 3 2 4 3 2 3 2" xfId="31800"/>
    <cellStyle name="Normal 4 3 2 4 3 2 4" xfId="18274"/>
    <cellStyle name="Normal 4 3 2 4 3 2 4 2" xfId="37952"/>
    <cellStyle name="Normal 4 3 2 4 3 2 5" xfId="25636"/>
    <cellStyle name="Normal 4 3 2 4 3 3" xfId="7460"/>
    <cellStyle name="Normal 4 3 2 4 3 3 2" xfId="13654"/>
    <cellStyle name="Normal 4 3 2 4 3 3 2 2" xfId="33332"/>
    <cellStyle name="Normal 4 3 2 4 3 3 3" xfId="19806"/>
    <cellStyle name="Normal 4 3 2 4 3 3 3 2" xfId="39484"/>
    <cellStyle name="Normal 4 3 2 4 3 3 4" xfId="27168"/>
    <cellStyle name="Normal 4 3 2 4 3 4" xfId="10588"/>
    <cellStyle name="Normal 4 3 2 4 3 4 2" xfId="30266"/>
    <cellStyle name="Normal 4 3 2 4 3 5" xfId="16740"/>
    <cellStyle name="Normal 4 3 2 4 3 5 2" xfId="36418"/>
    <cellStyle name="Normal 4 3 2 4 3 6" xfId="24102"/>
    <cellStyle name="Normal 4 3 2 4 4" xfId="5126"/>
    <cellStyle name="Normal 4 3 2 4 4 2" xfId="8226"/>
    <cellStyle name="Normal 4 3 2 4 4 2 2" xfId="14419"/>
    <cellStyle name="Normal 4 3 2 4 4 2 2 2" xfId="34097"/>
    <cellStyle name="Normal 4 3 2 4 4 2 3" xfId="20571"/>
    <cellStyle name="Normal 4 3 2 4 4 2 3 2" xfId="40249"/>
    <cellStyle name="Normal 4 3 2 4 4 2 4" xfId="27933"/>
    <cellStyle name="Normal 4 3 2 4 4 3" xfId="11353"/>
    <cellStyle name="Normal 4 3 2 4 4 3 2" xfId="31031"/>
    <cellStyle name="Normal 4 3 2 4 4 4" xfId="17505"/>
    <cellStyle name="Normal 4 3 2 4 4 4 2" xfId="37183"/>
    <cellStyle name="Normal 4 3 2 4 4 5" xfId="24867"/>
    <cellStyle name="Normal 4 3 2 4 5" xfId="6691"/>
    <cellStyle name="Normal 4 3 2 4 5 2" xfId="12885"/>
    <cellStyle name="Normal 4 3 2 4 5 2 2" xfId="32563"/>
    <cellStyle name="Normal 4 3 2 4 5 3" xfId="19037"/>
    <cellStyle name="Normal 4 3 2 4 5 3 2" xfId="38715"/>
    <cellStyle name="Normal 4 3 2 4 5 4" xfId="26399"/>
    <cellStyle name="Normal 4 3 2 4 6" xfId="9819"/>
    <cellStyle name="Normal 4 3 2 4 6 2" xfId="29497"/>
    <cellStyle name="Normal 4 3 2 4 7" xfId="15971"/>
    <cellStyle name="Normal 4 3 2 4 7 2" xfId="35649"/>
    <cellStyle name="Normal 4 3 2 4 8" xfId="23284"/>
    <cellStyle name="Normal 4 3 2 5" xfId="3049"/>
    <cellStyle name="Normal 4 3 2 5 2" xfId="4286"/>
    <cellStyle name="Normal 4 3 2 5 2 2" xfId="5911"/>
    <cellStyle name="Normal 4 3 2 5 2 2 2" xfId="8997"/>
    <cellStyle name="Normal 4 3 2 5 2 2 2 2" xfId="15190"/>
    <cellStyle name="Normal 4 3 2 5 2 2 2 2 2" xfId="34868"/>
    <cellStyle name="Normal 4 3 2 5 2 2 2 3" xfId="21342"/>
    <cellStyle name="Normal 4 3 2 5 2 2 2 3 2" xfId="41020"/>
    <cellStyle name="Normal 4 3 2 5 2 2 2 4" xfId="28704"/>
    <cellStyle name="Normal 4 3 2 5 2 2 3" xfId="12124"/>
    <cellStyle name="Normal 4 3 2 5 2 2 3 2" xfId="31802"/>
    <cellStyle name="Normal 4 3 2 5 2 2 4" xfId="18276"/>
    <cellStyle name="Normal 4 3 2 5 2 2 4 2" xfId="37954"/>
    <cellStyle name="Normal 4 3 2 5 2 2 5" xfId="25638"/>
    <cellStyle name="Normal 4 3 2 5 2 3" xfId="7462"/>
    <cellStyle name="Normal 4 3 2 5 2 3 2" xfId="13656"/>
    <cellStyle name="Normal 4 3 2 5 2 3 2 2" xfId="33334"/>
    <cellStyle name="Normal 4 3 2 5 2 3 3" xfId="19808"/>
    <cellStyle name="Normal 4 3 2 5 2 3 3 2" xfId="39486"/>
    <cellStyle name="Normal 4 3 2 5 2 3 4" xfId="27170"/>
    <cellStyle name="Normal 4 3 2 5 2 4" xfId="10590"/>
    <cellStyle name="Normal 4 3 2 5 2 4 2" xfId="30268"/>
    <cellStyle name="Normal 4 3 2 5 2 5" xfId="16742"/>
    <cellStyle name="Normal 4 3 2 5 2 5 2" xfId="36420"/>
    <cellStyle name="Normal 4 3 2 5 2 6" xfId="24104"/>
    <cellStyle name="Normal 4 3 2 5 3" xfId="5128"/>
    <cellStyle name="Normal 4 3 2 5 3 2" xfId="8228"/>
    <cellStyle name="Normal 4 3 2 5 3 2 2" xfId="14421"/>
    <cellStyle name="Normal 4 3 2 5 3 2 2 2" xfId="34099"/>
    <cellStyle name="Normal 4 3 2 5 3 2 3" xfId="20573"/>
    <cellStyle name="Normal 4 3 2 5 3 2 3 2" xfId="40251"/>
    <cellStyle name="Normal 4 3 2 5 3 2 4" xfId="27935"/>
    <cellStyle name="Normal 4 3 2 5 3 3" xfId="11355"/>
    <cellStyle name="Normal 4 3 2 5 3 3 2" xfId="31033"/>
    <cellStyle name="Normal 4 3 2 5 3 4" xfId="17507"/>
    <cellStyle name="Normal 4 3 2 5 3 4 2" xfId="37185"/>
    <cellStyle name="Normal 4 3 2 5 3 5" xfId="24869"/>
    <cellStyle name="Normal 4 3 2 5 4" xfId="6693"/>
    <cellStyle name="Normal 4 3 2 5 4 2" xfId="12887"/>
    <cellStyle name="Normal 4 3 2 5 4 2 2" xfId="32565"/>
    <cellStyle name="Normal 4 3 2 5 4 3" xfId="19039"/>
    <cellStyle name="Normal 4 3 2 5 4 3 2" xfId="38717"/>
    <cellStyle name="Normal 4 3 2 5 4 4" xfId="26401"/>
    <cellStyle name="Normal 4 3 2 5 5" xfId="9821"/>
    <cellStyle name="Normal 4 3 2 5 5 2" xfId="29499"/>
    <cellStyle name="Normal 4 3 2 5 6" xfId="15973"/>
    <cellStyle name="Normal 4 3 2 5 6 2" xfId="35651"/>
    <cellStyle name="Normal 4 3 2 5 7" xfId="23286"/>
    <cellStyle name="Normal 4 3 2 6" xfId="4275"/>
    <cellStyle name="Normal 4 3 2 6 2" xfId="5900"/>
    <cellStyle name="Normal 4 3 2 6 2 2" xfId="8986"/>
    <cellStyle name="Normal 4 3 2 6 2 2 2" xfId="15179"/>
    <cellStyle name="Normal 4 3 2 6 2 2 2 2" xfId="34857"/>
    <cellStyle name="Normal 4 3 2 6 2 2 3" xfId="21331"/>
    <cellStyle name="Normal 4 3 2 6 2 2 3 2" xfId="41009"/>
    <cellStyle name="Normal 4 3 2 6 2 2 4" xfId="28693"/>
    <cellStyle name="Normal 4 3 2 6 2 3" xfId="12113"/>
    <cellStyle name="Normal 4 3 2 6 2 3 2" xfId="31791"/>
    <cellStyle name="Normal 4 3 2 6 2 4" xfId="18265"/>
    <cellStyle name="Normal 4 3 2 6 2 4 2" xfId="37943"/>
    <cellStyle name="Normal 4 3 2 6 2 5" xfId="25627"/>
    <cellStyle name="Normal 4 3 2 6 3" xfId="7451"/>
    <cellStyle name="Normal 4 3 2 6 3 2" xfId="13645"/>
    <cellStyle name="Normal 4 3 2 6 3 2 2" xfId="33323"/>
    <cellStyle name="Normal 4 3 2 6 3 3" xfId="19797"/>
    <cellStyle name="Normal 4 3 2 6 3 3 2" xfId="39475"/>
    <cellStyle name="Normal 4 3 2 6 3 4" xfId="27159"/>
    <cellStyle name="Normal 4 3 2 6 4" xfId="10579"/>
    <cellStyle name="Normal 4 3 2 6 4 2" xfId="30257"/>
    <cellStyle name="Normal 4 3 2 6 5" xfId="16731"/>
    <cellStyle name="Normal 4 3 2 6 5 2" xfId="36409"/>
    <cellStyle name="Normal 4 3 2 6 6" xfId="24093"/>
    <cellStyle name="Normal 4 3 2 7" xfId="5117"/>
    <cellStyle name="Normal 4 3 2 7 2" xfId="8217"/>
    <cellStyle name="Normal 4 3 2 7 2 2" xfId="14410"/>
    <cellStyle name="Normal 4 3 2 7 2 2 2" xfId="34088"/>
    <cellStyle name="Normal 4 3 2 7 2 3" xfId="20562"/>
    <cellStyle name="Normal 4 3 2 7 2 3 2" xfId="40240"/>
    <cellStyle name="Normal 4 3 2 7 2 4" xfId="27924"/>
    <cellStyle name="Normal 4 3 2 7 3" xfId="11344"/>
    <cellStyle name="Normal 4 3 2 7 3 2" xfId="31022"/>
    <cellStyle name="Normal 4 3 2 7 4" xfId="17496"/>
    <cellStyle name="Normal 4 3 2 7 4 2" xfId="37174"/>
    <cellStyle name="Normal 4 3 2 7 5" xfId="24858"/>
    <cellStyle name="Normal 4 3 2 8" xfId="6682"/>
    <cellStyle name="Normal 4 3 2 8 2" xfId="12876"/>
    <cellStyle name="Normal 4 3 2 8 2 2" xfId="32554"/>
    <cellStyle name="Normal 4 3 2 8 3" xfId="19028"/>
    <cellStyle name="Normal 4 3 2 8 3 2" xfId="38706"/>
    <cellStyle name="Normal 4 3 2 8 4" xfId="26390"/>
    <cellStyle name="Normal 4 3 2 9" xfId="9810"/>
    <cellStyle name="Normal 4 3 2 9 2" xfId="29488"/>
    <cellStyle name="Normal 4 3 3" xfId="3050"/>
    <cellStyle name="Normal 4 3 3 10" xfId="23287"/>
    <cellStyle name="Normal 4 3 3 2" xfId="3051"/>
    <cellStyle name="Normal 4 3 3 2 2" xfId="3052"/>
    <cellStyle name="Normal 4 3 3 2 2 2" xfId="4289"/>
    <cellStyle name="Normal 4 3 3 2 2 2 2" xfId="5914"/>
    <cellStyle name="Normal 4 3 3 2 2 2 2 2" xfId="9000"/>
    <cellStyle name="Normal 4 3 3 2 2 2 2 2 2" xfId="15193"/>
    <cellStyle name="Normal 4 3 3 2 2 2 2 2 2 2" xfId="34871"/>
    <cellStyle name="Normal 4 3 3 2 2 2 2 2 3" xfId="21345"/>
    <cellStyle name="Normal 4 3 3 2 2 2 2 2 3 2" xfId="41023"/>
    <cellStyle name="Normal 4 3 3 2 2 2 2 2 4" xfId="28707"/>
    <cellStyle name="Normal 4 3 3 2 2 2 2 3" xfId="12127"/>
    <cellStyle name="Normal 4 3 3 2 2 2 2 3 2" xfId="31805"/>
    <cellStyle name="Normal 4 3 3 2 2 2 2 4" xfId="18279"/>
    <cellStyle name="Normal 4 3 3 2 2 2 2 4 2" xfId="37957"/>
    <cellStyle name="Normal 4 3 3 2 2 2 2 5" xfId="25641"/>
    <cellStyle name="Normal 4 3 3 2 2 2 3" xfId="7465"/>
    <cellStyle name="Normal 4 3 3 2 2 2 3 2" xfId="13659"/>
    <cellStyle name="Normal 4 3 3 2 2 2 3 2 2" xfId="33337"/>
    <cellStyle name="Normal 4 3 3 2 2 2 3 3" xfId="19811"/>
    <cellStyle name="Normal 4 3 3 2 2 2 3 3 2" xfId="39489"/>
    <cellStyle name="Normal 4 3 3 2 2 2 3 4" xfId="27173"/>
    <cellStyle name="Normal 4 3 3 2 2 2 4" xfId="10593"/>
    <cellStyle name="Normal 4 3 3 2 2 2 4 2" xfId="30271"/>
    <cellStyle name="Normal 4 3 3 2 2 2 5" xfId="16745"/>
    <cellStyle name="Normal 4 3 3 2 2 2 5 2" xfId="36423"/>
    <cellStyle name="Normal 4 3 3 2 2 2 6" xfId="24107"/>
    <cellStyle name="Normal 4 3 3 2 2 3" xfId="5131"/>
    <cellStyle name="Normal 4 3 3 2 2 3 2" xfId="8231"/>
    <cellStyle name="Normal 4 3 3 2 2 3 2 2" xfId="14424"/>
    <cellStyle name="Normal 4 3 3 2 2 3 2 2 2" xfId="34102"/>
    <cellStyle name="Normal 4 3 3 2 2 3 2 3" xfId="20576"/>
    <cellStyle name="Normal 4 3 3 2 2 3 2 3 2" xfId="40254"/>
    <cellStyle name="Normal 4 3 3 2 2 3 2 4" xfId="27938"/>
    <cellStyle name="Normal 4 3 3 2 2 3 3" xfId="11358"/>
    <cellStyle name="Normal 4 3 3 2 2 3 3 2" xfId="31036"/>
    <cellStyle name="Normal 4 3 3 2 2 3 4" xfId="17510"/>
    <cellStyle name="Normal 4 3 3 2 2 3 4 2" xfId="37188"/>
    <cellStyle name="Normal 4 3 3 2 2 3 5" xfId="24872"/>
    <cellStyle name="Normal 4 3 3 2 2 4" xfId="6696"/>
    <cellStyle name="Normal 4 3 3 2 2 4 2" xfId="12890"/>
    <cellStyle name="Normal 4 3 3 2 2 4 2 2" xfId="32568"/>
    <cellStyle name="Normal 4 3 3 2 2 4 3" xfId="19042"/>
    <cellStyle name="Normal 4 3 3 2 2 4 3 2" xfId="38720"/>
    <cellStyle name="Normal 4 3 3 2 2 4 4" xfId="26404"/>
    <cellStyle name="Normal 4 3 3 2 2 5" xfId="9824"/>
    <cellStyle name="Normal 4 3 3 2 2 5 2" xfId="29502"/>
    <cellStyle name="Normal 4 3 3 2 2 6" xfId="15976"/>
    <cellStyle name="Normal 4 3 3 2 2 6 2" xfId="35654"/>
    <cellStyle name="Normal 4 3 3 2 2 7" xfId="23289"/>
    <cellStyle name="Normal 4 3 3 2 3" xfId="4288"/>
    <cellStyle name="Normal 4 3 3 2 3 2" xfId="5913"/>
    <cellStyle name="Normal 4 3 3 2 3 2 2" xfId="8999"/>
    <cellStyle name="Normal 4 3 3 2 3 2 2 2" xfId="15192"/>
    <cellStyle name="Normal 4 3 3 2 3 2 2 2 2" xfId="34870"/>
    <cellStyle name="Normal 4 3 3 2 3 2 2 3" xfId="21344"/>
    <cellStyle name="Normal 4 3 3 2 3 2 2 3 2" xfId="41022"/>
    <cellStyle name="Normal 4 3 3 2 3 2 2 4" xfId="28706"/>
    <cellStyle name="Normal 4 3 3 2 3 2 3" xfId="12126"/>
    <cellStyle name="Normal 4 3 3 2 3 2 3 2" xfId="31804"/>
    <cellStyle name="Normal 4 3 3 2 3 2 4" xfId="18278"/>
    <cellStyle name="Normal 4 3 3 2 3 2 4 2" xfId="37956"/>
    <cellStyle name="Normal 4 3 3 2 3 2 5" xfId="25640"/>
    <cellStyle name="Normal 4 3 3 2 3 3" xfId="7464"/>
    <cellStyle name="Normal 4 3 3 2 3 3 2" xfId="13658"/>
    <cellStyle name="Normal 4 3 3 2 3 3 2 2" xfId="33336"/>
    <cellStyle name="Normal 4 3 3 2 3 3 3" xfId="19810"/>
    <cellStyle name="Normal 4 3 3 2 3 3 3 2" xfId="39488"/>
    <cellStyle name="Normal 4 3 3 2 3 3 4" xfId="27172"/>
    <cellStyle name="Normal 4 3 3 2 3 4" xfId="10592"/>
    <cellStyle name="Normal 4 3 3 2 3 4 2" xfId="30270"/>
    <cellStyle name="Normal 4 3 3 2 3 5" xfId="16744"/>
    <cellStyle name="Normal 4 3 3 2 3 5 2" xfId="36422"/>
    <cellStyle name="Normal 4 3 3 2 3 6" xfId="24106"/>
    <cellStyle name="Normal 4 3 3 2 4" xfId="5130"/>
    <cellStyle name="Normal 4 3 3 2 4 2" xfId="8230"/>
    <cellStyle name="Normal 4 3 3 2 4 2 2" xfId="14423"/>
    <cellStyle name="Normal 4 3 3 2 4 2 2 2" xfId="34101"/>
    <cellStyle name="Normal 4 3 3 2 4 2 3" xfId="20575"/>
    <cellStyle name="Normal 4 3 3 2 4 2 3 2" xfId="40253"/>
    <cellStyle name="Normal 4 3 3 2 4 2 4" xfId="27937"/>
    <cellStyle name="Normal 4 3 3 2 4 3" xfId="11357"/>
    <cellStyle name="Normal 4 3 3 2 4 3 2" xfId="31035"/>
    <cellStyle name="Normal 4 3 3 2 4 4" xfId="17509"/>
    <cellStyle name="Normal 4 3 3 2 4 4 2" xfId="37187"/>
    <cellStyle name="Normal 4 3 3 2 4 5" xfId="24871"/>
    <cellStyle name="Normal 4 3 3 2 5" xfId="6695"/>
    <cellStyle name="Normal 4 3 3 2 5 2" xfId="12889"/>
    <cellStyle name="Normal 4 3 3 2 5 2 2" xfId="32567"/>
    <cellStyle name="Normal 4 3 3 2 5 3" xfId="19041"/>
    <cellStyle name="Normal 4 3 3 2 5 3 2" xfId="38719"/>
    <cellStyle name="Normal 4 3 3 2 5 4" xfId="26403"/>
    <cellStyle name="Normal 4 3 3 2 6" xfId="9823"/>
    <cellStyle name="Normal 4 3 3 2 6 2" xfId="29501"/>
    <cellStyle name="Normal 4 3 3 2 7" xfId="15975"/>
    <cellStyle name="Normal 4 3 3 2 7 2" xfId="35653"/>
    <cellStyle name="Normal 4 3 3 2 8" xfId="23288"/>
    <cellStyle name="Normal 4 3 3 3" xfId="3053"/>
    <cellStyle name="Normal 4 3 3 3 2" xfId="3054"/>
    <cellStyle name="Normal 4 3 3 3 2 2" xfId="4291"/>
    <cellStyle name="Normal 4 3 3 3 2 2 2" xfId="5916"/>
    <cellStyle name="Normal 4 3 3 3 2 2 2 2" xfId="9002"/>
    <cellStyle name="Normal 4 3 3 3 2 2 2 2 2" xfId="15195"/>
    <cellStyle name="Normal 4 3 3 3 2 2 2 2 2 2" xfId="34873"/>
    <cellStyle name="Normal 4 3 3 3 2 2 2 2 3" xfId="21347"/>
    <cellStyle name="Normal 4 3 3 3 2 2 2 2 3 2" xfId="41025"/>
    <cellStyle name="Normal 4 3 3 3 2 2 2 2 4" xfId="28709"/>
    <cellStyle name="Normal 4 3 3 3 2 2 2 3" xfId="12129"/>
    <cellStyle name="Normal 4 3 3 3 2 2 2 3 2" xfId="31807"/>
    <cellStyle name="Normal 4 3 3 3 2 2 2 4" xfId="18281"/>
    <cellStyle name="Normal 4 3 3 3 2 2 2 4 2" xfId="37959"/>
    <cellStyle name="Normal 4 3 3 3 2 2 2 5" xfId="25643"/>
    <cellStyle name="Normal 4 3 3 3 2 2 3" xfId="7467"/>
    <cellStyle name="Normal 4 3 3 3 2 2 3 2" xfId="13661"/>
    <cellStyle name="Normal 4 3 3 3 2 2 3 2 2" xfId="33339"/>
    <cellStyle name="Normal 4 3 3 3 2 2 3 3" xfId="19813"/>
    <cellStyle name="Normal 4 3 3 3 2 2 3 3 2" xfId="39491"/>
    <cellStyle name="Normal 4 3 3 3 2 2 3 4" xfId="27175"/>
    <cellStyle name="Normal 4 3 3 3 2 2 4" xfId="10595"/>
    <cellStyle name="Normal 4 3 3 3 2 2 4 2" xfId="30273"/>
    <cellStyle name="Normal 4 3 3 3 2 2 5" xfId="16747"/>
    <cellStyle name="Normal 4 3 3 3 2 2 5 2" xfId="36425"/>
    <cellStyle name="Normal 4 3 3 3 2 2 6" xfId="24109"/>
    <cellStyle name="Normal 4 3 3 3 2 3" xfId="5133"/>
    <cellStyle name="Normal 4 3 3 3 2 3 2" xfId="8233"/>
    <cellStyle name="Normal 4 3 3 3 2 3 2 2" xfId="14426"/>
    <cellStyle name="Normal 4 3 3 3 2 3 2 2 2" xfId="34104"/>
    <cellStyle name="Normal 4 3 3 3 2 3 2 3" xfId="20578"/>
    <cellStyle name="Normal 4 3 3 3 2 3 2 3 2" xfId="40256"/>
    <cellStyle name="Normal 4 3 3 3 2 3 2 4" xfId="27940"/>
    <cellStyle name="Normal 4 3 3 3 2 3 3" xfId="11360"/>
    <cellStyle name="Normal 4 3 3 3 2 3 3 2" xfId="31038"/>
    <cellStyle name="Normal 4 3 3 3 2 3 4" xfId="17512"/>
    <cellStyle name="Normal 4 3 3 3 2 3 4 2" xfId="37190"/>
    <cellStyle name="Normal 4 3 3 3 2 3 5" xfId="24874"/>
    <cellStyle name="Normal 4 3 3 3 2 4" xfId="6698"/>
    <cellStyle name="Normal 4 3 3 3 2 4 2" xfId="12892"/>
    <cellStyle name="Normal 4 3 3 3 2 4 2 2" xfId="32570"/>
    <cellStyle name="Normal 4 3 3 3 2 4 3" xfId="19044"/>
    <cellStyle name="Normal 4 3 3 3 2 4 3 2" xfId="38722"/>
    <cellStyle name="Normal 4 3 3 3 2 4 4" xfId="26406"/>
    <cellStyle name="Normal 4 3 3 3 2 5" xfId="9826"/>
    <cellStyle name="Normal 4 3 3 3 2 5 2" xfId="29504"/>
    <cellStyle name="Normal 4 3 3 3 2 6" xfId="15978"/>
    <cellStyle name="Normal 4 3 3 3 2 6 2" xfId="35656"/>
    <cellStyle name="Normal 4 3 3 3 2 7" xfId="23291"/>
    <cellStyle name="Normal 4 3 3 3 3" xfId="4290"/>
    <cellStyle name="Normal 4 3 3 3 3 2" xfId="5915"/>
    <cellStyle name="Normal 4 3 3 3 3 2 2" xfId="9001"/>
    <cellStyle name="Normal 4 3 3 3 3 2 2 2" xfId="15194"/>
    <cellStyle name="Normal 4 3 3 3 3 2 2 2 2" xfId="34872"/>
    <cellStyle name="Normal 4 3 3 3 3 2 2 3" xfId="21346"/>
    <cellStyle name="Normal 4 3 3 3 3 2 2 3 2" xfId="41024"/>
    <cellStyle name="Normal 4 3 3 3 3 2 2 4" xfId="28708"/>
    <cellStyle name="Normal 4 3 3 3 3 2 3" xfId="12128"/>
    <cellStyle name="Normal 4 3 3 3 3 2 3 2" xfId="31806"/>
    <cellStyle name="Normal 4 3 3 3 3 2 4" xfId="18280"/>
    <cellStyle name="Normal 4 3 3 3 3 2 4 2" xfId="37958"/>
    <cellStyle name="Normal 4 3 3 3 3 2 5" xfId="25642"/>
    <cellStyle name="Normal 4 3 3 3 3 3" xfId="7466"/>
    <cellStyle name="Normal 4 3 3 3 3 3 2" xfId="13660"/>
    <cellStyle name="Normal 4 3 3 3 3 3 2 2" xfId="33338"/>
    <cellStyle name="Normal 4 3 3 3 3 3 3" xfId="19812"/>
    <cellStyle name="Normal 4 3 3 3 3 3 3 2" xfId="39490"/>
    <cellStyle name="Normal 4 3 3 3 3 3 4" xfId="27174"/>
    <cellStyle name="Normal 4 3 3 3 3 4" xfId="10594"/>
    <cellStyle name="Normal 4 3 3 3 3 4 2" xfId="30272"/>
    <cellStyle name="Normal 4 3 3 3 3 5" xfId="16746"/>
    <cellStyle name="Normal 4 3 3 3 3 5 2" xfId="36424"/>
    <cellStyle name="Normal 4 3 3 3 3 6" xfId="24108"/>
    <cellStyle name="Normal 4 3 3 3 4" xfId="5132"/>
    <cellStyle name="Normal 4 3 3 3 4 2" xfId="8232"/>
    <cellStyle name="Normal 4 3 3 3 4 2 2" xfId="14425"/>
    <cellStyle name="Normal 4 3 3 3 4 2 2 2" xfId="34103"/>
    <cellStyle name="Normal 4 3 3 3 4 2 3" xfId="20577"/>
    <cellStyle name="Normal 4 3 3 3 4 2 3 2" xfId="40255"/>
    <cellStyle name="Normal 4 3 3 3 4 2 4" xfId="27939"/>
    <cellStyle name="Normal 4 3 3 3 4 3" xfId="11359"/>
    <cellStyle name="Normal 4 3 3 3 4 3 2" xfId="31037"/>
    <cellStyle name="Normal 4 3 3 3 4 4" xfId="17511"/>
    <cellStyle name="Normal 4 3 3 3 4 4 2" xfId="37189"/>
    <cellStyle name="Normal 4 3 3 3 4 5" xfId="24873"/>
    <cellStyle name="Normal 4 3 3 3 5" xfId="6697"/>
    <cellStyle name="Normal 4 3 3 3 5 2" xfId="12891"/>
    <cellStyle name="Normal 4 3 3 3 5 2 2" xfId="32569"/>
    <cellStyle name="Normal 4 3 3 3 5 3" xfId="19043"/>
    <cellStyle name="Normal 4 3 3 3 5 3 2" xfId="38721"/>
    <cellStyle name="Normal 4 3 3 3 5 4" xfId="26405"/>
    <cellStyle name="Normal 4 3 3 3 6" xfId="9825"/>
    <cellStyle name="Normal 4 3 3 3 6 2" xfId="29503"/>
    <cellStyle name="Normal 4 3 3 3 7" xfId="15977"/>
    <cellStyle name="Normal 4 3 3 3 7 2" xfId="35655"/>
    <cellStyle name="Normal 4 3 3 3 8" xfId="23290"/>
    <cellStyle name="Normal 4 3 3 4" xfId="3055"/>
    <cellStyle name="Normal 4 3 3 4 2" xfId="4292"/>
    <cellStyle name="Normal 4 3 3 4 2 2" xfId="5917"/>
    <cellStyle name="Normal 4 3 3 4 2 2 2" xfId="9003"/>
    <cellStyle name="Normal 4 3 3 4 2 2 2 2" xfId="15196"/>
    <cellStyle name="Normal 4 3 3 4 2 2 2 2 2" xfId="34874"/>
    <cellStyle name="Normal 4 3 3 4 2 2 2 3" xfId="21348"/>
    <cellStyle name="Normal 4 3 3 4 2 2 2 3 2" xfId="41026"/>
    <cellStyle name="Normal 4 3 3 4 2 2 2 4" xfId="28710"/>
    <cellStyle name="Normal 4 3 3 4 2 2 3" xfId="12130"/>
    <cellStyle name="Normal 4 3 3 4 2 2 3 2" xfId="31808"/>
    <cellStyle name="Normal 4 3 3 4 2 2 4" xfId="18282"/>
    <cellStyle name="Normal 4 3 3 4 2 2 4 2" xfId="37960"/>
    <cellStyle name="Normal 4 3 3 4 2 2 5" xfId="25644"/>
    <cellStyle name="Normal 4 3 3 4 2 3" xfId="7468"/>
    <cellStyle name="Normal 4 3 3 4 2 3 2" xfId="13662"/>
    <cellStyle name="Normal 4 3 3 4 2 3 2 2" xfId="33340"/>
    <cellStyle name="Normal 4 3 3 4 2 3 3" xfId="19814"/>
    <cellStyle name="Normal 4 3 3 4 2 3 3 2" xfId="39492"/>
    <cellStyle name="Normal 4 3 3 4 2 3 4" xfId="27176"/>
    <cellStyle name="Normal 4 3 3 4 2 4" xfId="10596"/>
    <cellStyle name="Normal 4 3 3 4 2 4 2" xfId="30274"/>
    <cellStyle name="Normal 4 3 3 4 2 5" xfId="16748"/>
    <cellStyle name="Normal 4 3 3 4 2 5 2" xfId="36426"/>
    <cellStyle name="Normal 4 3 3 4 2 6" xfId="24110"/>
    <cellStyle name="Normal 4 3 3 4 3" xfId="5134"/>
    <cellStyle name="Normal 4 3 3 4 3 2" xfId="8234"/>
    <cellStyle name="Normal 4 3 3 4 3 2 2" xfId="14427"/>
    <cellStyle name="Normal 4 3 3 4 3 2 2 2" xfId="34105"/>
    <cellStyle name="Normal 4 3 3 4 3 2 3" xfId="20579"/>
    <cellStyle name="Normal 4 3 3 4 3 2 3 2" xfId="40257"/>
    <cellStyle name="Normal 4 3 3 4 3 2 4" xfId="27941"/>
    <cellStyle name="Normal 4 3 3 4 3 3" xfId="11361"/>
    <cellStyle name="Normal 4 3 3 4 3 3 2" xfId="31039"/>
    <cellStyle name="Normal 4 3 3 4 3 4" xfId="17513"/>
    <cellStyle name="Normal 4 3 3 4 3 4 2" xfId="37191"/>
    <cellStyle name="Normal 4 3 3 4 3 5" xfId="24875"/>
    <cellStyle name="Normal 4 3 3 4 4" xfId="6699"/>
    <cellStyle name="Normal 4 3 3 4 4 2" xfId="12893"/>
    <cellStyle name="Normal 4 3 3 4 4 2 2" xfId="32571"/>
    <cellStyle name="Normal 4 3 3 4 4 3" xfId="19045"/>
    <cellStyle name="Normal 4 3 3 4 4 3 2" xfId="38723"/>
    <cellStyle name="Normal 4 3 3 4 4 4" xfId="26407"/>
    <cellStyle name="Normal 4 3 3 4 5" xfId="9827"/>
    <cellStyle name="Normal 4 3 3 4 5 2" xfId="29505"/>
    <cellStyle name="Normal 4 3 3 4 6" xfId="15979"/>
    <cellStyle name="Normal 4 3 3 4 6 2" xfId="35657"/>
    <cellStyle name="Normal 4 3 3 4 7" xfId="23292"/>
    <cellStyle name="Normal 4 3 3 5" xfId="4287"/>
    <cellStyle name="Normal 4 3 3 5 2" xfId="5912"/>
    <cellStyle name="Normal 4 3 3 5 2 2" xfId="8998"/>
    <cellStyle name="Normal 4 3 3 5 2 2 2" xfId="15191"/>
    <cellStyle name="Normal 4 3 3 5 2 2 2 2" xfId="34869"/>
    <cellStyle name="Normal 4 3 3 5 2 2 3" xfId="21343"/>
    <cellStyle name="Normal 4 3 3 5 2 2 3 2" xfId="41021"/>
    <cellStyle name="Normal 4 3 3 5 2 2 4" xfId="28705"/>
    <cellStyle name="Normal 4 3 3 5 2 3" xfId="12125"/>
    <cellStyle name="Normal 4 3 3 5 2 3 2" xfId="31803"/>
    <cellStyle name="Normal 4 3 3 5 2 4" xfId="18277"/>
    <cellStyle name="Normal 4 3 3 5 2 4 2" xfId="37955"/>
    <cellStyle name="Normal 4 3 3 5 2 5" xfId="25639"/>
    <cellStyle name="Normal 4 3 3 5 3" xfId="7463"/>
    <cellStyle name="Normal 4 3 3 5 3 2" xfId="13657"/>
    <cellStyle name="Normal 4 3 3 5 3 2 2" xfId="33335"/>
    <cellStyle name="Normal 4 3 3 5 3 3" xfId="19809"/>
    <cellStyle name="Normal 4 3 3 5 3 3 2" xfId="39487"/>
    <cellStyle name="Normal 4 3 3 5 3 4" xfId="27171"/>
    <cellStyle name="Normal 4 3 3 5 4" xfId="10591"/>
    <cellStyle name="Normal 4 3 3 5 4 2" xfId="30269"/>
    <cellStyle name="Normal 4 3 3 5 5" xfId="16743"/>
    <cellStyle name="Normal 4 3 3 5 5 2" xfId="36421"/>
    <cellStyle name="Normal 4 3 3 5 6" xfId="24105"/>
    <cellStyle name="Normal 4 3 3 6" xfId="5129"/>
    <cellStyle name="Normal 4 3 3 6 2" xfId="8229"/>
    <cellStyle name="Normal 4 3 3 6 2 2" xfId="14422"/>
    <cellStyle name="Normal 4 3 3 6 2 2 2" xfId="34100"/>
    <cellStyle name="Normal 4 3 3 6 2 3" xfId="20574"/>
    <cellStyle name="Normal 4 3 3 6 2 3 2" xfId="40252"/>
    <cellStyle name="Normal 4 3 3 6 2 4" xfId="27936"/>
    <cellStyle name="Normal 4 3 3 6 3" xfId="11356"/>
    <cellStyle name="Normal 4 3 3 6 3 2" xfId="31034"/>
    <cellStyle name="Normal 4 3 3 6 4" xfId="17508"/>
    <cellStyle name="Normal 4 3 3 6 4 2" xfId="37186"/>
    <cellStyle name="Normal 4 3 3 6 5" xfId="24870"/>
    <cellStyle name="Normal 4 3 3 7" xfId="6694"/>
    <cellStyle name="Normal 4 3 3 7 2" xfId="12888"/>
    <cellStyle name="Normal 4 3 3 7 2 2" xfId="32566"/>
    <cellStyle name="Normal 4 3 3 7 3" xfId="19040"/>
    <cellStyle name="Normal 4 3 3 7 3 2" xfId="38718"/>
    <cellStyle name="Normal 4 3 3 7 4" xfId="26402"/>
    <cellStyle name="Normal 4 3 3 8" xfId="9822"/>
    <cellStyle name="Normal 4 3 3 8 2" xfId="29500"/>
    <cellStyle name="Normal 4 3 3 9" xfId="15974"/>
    <cellStyle name="Normal 4 3 3 9 2" xfId="35652"/>
    <cellStyle name="Normal 4 3 4" xfId="3056"/>
    <cellStyle name="Normal 4 3 4 2" xfId="3057"/>
    <cellStyle name="Normal 4 3 4 2 2" xfId="4294"/>
    <cellStyle name="Normal 4 3 4 2 2 2" xfId="5919"/>
    <cellStyle name="Normal 4 3 4 2 2 2 2" xfId="9005"/>
    <cellStyle name="Normal 4 3 4 2 2 2 2 2" xfId="15198"/>
    <cellStyle name="Normal 4 3 4 2 2 2 2 2 2" xfId="34876"/>
    <cellStyle name="Normal 4 3 4 2 2 2 2 3" xfId="21350"/>
    <cellStyle name="Normal 4 3 4 2 2 2 2 3 2" xfId="41028"/>
    <cellStyle name="Normal 4 3 4 2 2 2 2 4" xfId="28712"/>
    <cellStyle name="Normal 4 3 4 2 2 2 3" xfId="12132"/>
    <cellStyle name="Normal 4 3 4 2 2 2 3 2" xfId="31810"/>
    <cellStyle name="Normal 4 3 4 2 2 2 4" xfId="18284"/>
    <cellStyle name="Normal 4 3 4 2 2 2 4 2" xfId="37962"/>
    <cellStyle name="Normal 4 3 4 2 2 2 5" xfId="25646"/>
    <cellStyle name="Normal 4 3 4 2 2 3" xfId="7470"/>
    <cellStyle name="Normal 4 3 4 2 2 3 2" xfId="13664"/>
    <cellStyle name="Normal 4 3 4 2 2 3 2 2" xfId="33342"/>
    <cellStyle name="Normal 4 3 4 2 2 3 3" xfId="19816"/>
    <cellStyle name="Normal 4 3 4 2 2 3 3 2" xfId="39494"/>
    <cellStyle name="Normal 4 3 4 2 2 3 4" xfId="27178"/>
    <cellStyle name="Normal 4 3 4 2 2 4" xfId="10598"/>
    <cellStyle name="Normal 4 3 4 2 2 4 2" xfId="30276"/>
    <cellStyle name="Normal 4 3 4 2 2 5" xfId="16750"/>
    <cellStyle name="Normal 4 3 4 2 2 5 2" xfId="36428"/>
    <cellStyle name="Normal 4 3 4 2 2 6" xfId="24112"/>
    <cellStyle name="Normal 4 3 4 2 3" xfId="5136"/>
    <cellStyle name="Normal 4 3 4 2 3 2" xfId="8236"/>
    <cellStyle name="Normal 4 3 4 2 3 2 2" xfId="14429"/>
    <cellStyle name="Normal 4 3 4 2 3 2 2 2" xfId="34107"/>
    <cellStyle name="Normal 4 3 4 2 3 2 3" xfId="20581"/>
    <cellStyle name="Normal 4 3 4 2 3 2 3 2" xfId="40259"/>
    <cellStyle name="Normal 4 3 4 2 3 2 4" xfId="27943"/>
    <cellStyle name="Normal 4 3 4 2 3 3" xfId="11363"/>
    <cellStyle name="Normal 4 3 4 2 3 3 2" xfId="31041"/>
    <cellStyle name="Normal 4 3 4 2 3 4" xfId="17515"/>
    <cellStyle name="Normal 4 3 4 2 3 4 2" xfId="37193"/>
    <cellStyle name="Normal 4 3 4 2 3 5" xfId="24877"/>
    <cellStyle name="Normal 4 3 4 2 4" xfId="6701"/>
    <cellStyle name="Normal 4 3 4 2 4 2" xfId="12895"/>
    <cellStyle name="Normal 4 3 4 2 4 2 2" xfId="32573"/>
    <cellStyle name="Normal 4 3 4 2 4 3" xfId="19047"/>
    <cellStyle name="Normal 4 3 4 2 4 3 2" xfId="38725"/>
    <cellStyle name="Normal 4 3 4 2 4 4" xfId="26409"/>
    <cellStyle name="Normal 4 3 4 2 5" xfId="9829"/>
    <cellStyle name="Normal 4 3 4 2 5 2" xfId="29507"/>
    <cellStyle name="Normal 4 3 4 2 6" xfId="15981"/>
    <cellStyle name="Normal 4 3 4 2 6 2" xfId="35659"/>
    <cellStyle name="Normal 4 3 4 2 7" xfId="23294"/>
    <cellStyle name="Normal 4 3 4 3" xfId="4293"/>
    <cellStyle name="Normal 4 3 4 3 2" xfId="5918"/>
    <cellStyle name="Normal 4 3 4 3 2 2" xfId="9004"/>
    <cellStyle name="Normal 4 3 4 3 2 2 2" xfId="15197"/>
    <cellStyle name="Normal 4 3 4 3 2 2 2 2" xfId="34875"/>
    <cellStyle name="Normal 4 3 4 3 2 2 3" xfId="21349"/>
    <cellStyle name="Normal 4 3 4 3 2 2 3 2" xfId="41027"/>
    <cellStyle name="Normal 4 3 4 3 2 2 4" xfId="28711"/>
    <cellStyle name="Normal 4 3 4 3 2 3" xfId="12131"/>
    <cellStyle name="Normal 4 3 4 3 2 3 2" xfId="31809"/>
    <cellStyle name="Normal 4 3 4 3 2 4" xfId="18283"/>
    <cellStyle name="Normal 4 3 4 3 2 4 2" xfId="37961"/>
    <cellStyle name="Normal 4 3 4 3 2 5" xfId="25645"/>
    <cellStyle name="Normal 4 3 4 3 3" xfId="7469"/>
    <cellStyle name="Normal 4 3 4 3 3 2" xfId="13663"/>
    <cellStyle name="Normal 4 3 4 3 3 2 2" xfId="33341"/>
    <cellStyle name="Normal 4 3 4 3 3 3" xfId="19815"/>
    <cellStyle name="Normal 4 3 4 3 3 3 2" xfId="39493"/>
    <cellStyle name="Normal 4 3 4 3 3 4" xfId="27177"/>
    <cellStyle name="Normal 4 3 4 3 4" xfId="10597"/>
    <cellStyle name="Normal 4 3 4 3 4 2" xfId="30275"/>
    <cellStyle name="Normal 4 3 4 3 5" xfId="16749"/>
    <cellStyle name="Normal 4 3 4 3 5 2" xfId="36427"/>
    <cellStyle name="Normal 4 3 4 3 6" xfId="24111"/>
    <cellStyle name="Normal 4 3 4 4" xfId="5135"/>
    <cellStyle name="Normal 4 3 4 4 2" xfId="8235"/>
    <cellStyle name="Normal 4 3 4 4 2 2" xfId="14428"/>
    <cellStyle name="Normal 4 3 4 4 2 2 2" xfId="34106"/>
    <cellStyle name="Normal 4 3 4 4 2 3" xfId="20580"/>
    <cellStyle name="Normal 4 3 4 4 2 3 2" xfId="40258"/>
    <cellStyle name="Normal 4 3 4 4 2 4" xfId="27942"/>
    <cellStyle name="Normal 4 3 4 4 3" xfId="11362"/>
    <cellStyle name="Normal 4 3 4 4 3 2" xfId="31040"/>
    <cellStyle name="Normal 4 3 4 4 4" xfId="17514"/>
    <cellStyle name="Normal 4 3 4 4 4 2" xfId="37192"/>
    <cellStyle name="Normal 4 3 4 4 5" xfId="24876"/>
    <cellStyle name="Normal 4 3 4 5" xfId="6700"/>
    <cellStyle name="Normal 4 3 4 5 2" xfId="12894"/>
    <cellStyle name="Normal 4 3 4 5 2 2" xfId="32572"/>
    <cellStyle name="Normal 4 3 4 5 3" xfId="19046"/>
    <cellStyle name="Normal 4 3 4 5 3 2" xfId="38724"/>
    <cellStyle name="Normal 4 3 4 5 4" xfId="26408"/>
    <cellStyle name="Normal 4 3 4 6" xfId="9828"/>
    <cellStyle name="Normal 4 3 4 6 2" xfId="29506"/>
    <cellStyle name="Normal 4 3 4 7" xfId="15980"/>
    <cellStyle name="Normal 4 3 4 7 2" xfId="35658"/>
    <cellStyle name="Normal 4 3 4 8" xfId="23293"/>
    <cellStyle name="Normal 4 3 5" xfId="3058"/>
    <cellStyle name="Normal 4 3 5 2" xfId="3059"/>
    <cellStyle name="Normal 4 3 5 2 2" xfId="4296"/>
    <cellStyle name="Normal 4 3 5 2 2 2" xfId="5921"/>
    <cellStyle name="Normal 4 3 5 2 2 2 2" xfId="9007"/>
    <cellStyle name="Normal 4 3 5 2 2 2 2 2" xfId="15200"/>
    <cellStyle name="Normal 4 3 5 2 2 2 2 2 2" xfId="34878"/>
    <cellStyle name="Normal 4 3 5 2 2 2 2 3" xfId="21352"/>
    <cellStyle name="Normal 4 3 5 2 2 2 2 3 2" xfId="41030"/>
    <cellStyle name="Normal 4 3 5 2 2 2 2 4" xfId="28714"/>
    <cellStyle name="Normal 4 3 5 2 2 2 3" xfId="12134"/>
    <cellStyle name="Normal 4 3 5 2 2 2 3 2" xfId="31812"/>
    <cellStyle name="Normal 4 3 5 2 2 2 4" xfId="18286"/>
    <cellStyle name="Normal 4 3 5 2 2 2 4 2" xfId="37964"/>
    <cellStyle name="Normal 4 3 5 2 2 2 5" xfId="25648"/>
    <cellStyle name="Normal 4 3 5 2 2 3" xfId="7472"/>
    <cellStyle name="Normal 4 3 5 2 2 3 2" xfId="13666"/>
    <cellStyle name="Normal 4 3 5 2 2 3 2 2" xfId="33344"/>
    <cellStyle name="Normal 4 3 5 2 2 3 3" xfId="19818"/>
    <cellStyle name="Normal 4 3 5 2 2 3 3 2" xfId="39496"/>
    <cellStyle name="Normal 4 3 5 2 2 3 4" xfId="27180"/>
    <cellStyle name="Normal 4 3 5 2 2 4" xfId="10600"/>
    <cellStyle name="Normal 4 3 5 2 2 4 2" xfId="30278"/>
    <cellStyle name="Normal 4 3 5 2 2 5" xfId="16752"/>
    <cellStyle name="Normal 4 3 5 2 2 5 2" xfId="36430"/>
    <cellStyle name="Normal 4 3 5 2 2 6" xfId="24114"/>
    <cellStyle name="Normal 4 3 5 2 3" xfId="5138"/>
    <cellStyle name="Normal 4 3 5 2 3 2" xfId="8238"/>
    <cellStyle name="Normal 4 3 5 2 3 2 2" xfId="14431"/>
    <cellStyle name="Normal 4 3 5 2 3 2 2 2" xfId="34109"/>
    <cellStyle name="Normal 4 3 5 2 3 2 3" xfId="20583"/>
    <cellStyle name="Normal 4 3 5 2 3 2 3 2" xfId="40261"/>
    <cellStyle name="Normal 4 3 5 2 3 2 4" xfId="27945"/>
    <cellStyle name="Normal 4 3 5 2 3 3" xfId="11365"/>
    <cellStyle name="Normal 4 3 5 2 3 3 2" xfId="31043"/>
    <cellStyle name="Normal 4 3 5 2 3 4" xfId="17517"/>
    <cellStyle name="Normal 4 3 5 2 3 4 2" xfId="37195"/>
    <cellStyle name="Normal 4 3 5 2 3 5" xfId="24879"/>
    <cellStyle name="Normal 4 3 5 2 4" xfId="6703"/>
    <cellStyle name="Normal 4 3 5 2 4 2" xfId="12897"/>
    <cellStyle name="Normal 4 3 5 2 4 2 2" xfId="32575"/>
    <cellStyle name="Normal 4 3 5 2 4 3" xfId="19049"/>
    <cellStyle name="Normal 4 3 5 2 4 3 2" xfId="38727"/>
    <cellStyle name="Normal 4 3 5 2 4 4" xfId="26411"/>
    <cellStyle name="Normal 4 3 5 2 5" xfId="9831"/>
    <cellStyle name="Normal 4 3 5 2 5 2" xfId="29509"/>
    <cellStyle name="Normal 4 3 5 2 6" xfId="15983"/>
    <cellStyle name="Normal 4 3 5 2 6 2" xfId="35661"/>
    <cellStyle name="Normal 4 3 5 2 7" xfId="23296"/>
    <cellStyle name="Normal 4 3 5 3" xfId="4295"/>
    <cellStyle name="Normal 4 3 5 3 2" xfId="5920"/>
    <cellStyle name="Normal 4 3 5 3 2 2" xfId="9006"/>
    <cellStyle name="Normal 4 3 5 3 2 2 2" xfId="15199"/>
    <cellStyle name="Normal 4 3 5 3 2 2 2 2" xfId="34877"/>
    <cellStyle name="Normal 4 3 5 3 2 2 3" xfId="21351"/>
    <cellStyle name="Normal 4 3 5 3 2 2 3 2" xfId="41029"/>
    <cellStyle name="Normal 4 3 5 3 2 2 4" xfId="28713"/>
    <cellStyle name="Normal 4 3 5 3 2 3" xfId="12133"/>
    <cellStyle name="Normal 4 3 5 3 2 3 2" xfId="31811"/>
    <cellStyle name="Normal 4 3 5 3 2 4" xfId="18285"/>
    <cellStyle name="Normal 4 3 5 3 2 4 2" xfId="37963"/>
    <cellStyle name="Normal 4 3 5 3 2 5" xfId="25647"/>
    <cellStyle name="Normal 4 3 5 3 3" xfId="7471"/>
    <cellStyle name="Normal 4 3 5 3 3 2" xfId="13665"/>
    <cellStyle name="Normal 4 3 5 3 3 2 2" xfId="33343"/>
    <cellStyle name="Normal 4 3 5 3 3 3" xfId="19817"/>
    <cellStyle name="Normal 4 3 5 3 3 3 2" xfId="39495"/>
    <cellStyle name="Normal 4 3 5 3 3 4" xfId="27179"/>
    <cellStyle name="Normal 4 3 5 3 4" xfId="10599"/>
    <cellStyle name="Normal 4 3 5 3 4 2" xfId="30277"/>
    <cellStyle name="Normal 4 3 5 3 5" xfId="16751"/>
    <cellStyle name="Normal 4 3 5 3 5 2" xfId="36429"/>
    <cellStyle name="Normal 4 3 5 3 6" xfId="24113"/>
    <cellStyle name="Normal 4 3 5 4" xfId="5137"/>
    <cellStyle name="Normal 4 3 5 4 2" xfId="8237"/>
    <cellStyle name="Normal 4 3 5 4 2 2" xfId="14430"/>
    <cellStyle name="Normal 4 3 5 4 2 2 2" xfId="34108"/>
    <cellStyle name="Normal 4 3 5 4 2 3" xfId="20582"/>
    <cellStyle name="Normal 4 3 5 4 2 3 2" xfId="40260"/>
    <cellStyle name="Normal 4 3 5 4 2 4" xfId="27944"/>
    <cellStyle name="Normal 4 3 5 4 3" xfId="11364"/>
    <cellStyle name="Normal 4 3 5 4 3 2" xfId="31042"/>
    <cellStyle name="Normal 4 3 5 4 4" xfId="17516"/>
    <cellStyle name="Normal 4 3 5 4 4 2" xfId="37194"/>
    <cellStyle name="Normal 4 3 5 4 5" xfId="24878"/>
    <cellStyle name="Normal 4 3 5 5" xfId="6702"/>
    <cellStyle name="Normal 4 3 5 5 2" xfId="12896"/>
    <cellStyle name="Normal 4 3 5 5 2 2" xfId="32574"/>
    <cellStyle name="Normal 4 3 5 5 3" xfId="19048"/>
    <cellStyle name="Normal 4 3 5 5 3 2" xfId="38726"/>
    <cellStyle name="Normal 4 3 5 5 4" xfId="26410"/>
    <cellStyle name="Normal 4 3 5 6" xfId="9830"/>
    <cellStyle name="Normal 4 3 5 6 2" xfId="29508"/>
    <cellStyle name="Normal 4 3 5 7" xfId="15982"/>
    <cellStyle name="Normal 4 3 5 7 2" xfId="35660"/>
    <cellStyle name="Normal 4 3 5 8" xfId="23295"/>
    <cellStyle name="Normal 4 3 6" xfId="3060"/>
    <cellStyle name="Normal 4 3 6 2" xfId="4297"/>
    <cellStyle name="Normal 4 3 6 2 2" xfId="5922"/>
    <cellStyle name="Normal 4 3 6 2 2 2" xfId="9008"/>
    <cellStyle name="Normal 4 3 6 2 2 2 2" xfId="15201"/>
    <cellStyle name="Normal 4 3 6 2 2 2 2 2" xfId="34879"/>
    <cellStyle name="Normal 4 3 6 2 2 2 3" xfId="21353"/>
    <cellStyle name="Normal 4 3 6 2 2 2 3 2" xfId="41031"/>
    <cellStyle name="Normal 4 3 6 2 2 2 4" xfId="28715"/>
    <cellStyle name="Normal 4 3 6 2 2 3" xfId="12135"/>
    <cellStyle name="Normal 4 3 6 2 2 3 2" xfId="31813"/>
    <cellStyle name="Normal 4 3 6 2 2 4" xfId="18287"/>
    <cellStyle name="Normal 4 3 6 2 2 4 2" xfId="37965"/>
    <cellStyle name="Normal 4 3 6 2 2 5" xfId="25649"/>
    <cellStyle name="Normal 4 3 6 2 3" xfId="7473"/>
    <cellStyle name="Normal 4 3 6 2 3 2" xfId="13667"/>
    <cellStyle name="Normal 4 3 6 2 3 2 2" xfId="33345"/>
    <cellStyle name="Normal 4 3 6 2 3 3" xfId="19819"/>
    <cellStyle name="Normal 4 3 6 2 3 3 2" xfId="39497"/>
    <cellStyle name="Normal 4 3 6 2 3 4" xfId="27181"/>
    <cellStyle name="Normal 4 3 6 2 4" xfId="10601"/>
    <cellStyle name="Normal 4 3 6 2 4 2" xfId="30279"/>
    <cellStyle name="Normal 4 3 6 2 5" xfId="16753"/>
    <cellStyle name="Normal 4 3 6 2 5 2" xfId="36431"/>
    <cellStyle name="Normal 4 3 6 2 6" xfId="24115"/>
    <cellStyle name="Normal 4 3 6 3" xfId="5139"/>
    <cellStyle name="Normal 4 3 6 3 2" xfId="8239"/>
    <cellStyle name="Normal 4 3 6 3 2 2" xfId="14432"/>
    <cellStyle name="Normal 4 3 6 3 2 2 2" xfId="34110"/>
    <cellStyle name="Normal 4 3 6 3 2 3" xfId="20584"/>
    <cellStyle name="Normal 4 3 6 3 2 3 2" xfId="40262"/>
    <cellStyle name="Normal 4 3 6 3 2 4" xfId="27946"/>
    <cellStyle name="Normal 4 3 6 3 3" xfId="11366"/>
    <cellStyle name="Normal 4 3 6 3 3 2" xfId="31044"/>
    <cellStyle name="Normal 4 3 6 3 4" xfId="17518"/>
    <cellStyle name="Normal 4 3 6 3 4 2" xfId="37196"/>
    <cellStyle name="Normal 4 3 6 3 5" xfId="24880"/>
    <cellStyle name="Normal 4 3 6 4" xfId="6704"/>
    <cellStyle name="Normal 4 3 6 4 2" xfId="12898"/>
    <cellStyle name="Normal 4 3 6 4 2 2" xfId="32576"/>
    <cellStyle name="Normal 4 3 6 4 3" xfId="19050"/>
    <cellStyle name="Normal 4 3 6 4 3 2" xfId="38728"/>
    <cellStyle name="Normal 4 3 6 4 4" xfId="26412"/>
    <cellStyle name="Normal 4 3 6 5" xfId="9832"/>
    <cellStyle name="Normal 4 3 6 5 2" xfId="29510"/>
    <cellStyle name="Normal 4 3 6 6" xfId="15984"/>
    <cellStyle name="Normal 4 3 6 6 2" xfId="35662"/>
    <cellStyle name="Normal 4 3 6 7" xfId="23297"/>
    <cellStyle name="Normal 4 3 7" xfId="4274"/>
    <cellStyle name="Normal 4 3 7 2" xfId="5899"/>
    <cellStyle name="Normal 4 3 7 2 2" xfId="8985"/>
    <cellStyle name="Normal 4 3 7 2 2 2" xfId="15178"/>
    <cellStyle name="Normal 4 3 7 2 2 2 2" xfId="34856"/>
    <cellStyle name="Normal 4 3 7 2 2 3" xfId="21330"/>
    <cellStyle name="Normal 4 3 7 2 2 3 2" xfId="41008"/>
    <cellStyle name="Normal 4 3 7 2 2 4" xfId="28692"/>
    <cellStyle name="Normal 4 3 7 2 3" xfId="12112"/>
    <cellStyle name="Normal 4 3 7 2 3 2" xfId="31790"/>
    <cellStyle name="Normal 4 3 7 2 4" xfId="18264"/>
    <cellStyle name="Normal 4 3 7 2 4 2" xfId="37942"/>
    <cellStyle name="Normal 4 3 7 2 5" xfId="25626"/>
    <cellStyle name="Normal 4 3 7 3" xfId="7450"/>
    <cellStyle name="Normal 4 3 7 3 2" xfId="13644"/>
    <cellStyle name="Normal 4 3 7 3 2 2" xfId="33322"/>
    <cellStyle name="Normal 4 3 7 3 3" xfId="19796"/>
    <cellStyle name="Normal 4 3 7 3 3 2" xfId="39474"/>
    <cellStyle name="Normal 4 3 7 3 4" xfId="27158"/>
    <cellStyle name="Normal 4 3 7 4" xfId="10578"/>
    <cellStyle name="Normal 4 3 7 4 2" xfId="30256"/>
    <cellStyle name="Normal 4 3 7 5" xfId="16730"/>
    <cellStyle name="Normal 4 3 7 5 2" xfId="36408"/>
    <cellStyle name="Normal 4 3 7 6" xfId="24092"/>
    <cellStyle name="Normal 4 3 8" xfId="5116"/>
    <cellStyle name="Normal 4 3 8 2" xfId="8216"/>
    <cellStyle name="Normal 4 3 8 2 2" xfId="14409"/>
    <cellStyle name="Normal 4 3 8 2 2 2" xfId="34087"/>
    <cellStyle name="Normal 4 3 8 2 3" xfId="20561"/>
    <cellStyle name="Normal 4 3 8 2 3 2" xfId="40239"/>
    <cellStyle name="Normal 4 3 8 2 4" xfId="27923"/>
    <cellStyle name="Normal 4 3 8 3" xfId="11343"/>
    <cellStyle name="Normal 4 3 8 3 2" xfId="31021"/>
    <cellStyle name="Normal 4 3 8 4" xfId="17495"/>
    <cellStyle name="Normal 4 3 8 4 2" xfId="37173"/>
    <cellStyle name="Normal 4 3 8 5" xfId="24857"/>
    <cellStyle name="Normal 4 3 9" xfId="6681"/>
    <cellStyle name="Normal 4 3 9 2" xfId="12875"/>
    <cellStyle name="Normal 4 3 9 2 2" xfId="32553"/>
    <cellStyle name="Normal 4 3 9 3" xfId="19027"/>
    <cellStyle name="Normal 4 3 9 3 2" xfId="38705"/>
    <cellStyle name="Normal 4 3 9 4" xfId="26389"/>
    <cellStyle name="Normal 4 30" xfId="22680"/>
    <cellStyle name="Normal 4 31" xfId="42017"/>
    <cellStyle name="Normal 4 32" xfId="42077"/>
    <cellStyle name="Normal 4 4" xfId="3061"/>
    <cellStyle name="Normal 4 4 10" xfId="42020"/>
    <cellStyle name="Normal 4 4 11" xfId="21815"/>
    <cellStyle name="Normal 4 4 2" xfId="3062"/>
    <cellStyle name="Normal 4 4 2 2" xfId="4299"/>
    <cellStyle name="Normal 4 4 2 2 2" xfId="5924"/>
    <cellStyle name="Normal 4 4 2 2 2 2" xfId="9010"/>
    <cellStyle name="Normal 4 4 2 2 2 2 2" xfId="15203"/>
    <cellStyle name="Normal 4 4 2 2 2 2 2 2" xfId="34881"/>
    <cellStyle name="Normal 4 4 2 2 2 2 3" xfId="21355"/>
    <cellStyle name="Normal 4 4 2 2 2 2 3 2" xfId="41033"/>
    <cellStyle name="Normal 4 4 2 2 2 2 4" xfId="28717"/>
    <cellStyle name="Normal 4 4 2 2 2 3" xfId="12137"/>
    <cellStyle name="Normal 4 4 2 2 2 3 2" xfId="31815"/>
    <cellStyle name="Normal 4 4 2 2 2 4" xfId="18289"/>
    <cellStyle name="Normal 4 4 2 2 2 4 2" xfId="37967"/>
    <cellStyle name="Normal 4 4 2 2 2 5" xfId="25651"/>
    <cellStyle name="Normal 4 4 2 2 3" xfId="7475"/>
    <cellStyle name="Normal 4 4 2 2 3 2" xfId="13669"/>
    <cellStyle name="Normal 4 4 2 2 3 2 2" xfId="33347"/>
    <cellStyle name="Normal 4 4 2 2 3 3" xfId="19821"/>
    <cellStyle name="Normal 4 4 2 2 3 3 2" xfId="39499"/>
    <cellStyle name="Normal 4 4 2 2 3 4" xfId="27183"/>
    <cellStyle name="Normal 4 4 2 2 4" xfId="10603"/>
    <cellStyle name="Normal 4 4 2 2 4 2" xfId="30281"/>
    <cellStyle name="Normal 4 4 2 2 5" xfId="16755"/>
    <cellStyle name="Normal 4 4 2 2 5 2" xfId="36433"/>
    <cellStyle name="Normal 4 4 2 2 6" xfId="24117"/>
    <cellStyle name="Normal 4 4 2 3" xfId="5141"/>
    <cellStyle name="Normal 4 4 2 3 2" xfId="8241"/>
    <cellStyle name="Normal 4 4 2 3 2 2" xfId="14434"/>
    <cellStyle name="Normal 4 4 2 3 2 2 2" xfId="34112"/>
    <cellStyle name="Normal 4 4 2 3 2 3" xfId="20586"/>
    <cellStyle name="Normal 4 4 2 3 2 3 2" xfId="40264"/>
    <cellStyle name="Normal 4 4 2 3 2 4" xfId="27948"/>
    <cellStyle name="Normal 4 4 2 3 3" xfId="11368"/>
    <cellStyle name="Normal 4 4 2 3 3 2" xfId="31046"/>
    <cellStyle name="Normal 4 4 2 3 4" xfId="17520"/>
    <cellStyle name="Normal 4 4 2 3 4 2" xfId="37198"/>
    <cellStyle name="Normal 4 4 2 3 5" xfId="24882"/>
    <cellStyle name="Normal 4 4 2 4" xfId="6706"/>
    <cellStyle name="Normal 4 4 2 4 2" xfId="12900"/>
    <cellStyle name="Normal 4 4 2 4 2 2" xfId="32578"/>
    <cellStyle name="Normal 4 4 2 4 3" xfId="19052"/>
    <cellStyle name="Normal 4 4 2 4 3 2" xfId="38730"/>
    <cellStyle name="Normal 4 4 2 4 4" xfId="26414"/>
    <cellStyle name="Normal 4 4 2 5" xfId="9834"/>
    <cellStyle name="Normal 4 4 2 5 2" xfId="29512"/>
    <cellStyle name="Normal 4 4 2 6" xfId="15986"/>
    <cellStyle name="Normal 4 4 2 6 2" xfId="35664"/>
    <cellStyle name="Normal 4 4 2 7" xfId="23299"/>
    <cellStyle name="Normal 4 4 3" xfId="3063"/>
    <cellStyle name="Normal 4 4 4" xfId="4298"/>
    <cellStyle name="Normal 4 4 4 2" xfId="5923"/>
    <cellStyle name="Normal 4 4 4 2 2" xfId="9009"/>
    <cellStyle name="Normal 4 4 4 2 2 2" xfId="15202"/>
    <cellStyle name="Normal 4 4 4 2 2 2 2" xfId="34880"/>
    <cellStyle name="Normal 4 4 4 2 2 3" xfId="21354"/>
    <cellStyle name="Normal 4 4 4 2 2 3 2" xfId="41032"/>
    <cellStyle name="Normal 4 4 4 2 2 4" xfId="28716"/>
    <cellStyle name="Normal 4 4 4 2 3" xfId="12136"/>
    <cellStyle name="Normal 4 4 4 2 3 2" xfId="31814"/>
    <cellStyle name="Normal 4 4 4 2 4" xfId="18288"/>
    <cellStyle name="Normal 4 4 4 2 4 2" xfId="37966"/>
    <cellStyle name="Normal 4 4 4 2 5" xfId="25650"/>
    <cellStyle name="Normal 4 4 4 3" xfId="7474"/>
    <cellStyle name="Normal 4 4 4 3 2" xfId="13668"/>
    <cellStyle name="Normal 4 4 4 3 2 2" xfId="33346"/>
    <cellStyle name="Normal 4 4 4 3 3" xfId="19820"/>
    <cellStyle name="Normal 4 4 4 3 3 2" xfId="39498"/>
    <cellStyle name="Normal 4 4 4 3 4" xfId="27182"/>
    <cellStyle name="Normal 4 4 4 4" xfId="10602"/>
    <cellStyle name="Normal 4 4 4 4 2" xfId="30280"/>
    <cellStyle name="Normal 4 4 4 5" xfId="16754"/>
    <cellStyle name="Normal 4 4 4 5 2" xfId="36432"/>
    <cellStyle name="Normal 4 4 4 6" xfId="24116"/>
    <cellStyle name="Normal 4 4 5" xfId="5140"/>
    <cellStyle name="Normal 4 4 5 2" xfId="8240"/>
    <cellStyle name="Normal 4 4 5 2 2" xfId="14433"/>
    <cellStyle name="Normal 4 4 5 2 2 2" xfId="34111"/>
    <cellStyle name="Normal 4 4 5 2 3" xfId="20585"/>
    <cellStyle name="Normal 4 4 5 2 3 2" xfId="40263"/>
    <cellStyle name="Normal 4 4 5 2 4" xfId="27947"/>
    <cellStyle name="Normal 4 4 5 3" xfId="11367"/>
    <cellStyle name="Normal 4 4 5 3 2" xfId="31045"/>
    <cellStyle name="Normal 4 4 5 4" xfId="17519"/>
    <cellStyle name="Normal 4 4 5 4 2" xfId="37197"/>
    <cellStyle name="Normal 4 4 5 5" xfId="24881"/>
    <cellStyle name="Normal 4 4 6" xfId="6705"/>
    <cellStyle name="Normal 4 4 6 2" xfId="12899"/>
    <cellStyle name="Normal 4 4 6 2 2" xfId="32577"/>
    <cellStyle name="Normal 4 4 6 3" xfId="19051"/>
    <cellStyle name="Normal 4 4 6 3 2" xfId="38729"/>
    <cellStyle name="Normal 4 4 6 4" xfId="26413"/>
    <cellStyle name="Normal 4 4 7" xfId="9833"/>
    <cellStyle name="Normal 4 4 7 2" xfId="29511"/>
    <cellStyle name="Normal 4 4 8" xfId="15985"/>
    <cellStyle name="Normal 4 4 8 2" xfId="35663"/>
    <cellStyle name="Normal 4 4 9" xfId="23298"/>
    <cellStyle name="Normal 4 5" xfId="3064"/>
    <cellStyle name="Normal 4 5 2" xfId="4300"/>
    <cellStyle name="Normal 4 5 2 2" xfId="5925"/>
    <cellStyle name="Normal 4 5 2 2 2" xfId="9011"/>
    <cellStyle name="Normal 4 5 2 2 2 2" xfId="15204"/>
    <cellStyle name="Normal 4 5 2 2 2 2 2" xfId="34882"/>
    <cellStyle name="Normal 4 5 2 2 2 3" xfId="21356"/>
    <cellStyle name="Normal 4 5 2 2 2 3 2" xfId="41034"/>
    <cellStyle name="Normal 4 5 2 2 2 4" xfId="28718"/>
    <cellStyle name="Normal 4 5 2 2 3" xfId="12138"/>
    <cellStyle name="Normal 4 5 2 2 3 2" xfId="31816"/>
    <cellStyle name="Normal 4 5 2 2 4" xfId="18290"/>
    <cellStyle name="Normal 4 5 2 2 4 2" xfId="37968"/>
    <cellStyle name="Normal 4 5 2 2 5" xfId="25652"/>
    <cellStyle name="Normal 4 5 2 3" xfId="7476"/>
    <cellStyle name="Normal 4 5 2 3 2" xfId="13670"/>
    <cellStyle name="Normal 4 5 2 3 2 2" xfId="33348"/>
    <cellStyle name="Normal 4 5 2 3 3" xfId="19822"/>
    <cellStyle name="Normal 4 5 2 3 3 2" xfId="39500"/>
    <cellStyle name="Normal 4 5 2 3 4" xfId="27184"/>
    <cellStyle name="Normal 4 5 2 4" xfId="10604"/>
    <cellStyle name="Normal 4 5 2 4 2" xfId="30282"/>
    <cellStyle name="Normal 4 5 2 5" xfId="16756"/>
    <cellStyle name="Normal 4 5 2 5 2" xfId="36434"/>
    <cellStyle name="Normal 4 5 2 6" xfId="24118"/>
    <cellStyle name="Normal 4 5 3" xfId="5142"/>
    <cellStyle name="Normal 4 5 3 2" xfId="8242"/>
    <cellStyle name="Normal 4 5 3 2 2" xfId="14435"/>
    <cellStyle name="Normal 4 5 3 2 2 2" xfId="34113"/>
    <cellStyle name="Normal 4 5 3 2 3" xfId="20587"/>
    <cellStyle name="Normal 4 5 3 2 3 2" xfId="40265"/>
    <cellStyle name="Normal 4 5 3 2 4" xfId="27949"/>
    <cellStyle name="Normal 4 5 3 3" xfId="11369"/>
    <cellStyle name="Normal 4 5 3 3 2" xfId="31047"/>
    <cellStyle name="Normal 4 5 3 4" xfId="17521"/>
    <cellStyle name="Normal 4 5 3 4 2" xfId="37199"/>
    <cellStyle name="Normal 4 5 3 5" xfId="24883"/>
    <cellStyle name="Normal 4 5 4" xfId="6707"/>
    <cellStyle name="Normal 4 5 4 2" xfId="12901"/>
    <cellStyle name="Normal 4 5 4 2 2" xfId="32579"/>
    <cellStyle name="Normal 4 5 4 3" xfId="19053"/>
    <cellStyle name="Normal 4 5 4 3 2" xfId="38731"/>
    <cellStyle name="Normal 4 5 4 4" xfId="26415"/>
    <cellStyle name="Normal 4 5 5" xfId="9835"/>
    <cellStyle name="Normal 4 5 5 2" xfId="29513"/>
    <cellStyle name="Normal 4 5 6" xfId="15987"/>
    <cellStyle name="Normal 4 5 6 2" xfId="35665"/>
    <cellStyle name="Normal 4 5 7" xfId="23300"/>
    <cellStyle name="Normal 4 5 8" xfId="42021"/>
    <cellStyle name="Normal 4 5 9" xfId="21835"/>
    <cellStyle name="Normal 4 6" xfId="3065"/>
    <cellStyle name="Normal 4 6 2" xfId="4301"/>
    <cellStyle name="Normal 4 6 2 2" xfId="5926"/>
    <cellStyle name="Normal 4 6 2 2 2" xfId="9012"/>
    <cellStyle name="Normal 4 6 2 2 2 2" xfId="15205"/>
    <cellStyle name="Normal 4 6 2 2 2 2 2" xfId="34883"/>
    <cellStyle name="Normal 4 6 2 2 2 3" xfId="21357"/>
    <cellStyle name="Normal 4 6 2 2 2 3 2" xfId="41035"/>
    <cellStyle name="Normal 4 6 2 2 2 4" xfId="28719"/>
    <cellStyle name="Normal 4 6 2 2 3" xfId="12139"/>
    <cellStyle name="Normal 4 6 2 2 3 2" xfId="31817"/>
    <cellStyle name="Normal 4 6 2 2 4" xfId="18291"/>
    <cellStyle name="Normal 4 6 2 2 4 2" xfId="37969"/>
    <cellStyle name="Normal 4 6 2 2 5" xfId="25653"/>
    <cellStyle name="Normal 4 6 2 3" xfId="7477"/>
    <cellStyle name="Normal 4 6 2 3 2" xfId="13671"/>
    <cellStyle name="Normal 4 6 2 3 2 2" xfId="33349"/>
    <cellStyle name="Normal 4 6 2 3 3" xfId="19823"/>
    <cellStyle name="Normal 4 6 2 3 3 2" xfId="39501"/>
    <cellStyle name="Normal 4 6 2 3 4" xfId="27185"/>
    <cellStyle name="Normal 4 6 2 4" xfId="10605"/>
    <cellStyle name="Normal 4 6 2 4 2" xfId="30283"/>
    <cellStyle name="Normal 4 6 2 5" xfId="16757"/>
    <cellStyle name="Normal 4 6 2 5 2" xfId="36435"/>
    <cellStyle name="Normal 4 6 2 6" xfId="24119"/>
    <cellStyle name="Normal 4 6 3" xfId="5143"/>
    <cellStyle name="Normal 4 6 3 2" xfId="8243"/>
    <cellStyle name="Normal 4 6 3 2 2" xfId="14436"/>
    <cellStyle name="Normal 4 6 3 2 2 2" xfId="34114"/>
    <cellStyle name="Normal 4 6 3 2 3" xfId="20588"/>
    <cellStyle name="Normal 4 6 3 2 3 2" xfId="40266"/>
    <cellStyle name="Normal 4 6 3 2 4" xfId="27950"/>
    <cellStyle name="Normal 4 6 3 3" xfId="11370"/>
    <cellStyle name="Normal 4 6 3 3 2" xfId="31048"/>
    <cellStyle name="Normal 4 6 3 4" xfId="17522"/>
    <cellStyle name="Normal 4 6 3 4 2" xfId="37200"/>
    <cellStyle name="Normal 4 6 3 5" xfId="24884"/>
    <cellStyle name="Normal 4 6 4" xfId="6708"/>
    <cellStyle name="Normal 4 6 4 2" xfId="12902"/>
    <cellStyle name="Normal 4 6 4 2 2" xfId="32580"/>
    <cellStyle name="Normal 4 6 4 3" xfId="19054"/>
    <cellStyle name="Normal 4 6 4 3 2" xfId="38732"/>
    <cellStyle name="Normal 4 6 4 4" xfId="26416"/>
    <cellStyle name="Normal 4 6 5" xfId="9836"/>
    <cellStyle name="Normal 4 6 5 2" xfId="29514"/>
    <cellStyle name="Normal 4 6 6" xfId="15988"/>
    <cellStyle name="Normal 4 6 6 2" xfId="35666"/>
    <cellStyle name="Normal 4 6 7" xfId="23301"/>
    <cellStyle name="Normal 4 6 8" xfId="21861"/>
    <cellStyle name="Normal 4 7" xfId="3066"/>
    <cellStyle name="Normal 4 7 2" xfId="4302"/>
    <cellStyle name="Normal 4 7 2 2" xfId="5927"/>
    <cellStyle name="Normal 4 7 2 2 2" xfId="9013"/>
    <cellStyle name="Normal 4 7 2 2 2 2" xfId="15206"/>
    <cellStyle name="Normal 4 7 2 2 2 2 2" xfId="34884"/>
    <cellStyle name="Normal 4 7 2 2 2 3" xfId="21358"/>
    <cellStyle name="Normal 4 7 2 2 2 3 2" xfId="41036"/>
    <cellStyle name="Normal 4 7 2 2 2 4" xfId="28720"/>
    <cellStyle name="Normal 4 7 2 2 3" xfId="12140"/>
    <cellStyle name="Normal 4 7 2 2 3 2" xfId="31818"/>
    <cellStyle name="Normal 4 7 2 2 4" xfId="18292"/>
    <cellStyle name="Normal 4 7 2 2 4 2" xfId="37970"/>
    <cellStyle name="Normal 4 7 2 2 5" xfId="25654"/>
    <cellStyle name="Normal 4 7 2 3" xfId="7478"/>
    <cellStyle name="Normal 4 7 2 3 2" xfId="13672"/>
    <cellStyle name="Normal 4 7 2 3 2 2" xfId="33350"/>
    <cellStyle name="Normal 4 7 2 3 3" xfId="19824"/>
    <cellStyle name="Normal 4 7 2 3 3 2" xfId="39502"/>
    <cellStyle name="Normal 4 7 2 3 4" xfId="27186"/>
    <cellStyle name="Normal 4 7 2 4" xfId="10606"/>
    <cellStyle name="Normal 4 7 2 4 2" xfId="30284"/>
    <cellStyle name="Normal 4 7 2 5" xfId="16758"/>
    <cellStyle name="Normal 4 7 2 5 2" xfId="36436"/>
    <cellStyle name="Normal 4 7 2 6" xfId="24120"/>
    <cellStyle name="Normal 4 7 3" xfId="5144"/>
    <cellStyle name="Normal 4 7 3 2" xfId="8244"/>
    <cellStyle name="Normal 4 7 3 2 2" xfId="14437"/>
    <cellStyle name="Normal 4 7 3 2 2 2" xfId="34115"/>
    <cellStyle name="Normal 4 7 3 2 3" xfId="20589"/>
    <cellStyle name="Normal 4 7 3 2 3 2" xfId="40267"/>
    <cellStyle name="Normal 4 7 3 2 4" xfId="27951"/>
    <cellStyle name="Normal 4 7 3 3" xfId="11371"/>
    <cellStyle name="Normal 4 7 3 3 2" xfId="31049"/>
    <cellStyle name="Normal 4 7 3 4" xfId="17523"/>
    <cellStyle name="Normal 4 7 3 4 2" xfId="37201"/>
    <cellStyle name="Normal 4 7 3 5" xfId="24885"/>
    <cellStyle name="Normal 4 7 4" xfId="6709"/>
    <cellStyle name="Normal 4 7 4 2" xfId="12903"/>
    <cellStyle name="Normal 4 7 4 2 2" xfId="32581"/>
    <cellStyle name="Normal 4 7 4 3" xfId="19055"/>
    <cellStyle name="Normal 4 7 4 3 2" xfId="38733"/>
    <cellStyle name="Normal 4 7 4 4" xfId="26417"/>
    <cellStyle name="Normal 4 7 5" xfId="9837"/>
    <cellStyle name="Normal 4 7 5 2" xfId="29515"/>
    <cellStyle name="Normal 4 7 6" xfId="15989"/>
    <cellStyle name="Normal 4 7 6 2" xfId="35667"/>
    <cellStyle name="Normal 4 7 7" xfId="23302"/>
    <cellStyle name="Normal 4 7 8" xfId="21864"/>
    <cellStyle name="Normal 4 8" xfId="3067"/>
    <cellStyle name="Normal 4 8 2" xfId="4303"/>
    <cellStyle name="Normal 4 8 2 2" xfId="5928"/>
    <cellStyle name="Normal 4 8 2 2 2" xfId="9014"/>
    <cellStyle name="Normal 4 8 2 2 2 2" xfId="15207"/>
    <cellStyle name="Normal 4 8 2 2 2 2 2" xfId="34885"/>
    <cellStyle name="Normal 4 8 2 2 2 3" xfId="21359"/>
    <cellStyle name="Normal 4 8 2 2 2 3 2" xfId="41037"/>
    <cellStyle name="Normal 4 8 2 2 2 4" xfId="28721"/>
    <cellStyle name="Normal 4 8 2 2 3" xfId="12141"/>
    <cellStyle name="Normal 4 8 2 2 3 2" xfId="31819"/>
    <cellStyle name="Normal 4 8 2 2 4" xfId="18293"/>
    <cellStyle name="Normal 4 8 2 2 4 2" xfId="37971"/>
    <cellStyle name="Normal 4 8 2 2 5" xfId="25655"/>
    <cellStyle name="Normal 4 8 2 3" xfId="7479"/>
    <cellStyle name="Normal 4 8 2 3 2" xfId="13673"/>
    <cellStyle name="Normal 4 8 2 3 2 2" xfId="33351"/>
    <cellStyle name="Normal 4 8 2 3 3" xfId="19825"/>
    <cellStyle name="Normal 4 8 2 3 3 2" xfId="39503"/>
    <cellStyle name="Normal 4 8 2 3 4" xfId="27187"/>
    <cellStyle name="Normal 4 8 2 4" xfId="10607"/>
    <cellStyle name="Normal 4 8 2 4 2" xfId="30285"/>
    <cellStyle name="Normal 4 8 2 5" xfId="16759"/>
    <cellStyle name="Normal 4 8 2 5 2" xfId="36437"/>
    <cellStyle name="Normal 4 8 2 6" xfId="24121"/>
    <cellStyle name="Normal 4 8 3" xfId="5145"/>
    <cellStyle name="Normal 4 8 3 2" xfId="8245"/>
    <cellStyle name="Normal 4 8 3 2 2" xfId="14438"/>
    <cellStyle name="Normal 4 8 3 2 2 2" xfId="34116"/>
    <cellStyle name="Normal 4 8 3 2 3" xfId="20590"/>
    <cellStyle name="Normal 4 8 3 2 3 2" xfId="40268"/>
    <cellStyle name="Normal 4 8 3 2 4" xfId="27952"/>
    <cellStyle name="Normal 4 8 3 3" xfId="11372"/>
    <cellStyle name="Normal 4 8 3 3 2" xfId="31050"/>
    <cellStyle name="Normal 4 8 3 4" xfId="17524"/>
    <cellStyle name="Normal 4 8 3 4 2" xfId="37202"/>
    <cellStyle name="Normal 4 8 3 5" xfId="24886"/>
    <cellStyle name="Normal 4 8 4" xfId="6710"/>
    <cellStyle name="Normal 4 8 4 2" xfId="12904"/>
    <cellStyle name="Normal 4 8 4 2 2" xfId="32582"/>
    <cellStyle name="Normal 4 8 4 3" xfId="19056"/>
    <cellStyle name="Normal 4 8 4 3 2" xfId="38734"/>
    <cellStyle name="Normal 4 8 4 4" xfId="26418"/>
    <cellStyle name="Normal 4 8 5" xfId="9838"/>
    <cellStyle name="Normal 4 8 5 2" xfId="29516"/>
    <cellStyle name="Normal 4 8 6" xfId="15990"/>
    <cellStyle name="Normal 4 8 6 2" xfId="35668"/>
    <cellStyle name="Normal 4 8 7" xfId="23303"/>
    <cellStyle name="Normal 4 8 8" xfId="21887"/>
    <cellStyle name="Normal 4 9" xfId="3068"/>
    <cellStyle name="Normal 4 9 2" xfId="23304"/>
    <cellStyle name="Normal 4 9 3" xfId="21905"/>
    <cellStyle name="Normal 40" xfId="3069"/>
    <cellStyle name="Normal 40 2" xfId="3070"/>
    <cellStyle name="Normal 41" xfId="3071"/>
    <cellStyle name="Normal 41 2" xfId="3072"/>
    <cellStyle name="Normal 41 2 2" xfId="4304"/>
    <cellStyle name="Normal 41 2 2 2" xfId="5929"/>
    <cellStyle name="Normal 41 2 2 2 2" xfId="9015"/>
    <cellStyle name="Normal 41 2 2 2 2 2" xfId="15208"/>
    <cellStyle name="Normal 41 2 2 2 2 2 2" xfId="34886"/>
    <cellStyle name="Normal 41 2 2 2 2 3" xfId="21360"/>
    <cellStyle name="Normal 41 2 2 2 2 3 2" xfId="41038"/>
    <cellStyle name="Normal 41 2 2 2 2 4" xfId="28722"/>
    <cellStyle name="Normal 41 2 2 2 3" xfId="12142"/>
    <cellStyle name="Normal 41 2 2 2 3 2" xfId="31820"/>
    <cellStyle name="Normal 41 2 2 2 4" xfId="18294"/>
    <cellStyle name="Normal 41 2 2 2 4 2" xfId="37972"/>
    <cellStyle name="Normal 41 2 2 2 5" xfId="25656"/>
    <cellStyle name="Normal 41 2 2 3" xfId="7480"/>
    <cellStyle name="Normal 41 2 2 3 2" xfId="13674"/>
    <cellStyle name="Normal 41 2 2 3 2 2" xfId="33352"/>
    <cellStyle name="Normal 41 2 2 3 3" xfId="19826"/>
    <cellStyle name="Normal 41 2 2 3 3 2" xfId="39504"/>
    <cellStyle name="Normal 41 2 2 3 4" xfId="27188"/>
    <cellStyle name="Normal 41 2 2 4" xfId="10608"/>
    <cellStyle name="Normal 41 2 2 4 2" xfId="30286"/>
    <cellStyle name="Normal 41 2 2 5" xfId="16760"/>
    <cellStyle name="Normal 41 2 2 5 2" xfId="36438"/>
    <cellStyle name="Normal 41 2 2 6" xfId="24122"/>
    <cellStyle name="Normal 41 2 3" xfId="5146"/>
    <cellStyle name="Normal 41 2 3 2" xfId="8246"/>
    <cellStyle name="Normal 41 2 3 2 2" xfId="14439"/>
    <cellStyle name="Normal 41 2 3 2 2 2" xfId="34117"/>
    <cellStyle name="Normal 41 2 3 2 3" xfId="20591"/>
    <cellStyle name="Normal 41 2 3 2 3 2" xfId="40269"/>
    <cellStyle name="Normal 41 2 3 2 4" xfId="27953"/>
    <cellStyle name="Normal 41 2 3 3" xfId="11373"/>
    <cellStyle name="Normal 41 2 3 3 2" xfId="31051"/>
    <cellStyle name="Normal 41 2 3 4" xfId="17525"/>
    <cellStyle name="Normal 41 2 3 4 2" xfId="37203"/>
    <cellStyle name="Normal 41 2 3 5" xfId="24887"/>
    <cellStyle name="Normal 41 2 4" xfId="6711"/>
    <cellStyle name="Normal 41 2 4 2" xfId="12905"/>
    <cellStyle name="Normal 41 2 4 2 2" xfId="32583"/>
    <cellStyle name="Normal 41 2 4 3" xfId="19057"/>
    <cellStyle name="Normal 41 2 4 3 2" xfId="38735"/>
    <cellStyle name="Normal 41 2 4 4" xfId="26419"/>
    <cellStyle name="Normal 41 2 5" xfId="9839"/>
    <cellStyle name="Normal 41 2 5 2" xfId="29517"/>
    <cellStyle name="Normal 41 2 6" xfId="15991"/>
    <cellStyle name="Normal 41 2 6 2" xfId="35669"/>
    <cellStyle name="Normal 41 2 7" xfId="23305"/>
    <cellStyle name="Normal 41 3" xfId="3073"/>
    <cellStyle name="Normal 41 3 2" xfId="3074"/>
    <cellStyle name="Normal 41 4" xfId="3075"/>
    <cellStyle name="Normal 42" xfId="3076"/>
    <cellStyle name="Normal 42 2" xfId="3077"/>
    <cellStyle name="Normal 43" xfId="3078"/>
    <cellStyle name="Normal 44" xfId="3079"/>
    <cellStyle name="Normal 44 2" xfId="3080"/>
    <cellStyle name="Normal 45" xfId="3081"/>
    <cellStyle name="Normal 46" xfId="3082"/>
    <cellStyle name="Normal 46 2" xfId="4305"/>
    <cellStyle name="Normal 46 2 2" xfId="5930"/>
    <cellStyle name="Normal 46 2 2 2" xfId="9016"/>
    <cellStyle name="Normal 46 2 2 2 2" xfId="15209"/>
    <cellStyle name="Normal 46 2 2 2 2 2" xfId="34887"/>
    <cellStyle name="Normal 46 2 2 2 3" xfId="21361"/>
    <cellStyle name="Normal 46 2 2 2 3 2" xfId="41039"/>
    <cellStyle name="Normal 46 2 2 2 4" xfId="28723"/>
    <cellStyle name="Normal 46 2 2 3" xfId="12143"/>
    <cellStyle name="Normal 46 2 2 3 2" xfId="31821"/>
    <cellStyle name="Normal 46 2 2 4" xfId="18295"/>
    <cellStyle name="Normal 46 2 2 4 2" xfId="37973"/>
    <cellStyle name="Normal 46 2 2 5" xfId="25657"/>
    <cellStyle name="Normal 46 2 3" xfId="7481"/>
    <cellStyle name="Normal 46 2 3 2" xfId="13675"/>
    <cellStyle name="Normal 46 2 3 2 2" xfId="33353"/>
    <cellStyle name="Normal 46 2 3 3" xfId="19827"/>
    <cellStyle name="Normal 46 2 3 3 2" xfId="39505"/>
    <cellStyle name="Normal 46 2 3 4" xfId="27189"/>
    <cellStyle name="Normal 46 2 4" xfId="10609"/>
    <cellStyle name="Normal 46 2 4 2" xfId="30287"/>
    <cellStyle name="Normal 46 2 5" xfId="16761"/>
    <cellStyle name="Normal 46 2 5 2" xfId="36439"/>
    <cellStyle name="Normal 46 2 6" xfId="24123"/>
    <cellStyle name="Normal 46 3" xfId="5147"/>
    <cellStyle name="Normal 46 3 2" xfId="8247"/>
    <cellStyle name="Normal 46 3 2 2" xfId="14440"/>
    <cellStyle name="Normal 46 3 2 2 2" xfId="34118"/>
    <cellStyle name="Normal 46 3 2 3" xfId="20592"/>
    <cellStyle name="Normal 46 3 2 3 2" xfId="40270"/>
    <cellStyle name="Normal 46 3 2 4" xfId="27954"/>
    <cellStyle name="Normal 46 3 3" xfId="11374"/>
    <cellStyle name="Normal 46 3 3 2" xfId="31052"/>
    <cellStyle name="Normal 46 3 4" xfId="17526"/>
    <cellStyle name="Normal 46 3 4 2" xfId="37204"/>
    <cellStyle name="Normal 46 3 5" xfId="24888"/>
    <cellStyle name="Normal 46 4" xfId="6712"/>
    <cellStyle name="Normal 46 4 2" xfId="12906"/>
    <cellStyle name="Normal 46 4 2 2" xfId="32584"/>
    <cellStyle name="Normal 46 4 3" xfId="19058"/>
    <cellStyle name="Normal 46 4 3 2" xfId="38736"/>
    <cellStyle name="Normal 46 4 4" xfId="26420"/>
    <cellStyle name="Normal 46 5" xfId="9840"/>
    <cellStyle name="Normal 46 5 2" xfId="29518"/>
    <cellStyle name="Normal 46 6" xfId="15992"/>
    <cellStyle name="Normal 46 6 2" xfId="35670"/>
    <cellStyle name="Normal 46 7" xfId="23306"/>
    <cellStyle name="Normal 47" xfId="3083"/>
    <cellStyle name="Normal 48" xfId="3084"/>
    <cellStyle name="Normal 49" xfId="377"/>
    <cellStyle name="Normal 5" xfId="43"/>
    <cellStyle name="Normal 5 10" xfId="3086"/>
    <cellStyle name="Normal 5 10 2" xfId="22434"/>
    <cellStyle name="Normal 5 10 3" xfId="23308"/>
    <cellStyle name="Normal 5 10 4" xfId="41401"/>
    <cellStyle name="Normal 5 10 5" xfId="41618"/>
    <cellStyle name="Normal 5 10 6" xfId="21944"/>
    <cellStyle name="Normal 5 11" xfId="3087"/>
    <cellStyle name="Normal 5 11 2" xfId="22437"/>
    <cellStyle name="Normal 5 11 3" xfId="23309"/>
    <cellStyle name="Normal 5 11 4" xfId="41366"/>
    <cellStyle name="Normal 5 11 5" xfId="41621"/>
    <cellStyle name="Normal 5 11 6" xfId="21955"/>
    <cellStyle name="Normal 5 12" xfId="3088"/>
    <cellStyle name="Normal 5 12 2" xfId="22440"/>
    <cellStyle name="Normal 5 12 3" xfId="23310"/>
    <cellStyle name="Normal 5 12 4" xfId="41537"/>
    <cellStyle name="Normal 5 12 5" xfId="41624"/>
    <cellStyle name="Normal 5 12 6" xfId="21965"/>
    <cellStyle name="Normal 5 13" xfId="3089"/>
    <cellStyle name="Normal 5 13 2" xfId="22443"/>
    <cellStyle name="Normal 5 13 3" xfId="23311"/>
    <cellStyle name="Normal 5 13 4" xfId="41338"/>
    <cellStyle name="Normal 5 13 5" xfId="41627"/>
    <cellStyle name="Normal 5 13 6" xfId="21972"/>
    <cellStyle name="Normal 5 14" xfId="3090"/>
    <cellStyle name="Normal 5 14 2" xfId="22446"/>
    <cellStyle name="Normal 5 14 3" xfId="23312"/>
    <cellStyle name="Normal 5 14 4" xfId="41486"/>
    <cellStyle name="Normal 5 14 5" xfId="41630"/>
    <cellStyle name="Normal 5 14 6" xfId="21976"/>
    <cellStyle name="Normal 5 15" xfId="3091"/>
    <cellStyle name="Normal 5 15 2" xfId="22449"/>
    <cellStyle name="Normal 5 15 3" xfId="23313"/>
    <cellStyle name="Normal 5 15 4" xfId="41386"/>
    <cellStyle name="Normal 5 15 5" xfId="41633"/>
    <cellStyle name="Normal 5 15 6" xfId="21979"/>
    <cellStyle name="Normal 5 16" xfId="3092"/>
    <cellStyle name="Normal 5 16 2" xfId="22464"/>
    <cellStyle name="Normal 5 16 3" xfId="23314"/>
    <cellStyle name="Normal 5 16 4" xfId="41413"/>
    <cellStyle name="Normal 5 16 5" xfId="41648"/>
    <cellStyle name="Normal 5 16 6" xfId="22038"/>
    <cellStyle name="Normal 5 17" xfId="3093"/>
    <cellStyle name="Normal 5 17 2" xfId="22480"/>
    <cellStyle name="Normal 5 17 3" xfId="23315"/>
    <cellStyle name="Normal 5 17 4" xfId="41524"/>
    <cellStyle name="Normal 5 17 5" xfId="41664"/>
    <cellStyle name="Normal 5 17 6" xfId="22068"/>
    <cellStyle name="Normal 5 18" xfId="3094"/>
    <cellStyle name="Normal 5 18 2" xfId="22496"/>
    <cellStyle name="Normal 5 18 3" xfId="23316"/>
    <cellStyle name="Normal 5 18 4" xfId="41505"/>
    <cellStyle name="Normal 5 18 5" xfId="41680"/>
    <cellStyle name="Normal 5 18 6" xfId="22095"/>
    <cellStyle name="Normal 5 19" xfId="3095"/>
    <cellStyle name="Normal 5 19 2" xfId="22512"/>
    <cellStyle name="Normal 5 19 3" xfId="23317"/>
    <cellStyle name="Normal 5 19 4" xfId="41500"/>
    <cellStyle name="Normal 5 19 5" xfId="41696"/>
    <cellStyle name="Normal 5 19 6" xfId="22121"/>
    <cellStyle name="Normal 5 2" xfId="44"/>
    <cellStyle name="Normal 5 2 10" xfId="9842"/>
    <cellStyle name="Normal 5 2 10 2" xfId="29520"/>
    <cellStyle name="Normal 5 2 11" xfId="15994"/>
    <cellStyle name="Normal 5 2 11 2" xfId="35672"/>
    <cellStyle name="Normal 5 2 12" xfId="3096"/>
    <cellStyle name="Normal 5 2 12 2" xfId="23318"/>
    <cellStyle name="Normal 5 2 13" xfId="21761"/>
    <cellStyle name="Normal 5 2 2" xfId="45"/>
    <cellStyle name="Normal 5 2 2 2" xfId="3097"/>
    <cellStyle name="Normal 5 2 2 2 2" xfId="3098"/>
    <cellStyle name="Normal 5 2 2 2 2 2" xfId="4308"/>
    <cellStyle name="Normal 5 2 2 2 2 2 2" xfId="5933"/>
    <cellStyle name="Normal 5 2 2 2 2 2 2 2" xfId="9019"/>
    <cellStyle name="Normal 5 2 2 2 2 2 2 2 2" xfId="15212"/>
    <cellStyle name="Normal 5 2 2 2 2 2 2 2 2 2" xfId="34890"/>
    <cellStyle name="Normal 5 2 2 2 2 2 2 2 3" xfId="21364"/>
    <cellStyle name="Normal 5 2 2 2 2 2 2 2 3 2" xfId="41042"/>
    <cellStyle name="Normal 5 2 2 2 2 2 2 2 4" xfId="28726"/>
    <cellStyle name="Normal 5 2 2 2 2 2 2 3" xfId="12146"/>
    <cellStyle name="Normal 5 2 2 2 2 2 2 3 2" xfId="31824"/>
    <cellStyle name="Normal 5 2 2 2 2 2 2 4" xfId="18298"/>
    <cellStyle name="Normal 5 2 2 2 2 2 2 4 2" xfId="37976"/>
    <cellStyle name="Normal 5 2 2 2 2 2 2 5" xfId="25660"/>
    <cellStyle name="Normal 5 2 2 2 2 2 3" xfId="7484"/>
    <cellStyle name="Normal 5 2 2 2 2 2 3 2" xfId="13678"/>
    <cellStyle name="Normal 5 2 2 2 2 2 3 2 2" xfId="33356"/>
    <cellStyle name="Normal 5 2 2 2 2 2 3 3" xfId="19830"/>
    <cellStyle name="Normal 5 2 2 2 2 2 3 3 2" xfId="39508"/>
    <cellStyle name="Normal 5 2 2 2 2 2 3 4" xfId="27192"/>
    <cellStyle name="Normal 5 2 2 2 2 2 4" xfId="10612"/>
    <cellStyle name="Normal 5 2 2 2 2 2 4 2" xfId="30290"/>
    <cellStyle name="Normal 5 2 2 2 2 2 5" xfId="16764"/>
    <cellStyle name="Normal 5 2 2 2 2 2 5 2" xfId="36442"/>
    <cellStyle name="Normal 5 2 2 2 2 2 6" xfId="24126"/>
    <cellStyle name="Normal 5 2 2 2 2 3" xfId="5150"/>
    <cellStyle name="Normal 5 2 2 2 2 3 2" xfId="8250"/>
    <cellStyle name="Normal 5 2 2 2 2 3 2 2" xfId="14443"/>
    <cellStyle name="Normal 5 2 2 2 2 3 2 2 2" xfId="34121"/>
    <cellStyle name="Normal 5 2 2 2 2 3 2 3" xfId="20595"/>
    <cellStyle name="Normal 5 2 2 2 2 3 2 3 2" xfId="40273"/>
    <cellStyle name="Normal 5 2 2 2 2 3 2 4" xfId="27957"/>
    <cellStyle name="Normal 5 2 2 2 2 3 3" xfId="11377"/>
    <cellStyle name="Normal 5 2 2 2 2 3 3 2" xfId="31055"/>
    <cellStyle name="Normal 5 2 2 2 2 3 4" xfId="17529"/>
    <cellStyle name="Normal 5 2 2 2 2 3 4 2" xfId="37207"/>
    <cellStyle name="Normal 5 2 2 2 2 3 5" xfId="24891"/>
    <cellStyle name="Normal 5 2 2 2 2 4" xfId="6715"/>
    <cellStyle name="Normal 5 2 2 2 2 4 2" xfId="12909"/>
    <cellStyle name="Normal 5 2 2 2 2 4 2 2" xfId="32587"/>
    <cellStyle name="Normal 5 2 2 2 2 4 3" xfId="19061"/>
    <cellStyle name="Normal 5 2 2 2 2 4 3 2" xfId="38739"/>
    <cellStyle name="Normal 5 2 2 2 2 4 4" xfId="26423"/>
    <cellStyle name="Normal 5 2 2 2 2 5" xfId="9843"/>
    <cellStyle name="Normal 5 2 2 2 2 5 2" xfId="29521"/>
    <cellStyle name="Normal 5 2 2 2 2 6" xfId="15995"/>
    <cellStyle name="Normal 5 2 2 2 2 6 2" xfId="35673"/>
    <cellStyle name="Normal 5 2 2 2 2 7" xfId="23319"/>
    <cellStyle name="Normal 5 2 2 3" xfId="3099"/>
    <cellStyle name="Normal 5 2 2 3 2" xfId="4309"/>
    <cellStyle name="Normal 5 2 2 3 2 2" xfId="5934"/>
    <cellStyle name="Normal 5 2 2 3 2 2 2" xfId="9020"/>
    <cellStyle name="Normal 5 2 2 3 2 2 2 2" xfId="15213"/>
    <cellStyle name="Normal 5 2 2 3 2 2 2 2 2" xfId="34891"/>
    <cellStyle name="Normal 5 2 2 3 2 2 2 3" xfId="21365"/>
    <cellStyle name="Normal 5 2 2 3 2 2 2 3 2" xfId="41043"/>
    <cellStyle name="Normal 5 2 2 3 2 2 2 4" xfId="28727"/>
    <cellStyle name="Normal 5 2 2 3 2 2 3" xfId="12147"/>
    <cellStyle name="Normal 5 2 2 3 2 2 3 2" xfId="31825"/>
    <cellStyle name="Normal 5 2 2 3 2 2 4" xfId="18299"/>
    <cellStyle name="Normal 5 2 2 3 2 2 4 2" xfId="37977"/>
    <cellStyle name="Normal 5 2 2 3 2 2 5" xfId="25661"/>
    <cellStyle name="Normal 5 2 2 3 2 3" xfId="7485"/>
    <cellStyle name="Normal 5 2 2 3 2 3 2" xfId="13679"/>
    <cellStyle name="Normal 5 2 2 3 2 3 2 2" xfId="33357"/>
    <cellStyle name="Normal 5 2 2 3 2 3 3" xfId="19831"/>
    <cellStyle name="Normal 5 2 2 3 2 3 3 2" xfId="39509"/>
    <cellStyle name="Normal 5 2 2 3 2 3 4" xfId="27193"/>
    <cellStyle name="Normal 5 2 2 3 2 4" xfId="10613"/>
    <cellStyle name="Normal 5 2 2 3 2 4 2" xfId="30291"/>
    <cellStyle name="Normal 5 2 2 3 2 5" xfId="16765"/>
    <cellStyle name="Normal 5 2 2 3 2 5 2" xfId="36443"/>
    <cellStyle name="Normal 5 2 2 3 2 6" xfId="24127"/>
    <cellStyle name="Normal 5 2 2 3 3" xfId="5151"/>
    <cellStyle name="Normal 5 2 2 3 3 2" xfId="8251"/>
    <cellStyle name="Normal 5 2 2 3 3 2 2" xfId="14444"/>
    <cellStyle name="Normal 5 2 2 3 3 2 2 2" xfId="34122"/>
    <cellStyle name="Normal 5 2 2 3 3 2 3" xfId="20596"/>
    <cellStyle name="Normal 5 2 2 3 3 2 3 2" xfId="40274"/>
    <cellStyle name="Normal 5 2 2 3 3 2 4" xfId="27958"/>
    <cellStyle name="Normal 5 2 2 3 3 3" xfId="11378"/>
    <cellStyle name="Normal 5 2 2 3 3 3 2" xfId="31056"/>
    <cellStyle name="Normal 5 2 2 3 3 4" xfId="17530"/>
    <cellStyle name="Normal 5 2 2 3 3 4 2" xfId="37208"/>
    <cellStyle name="Normal 5 2 2 3 3 5" xfId="24892"/>
    <cellStyle name="Normal 5 2 2 3 4" xfId="6716"/>
    <cellStyle name="Normal 5 2 2 3 4 2" xfId="12910"/>
    <cellStyle name="Normal 5 2 2 3 4 2 2" xfId="32588"/>
    <cellStyle name="Normal 5 2 2 3 4 3" xfId="19062"/>
    <cellStyle name="Normal 5 2 2 3 4 3 2" xfId="38740"/>
    <cellStyle name="Normal 5 2 2 3 4 4" xfId="26424"/>
    <cellStyle name="Normal 5 2 2 3 5" xfId="9844"/>
    <cellStyle name="Normal 5 2 2 3 5 2" xfId="29522"/>
    <cellStyle name="Normal 5 2 2 3 6" xfId="15996"/>
    <cellStyle name="Normal 5 2 2 3 6 2" xfId="35674"/>
    <cellStyle name="Normal 5 2 2 3 7" xfId="23320"/>
    <cellStyle name="Normal 5 2 3" xfId="3100"/>
    <cellStyle name="Normal 5 2 3 2" xfId="3101"/>
    <cellStyle name="Normal 5 2 3 2 2" xfId="3102"/>
    <cellStyle name="Normal 5 2 3 2 2 2" xfId="4310"/>
    <cellStyle name="Normal 5 2 3 2 2 2 2" xfId="5935"/>
    <cellStyle name="Normal 5 2 3 2 2 2 2 2" xfId="9021"/>
    <cellStyle name="Normal 5 2 3 2 2 2 2 2 2" xfId="15214"/>
    <cellStyle name="Normal 5 2 3 2 2 2 2 2 2 2" xfId="34892"/>
    <cellStyle name="Normal 5 2 3 2 2 2 2 2 3" xfId="21366"/>
    <cellStyle name="Normal 5 2 3 2 2 2 2 2 3 2" xfId="41044"/>
    <cellStyle name="Normal 5 2 3 2 2 2 2 2 4" xfId="28728"/>
    <cellStyle name="Normal 5 2 3 2 2 2 2 3" xfId="12148"/>
    <cellStyle name="Normal 5 2 3 2 2 2 2 3 2" xfId="31826"/>
    <cellStyle name="Normal 5 2 3 2 2 2 2 4" xfId="18300"/>
    <cellStyle name="Normal 5 2 3 2 2 2 2 4 2" xfId="37978"/>
    <cellStyle name="Normal 5 2 3 2 2 2 2 5" xfId="25662"/>
    <cellStyle name="Normal 5 2 3 2 2 2 3" xfId="7486"/>
    <cellStyle name="Normal 5 2 3 2 2 2 3 2" xfId="13680"/>
    <cellStyle name="Normal 5 2 3 2 2 2 3 2 2" xfId="33358"/>
    <cellStyle name="Normal 5 2 3 2 2 2 3 3" xfId="19832"/>
    <cellStyle name="Normal 5 2 3 2 2 2 3 3 2" xfId="39510"/>
    <cellStyle name="Normal 5 2 3 2 2 2 3 4" xfId="27194"/>
    <cellStyle name="Normal 5 2 3 2 2 2 4" xfId="10614"/>
    <cellStyle name="Normal 5 2 3 2 2 2 4 2" xfId="30292"/>
    <cellStyle name="Normal 5 2 3 2 2 2 5" xfId="16766"/>
    <cellStyle name="Normal 5 2 3 2 2 2 5 2" xfId="36444"/>
    <cellStyle name="Normal 5 2 3 2 2 2 6" xfId="24128"/>
    <cellStyle name="Normal 5 2 3 2 2 3" xfId="5152"/>
    <cellStyle name="Normal 5 2 3 2 2 3 2" xfId="8252"/>
    <cellStyle name="Normal 5 2 3 2 2 3 2 2" xfId="14445"/>
    <cellStyle name="Normal 5 2 3 2 2 3 2 2 2" xfId="34123"/>
    <cellStyle name="Normal 5 2 3 2 2 3 2 3" xfId="20597"/>
    <cellStyle name="Normal 5 2 3 2 2 3 2 3 2" xfId="40275"/>
    <cellStyle name="Normal 5 2 3 2 2 3 2 4" xfId="27959"/>
    <cellStyle name="Normal 5 2 3 2 2 3 3" xfId="11379"/>
    <cellStyle name="Normal 5 2 3 2 2 3 3 2" xfId="31057"/>
    <cellStyle name="Normal 5 2 3 2 2 3 4" xfId="17531"/>
    <cellStyle name="Normal 5 2 3 2 2 3 4 2" xfId="37209"/>
    <cellStyle name="Normal 5 2 3 2 2 3 5" xfId="24893"/>
    <cellStyle name="Normal 5 2 3 2 2 4" xfId="6717"/>
    <cellStyle name="Normal 5 2 3 2 2 4 2" xfId="12911"/>
    <cellStyle name="Normal 5 2 3 2 2 4 2 2" xfId="32589"/>
    <cellStyle name="Normal 5 2 3 2 2 4 3" xfId="19063"/>
    <cellStyle name="Normal 5 2 3 2 2 4 3 2" xfId="38741"/>
    <cellStyle name="Normal 5 2 3 2 2 4 4" xfId="26425"/>
    <cellStyle name="Normal 5 2 3 2 2 5" xfId="9845"/>
    <cellStyle name="Normal 5 2 3 2 2 5 2" xfId="29523"/>
    <cellStyle name="Normal 5 2 3 2 2 6" xfId="15997"/>
    <cellStyle name="Normal 5 2 3 2 2 6 2" xfId="35675"/>
    <cellStyle name="Normal 5 2 3 2 2 7" xfId="23321"/>
    <cellStyle name="Normal 5 2 3 3" xfId="3103"/>
    <cellStyle name="Normal 5 2 3 3 2" xfId="4311"/>
    <cellStyle name="Normal 5 2 3 3 2 2" xfId="5936"/>
    <cellStyle name="Normal 5 2 3 3 2 2 2" xfId="9022"/>
    <cellStyle name="Normal 5 2 3 3 2 2 2 2" xfId="15215"/>
    <cellStyle name="Normal 5 2 3 3 2 2 2 2 2" xfId="34893"/>
    <cellStyle name="Normal 5 2 3 3 2 2 2 3" xfId="21367"/>
    <cellStyle name="Normal 5 2 3 3 2 2 2 3 2" xfId="41045"/>
    <cellStyle name="Normal 5 2 3 3 2 2 2 4" xfId="28729"/>
    <cellStyle name="Normal 5 2 3 3 2 2 3" xfId="12149"/>
    <cellStyle name="Normal 5 2 3 3 2 2 3 2" xfId="31827"/>
    <cellStyle name="Normal 5 2 3 3 2 2 4" xfId="18301"/>
    <cellStyle name="Normal 5 2 3 3 2 2 4 2" xfId="37979"/>
    <cellStyle name="Normal 5 2 3 3 2 2 5" xfId="25663"/>
    <cellStyle name="Normal 5 2 3 3 2 3" xfId="7487"/>
    <cellStyle name="Normal 5 2 3 3 2 3 2" xfId="13681"/>
    <cellStyle name="Normal 5 2 3 3 2 3 2 2" xfId="33359"/>
    <cellStyle name="Normal 5 2 3 3 2 3 3" xfId="19833"/>
    <cellStyle name="Normal 5 2 3 3 2 3 3 2" xfId="39511"/>
    <cellStyle name="Normal 5 2 3 3 2 3 4" xfId="27195"/>
    <cellStyle name="Normal 5 2 3 3 2 4" xfId="10615"/>
    <cellStyle name="Normal 5 2 3 3 2 4 2" xfId="30293"/>
    <cellStyle name="Normal 5 2 3 3 2 5" xfId="16767"/>
    <cellStyle name="Normal 5 2 3 3 2 5 2" xfId="36445"/>
    <cellStyle name="Normal 5 2 3 3 2 6" xfId="24129"/>
    <cellStyle name="Normal 5 2 3 3 3" xfId="5153"/>
    <cellStyle name="Normal 5 2 3 3 3 2" xfId="8253"/>
    <cellStyle name="Normal 5 2 3 3 3 2 2" xfId="14446"/>
    <cellStyle name="Normal 5 2 3 3 3 2 2 2" xfId="34124"/>
    <cellStyle name="Normal 5 2 3 3 3 2 3" xfId="20598"/>
    <cellStyle name="Normal 5 2 3 3 3 2 3 2" xfId="40276"/>
    <cellStyle name="Normal 5 2 3 3 3 2 4" xfId="27960"/>
    <cellStyle name="Normal 5 2 3 3 3 3" xfId="11380"/>
    <cellStyle name="Normal 5 2 3 3 3 3 2" xfId="31058"/>
    <cellStyle name="Normal 5 2 3 3 3 4" xfId="17532"/>
    <cellStyle name="Normal 5 2 3 3 3 4 2" xfId="37210"/>
    <cellStyle name="Normal 5 2 3 3 3 5" xfId="24894"/>
    <cellStyle name="Normal 5 2 3 3 4" xfId="6718"/>
    <cellStyle name="Normal 5 2 3 3 4 2" xfId="12912"/>
    <cellStyle name="Normal 5 2 3 3 4 2 2" xfId="32590"/>
    <cellStyle name="Normal 5 2 3 3 4 3" xfId="19064"/>
    <cellStyle name="Normal 5 2 3 3 4 3 2" xfId="38742"/>
    <cellStyle name="Normal 5 2 3 3 4 4" xfId="26426"/>
    <cellStyle name="Normal 5 2 3 3 5" xfId="9846"/>
    <cellStyle name="Normal 5 2 3 3 5 2" xfId="29524"/>
    <cellStyle name="Normal 5 2 3 3 6" xfId="15998"/>
    <cellStyle name="Normal 5 2 3 3 6 2" xfId="35676"/>
    <cellStyle name="Normal 5 2 3 3 7" xfId="23322"/>
    <cellStyle name="Normal 5 2 4" xfId="3104"/>
    <cellStyle name="Normal 5 2 4 2" xfId="3105"/>
    <cellStyle name="Normal 5 2 4 2 2" xfId="4312"/>
    <cellStyle name="Normal 5 2 4 2 2 2" xfId="5937"/>
    <cellStyle name="Normal 5 2 4 2 2 2 2" xfId="9023"/>
    <cellStyle name="Normal 5 2 4 2 2 2 2 2" xfId="15216"/>
    <cellStyle name="Normal 5 2 4 2 2 2 2 2 2" xfId="34894"/>
    <cellStyle name="Normal 5 2 4 2 2 2 2 3" xfId="21368"/>
    <cellStyle name="Normal 5 2 4 2 2 2 2 3 2" xfId="41046"/>
    <cellStyle name="Normal 5 2 4 2 2 2 2 4" xfId="28730"/>
    <cellStyle name="Normal 5 2 4 2 2 2 3" xfId="12150"/>
    <cellStyle name="Normal 5 2 4 2 2 2 3 2" xfId="31828"/>
    <cellStyle name="Normal 5 2 4 2 2 2 4" xfId="18302"/>
    <cellStyle name="Normal 5 2 4 2 2 2 4 2" xfId="37980"/>
    <cellStyle name="Normal 5 2 4 2 2 2 5" xfId="25664"/>
    <cellStyle name="Normal 5 2 4 2 2 3" xfId="7488"/>
    <cellStyle name="Normal 5 2 4 2 2 3 2" xfId="13682"/>
    <cellStyle name="Normal 5 2 4 2 2 3 2 2" xfId="33360"/>
    <cellStyle name="Normal 5 2 4 2 2 3 3" xfId="19834"/>
    <cellStyle name="Normal 5 2 4 2 2 3 3 2" xfId="39512"/>
    <cellStyle name="Normal 5 2 4 2 2 3 4" xfId="27196"/>
    <cellStyle name="Normal 5 2 4 2 2 4" xfId="10616"/>
    <cellStyle name="Normal 5 2 4 2 2 4 2" xfId="30294"/>
    <cellStyle name="Normal 5 2 4 2 2 5" xfId="16768"/>
    <cellStyle name="Normal 5 2 4 2 2 5 2" xfId="36446"/>
    <cellStyle name="Normal 5 2 4 2 2 6" xfId="24130"/>
    <cellStyle name="Normal 5 2 4 2 3" xfId="5154"/>
    <cellStyle name="Normal 5 2 4 2 3 2" xfId="8254"/>
    <cellStyle name="Normal 5 2 4 2 3 2 2" xfId="14447"/>
    <cellStyle name="Normal 5 2 4 2 3 2 2 2" xfId="34125"/>
    <cellStyle name="Normal 5 2 4 2 3 2 3" xfId="20599"/>
    <cellStyle name="Normal 5 2 4 2 3 2 3 2" xfId="40277"/>
    <cellStyle name="Normal 5 2 4 2 3 2 4" xfId="27961"/>
    <cellStyle name="Normal 5 2 4 2 3 3" xfId="11381"/>
    <cellStyle name="Normal 5 2 4 2 3 3 2" xfId="31059"/>
    <cellStyle name="Normal 5 2 4 2 3 4" xfId="17533"/>
    <cellStyle name="Normal 5 2 4 2 3 4 2" xfId="37211"/>
    <cellStyle name="Normal 5 2 4 2 3 5" xfId="24895"/>
    <cellStyle name="Normal 5 2 4 2 4" xfId="6719"/>
    <cellStyle name="Normal 5 2 4 2 4 2" xfId="12913"/>
    <cellStyle name="Normal 5 2 4 2 4 2 2" xfId="32591"/>
    <cellStyle name="Normal 5 2 4 2 4 3" xfId="19065"/>
    <cellStyle name="Normal 5 2 4 2 4 3 2" xfId="38743"/>
    <cellStyle name="Normal 5 2 4 2 4 4" xfId="26427"/>
    <cellStyle name="Normal 5 2 4 2 5" xfId="9847"/>
    <cellStyle name="Normal 5 2 4 2 5 2" xfId="29525"/>
    <cellStyle name="Normal 5 2 4 2 6" xfId="15999"/>
    <cellStyle name="Normal 5 2 4 2 6 2" xfId="35677"/>
    <cellStyle name="Normal 5 2 4 2 7" xfId="23323"/>
    <cellStyle name="Normal 5 2 5" xfId="3106"/>
    <cellStyle name="Normal 5 2 6" xfId="3107"/>
    <cellStyle name="Normal 5 2 6 2" xfId="4313"/>
    <cellStyle name="Normal 5 2 6 2 2" xfId="5938"/>
    <cellStyle name="Normal 5 2 6 2 2 2" xfId="9024"/>
    <cellStyle name="Normal 5 2 6 2 2 2 2" xfId="15217"/>
    <cellStyle name="Normal 5 2 6 2 2 2 2 2" xfId="34895"/>
    <cellStyle name="Normal 5 2 6 2 2 2 3" xfId="21369"/>
    <cellStyle name="Normal 5 2 6 2 2 2 3 2" xfId="41047"/>
    <cellStyle name="Normal 5 2 6 2 2 2 4" xfId="28731"/>
    <cellStyle name="Normal 5 2 6 2 2 3" xfId="12151"/>
    <cellStyle name="Normal 5 2 6 2 2 3 2" xfId="31829"/>
    <cellStyle name="Normal 5 2 6 2 2 4" xfId="18303"/>
    <cellStyle name="Normal 5 2 6 2 2 4 2" xfId="37981"/>
    <cellStyle name="Normal 5 2 6 2 2 5" xfId="25665"/>
    <cellStyle name="Normal 5 2 6 2 3" xfId="7489"/>
    <cellStyle name="Normal 5 2 6 2 3 2" xfId="13683"/>
    <cellStyle name="Normal 5 2 6 2 3 2 2" xfId="33361"/>
    <cellStyle name="Normal 5 2 6 2 3 3" xfId="19835"/>
    <cellStyle name="Normal 5 2 6 2 3 3 2" xfId="39513"/>
    <cellStyle name="Normal 5 2 6 2 3 4" xfId="27197"/>
    <cellStyle name="Normal 5 2 6 2 4" xfId="10617"/>
    <cellStyle name="Normal 5 2 6 2 4 2" xfId="30295"/>
    <cellStyle name="Normal 5 2 6 2 5" xfId="16769"/>
    <cellStyle name="Normal 5 2 6 2 5 2" xfId="36447"/>
    <cellStyle name="Normal 5 2 6 2 6" xfId="24131"/>
    <cellStyle name="Normal 5 2 6 3" xfId="5155"/>
    <cellStyle name="Normal 5 2 6 3 2" xfId="8255"/>
    <cellStyle name="Normal 5 2 6 3 2 2" xfId="14448"/>
    <cellStyle name="Normal 5 2 6 3 2 2 2" xfId="34126"/>
    <cellStyle name="Normal 5 2 6 3 2 3" xfId="20600"/>
    <cellStyle name="Normal 5 2 6 3 2 3 2" xfId="40278"/>
    <cellStyle name="Normal 5 2 6 3 2 4" xfId="27962"/>
    <cellStyle name="Normal 5 2 6 3 3" xfId="11382"/>
    <cellStyle name="Normal 5 2 6 3 3 2" xfId="31060"/>
    <cellStyle name="Normal 5 2 6 3 4" xfId="17534"/>
    <cellStyle name="Normal 5 2 6 3 4 2" xfId="37212"/>
    <cellStyle name="Normal 5 2 6 3 5" xfId="24896"/>
    <cellStyle name="Normal 5 2 6 4" xfId="6720"/>
    <cellStyle name="Normal 5 2 6 4 2" xfId="12914"/>
    <cellStyle name="Normal 5 2 6 4 2 2" xfId="32592"/>
    <cellStyle name="Normal 5 2 6 4 3" xfId="19066"/>
    <cellStyle name="Normal 5 2 6 4 3 2" xfId="38744"/>
    <cellStyle name="Normal 5 2 6 4 4" xfId="26428"/>
    <cellStyle name="Normal 5 2 6 5" xfId="9848"/>
    <cellStyle name="Normal 5 2 6 5 2" xfId="29526"/>
    <cellStyle name="Normal 5 2 6 6" xfId="16000"/>
    <cellStyle name="Normal 5 2 6 6 2" xfId="35678"/>
    <cellStyle name="Normal 5 2 6 7" xfId="23324"/>
    <cellStyle name="Normal 5 2 7" xfId="4307"/>
    <cellStyle name="Normal 5 2 7 2" xfId="5932"/>
    <cellStyle name="Normal 5 2 7 2 2" xfId="9018"/>
    <cellStyle name="Normal 5 2 7 2 2 2" xfId="15211"/>
    <cellStyle name="Normal 5 2 7 2 2 2 2" xfId="34889"/>
    <cellStyle name="Normal 5 2 7 2 2 3" xfId="21363"/>
    <cellStyle name="Normal 5 2 7 2 2 3 2" xfId="41041"/>
    <cellStyle name="Normal 5 2 7 2 2 4" xfId="28725"/>
    <cellStyle name="Normal 5 2 7 2 3" xfId="12145"/>
    <cellStyle name="Normal 5 2 7 2 3 2" xfId="31823"/>
    <cellStyle name="Normal 5 2 7 2 4" xfId="18297"/>
    <cellStyle name="Normal 5 2 7 2 4 2" xfId="37975"/>
    <cellStyle name="Normal 5 2 7 2 5" xfId="25659"/>
    <cellStyle name="Normal 5 2 7 3" xfId="7483"/>
    <cellStyle name="Normal 5 2 7 3 2" xfId="13677"/>
    <cellStyle name="Normal 5 2 7 3 2 2" xfId="33355"/>
    <cellStyle name="Normal 5 2 7 3 3" xfId="19829"/>
    <cellStyle name="Normal 5 2 7 3 3 2" xfId="39507"/>
    <cellStyle name="Normal 5 2 7 3 4" xfId="27191"/>
    <cellStyle name="Normal 5 2 7 4" xfId="10611"/>
    <cellStyle name="Normal 5 2 7 4 2" xfId="30289"/>
    <cellStyle name="Normal 5 2 7 5" xfId="16763"/>
    <cellStyle name="Normal 5 2 7 5 2" xfId="36441"/>
    <cellStyle name="Normal 5 2 7 6" xfId="24125"/>
    <cellStyle name="Normal 5 2 8" xfId="5149"/>
    <cellStyle name="Normal 5 2 8 2" xfId="8249"/>
    <cellStyle name="Normal 5 2 8 2 2" xfId="14442"/>
    <cellStyle name="Normal 5 2 8 2 2 2" xfId="34120"/>
    <cellStyle name="Normal 5 2 8 2 3" xfId="20594"/>
    <cellStyle name="Normal 5 2 8 2 3 2" xfId="40272"/>
    <cellStyle name="Normal 5 2 8 2 4" xfId="27956"/>
    <cellStyle name="Normal 5 2 8 3" xfId="11376"/>
    <cellStyle name="Normal 5 2 8 3 2" xfId="31054"/>
    <cellStyle name="Normal 5 2 8 4" xfId="17528"/>
    <cellStyle name="Normal 5 2 8 4 2" xfId="37206"/>
    <cellStyle name="Normal 5 2 8 5" xfId="24890"/>
    <cellStyle name="Normal 5 2 9" xfId="6714"/>
    <cellStyle name="Normal 5 2 9 2" xfId="12908"/>
    <cellStyle name="Normal 5 2 9 2 2" xfId="32586"/>
    <cellStyle name="Normal 5 2 9 3" xfId="19060"/>
    <cellStyle name="Normal 5 2 9 3 2" xfId="38738"/>
    <cellStyle name="Normal 5 2 9 4" xfId="26422"/>
    <cellStyle name="Normal 5 20" xfId="3108"/>
    <cellStyle name="Normal 5 20 2" xfId="22528"/>
    <cellStyle name="Normal 5 20 3" xfId="23325"/>
    <cellStyle name="Normal 5 20 4" xfId="41414"/>
    <cellStyle name="Normal 5 20 5" xfId="41712"/>
    <cellStyle name="Normal 5 20 6" xfId="22146"/>
    <cellStyle name="Normal 5 21" xfId="3109"/>
    <cellStyle name="Normal 5 21 2" xfId="22544"/>
    <cellStyle name="Normal 5 21 3" xfId="23326"/>
    <cellStyle name="Normal 5 21 4" xfId="41346"/>
    <cellStyle name="Normal 5 21 5" xfId="41728"/>
    <cellStyle name="Normal 5 21 6" xfId="22168"/>
    <cellStyle name="Normal 5 22" xfId="3110"/>
    <cellStyle name="Normal 5 22 2" xfId="22560"/>
    <cellStyle name="Normal 5 22 3" xfId="23327"/>
    <cellStyle name="Normal 5 22 4" xfId="41405"/>
    <cellStyle name="Normal 5 22 5" xfId="41744"/>
    <cellStyle name="Normal 5 22 6" xfId="22193"/>
    <cellStyle name="Normal 5 23" xfId="3111"/>
    <cellStyle name="Normal 5 23 2" xfId="22576"/>
    <cellStyle name="Normal 5 23 3" xfId="23328"/>
    <cellStyle name="Normal 5 23 4" xfId="41440"/>
    <cellStyle name="Normal 5 23 5" xfId="41760"/>
    <cellStyle name="Normal 5 23 6" xfId="22233"/>
    <cellStyle name="Normal 5 24" xfId="3112"/>
    <cellStyle name="Normal 5 24 2" xfId="4314"/>
    <cellStyle name="Normal 5 24 2 2" xfId="5939"/>
    <cellStyle name="Normal 5 24 2 2 2" xfId="9025"/>
    <cellStyle name="Normal 5 24 2 2 2 2" xfId="15218"/>
    <cellStyle name="Normal 5 24 2 2 2 2 2" xfId="34896"/>
    <cellStyle name="Normal 5 24 2 2 2 3" xfId="21370"/>
    <cellStyle name="Normal 5 24 2 2 2 3 2" xfId="41048"/>
    <cellStyle name="Normal 5 24 2 2 2 4" xfId="28732"/>
    <cellStyle name="Normal 5 24 2 2 3" xfId="12152"/>
    <cellStyle name="Normal 5 24 2 2 3 2" xfId="31830"/>
    <cellStyle name="Normal 5 24 2 2 4" xfId="18304"/>
    <cellStyle name="Normal 5 24 2 2 4 2" xfId="37982"/>
    <cellStyle name="Normal 5 24 2 2 5" xfId="25666"/>
    <cellStyle name="Normal 5 24 2 3" xfId="7490"/>
    <cellStyle name="Normal 5 24 2 3 2" xfId="13684"/>
    <cellStyle name="Normal 5 24 2 3 2 2" xfId="33362"/>
    <cellStyle name="Normal 5 24 2 3 3" xfId="19836"/>
    <cellStyle name="Normal 5 24 2 3 3 2" xfId="39514"/>
    <cellStyle name="Normal 5 24 2 3 4" xfId="27198"/>
    <cellStyle name="Normal 5 24 2 4" xfId="10618"/>
    <cellStyle name="Normal 5 24 2 4 2" xfId="30296"/>
    <cellStyle name="Normal 5 24 2 5" xfId="16770"/>
    <cellStyle name="Normal 5 24 2 5 2" xfId="36448"/>
    <cellStyle name="Normal 5 24 2 6" xfId="24132"/>
    <cellStyle name="Normal 5 24 2 7" xfId="22592"/>
    <cellStyle name="Normal 5 24 3" xfId="5156"/>
    <cellStyle name="Normal 5 24 3 2" xfId="8256"/>
    <cellStyle name="Normal 5 24 3 2 2" xfId="14449"/>
    <cellStyle name="Normal 5 24 3 2 2 2" xfId="34127"/>
    <cellStyle name="Normal 5 24 3 2 3" xfId="20601"/>
    <cellStyle name="Normal 5 24 3 2 3 2" xfId="40279"/>
    <cellStyle name="Normal 5 24 3 2 4" xfId="27963"/>
    <cellStyle name="Normal 5 24 3 3" xfId="11383"/>
    <cellStyle name="Normal 5 24 3 3 2" xfId="31061"/>
    <cellStyle name="Normal 5 24 3 4" xfId="17535"/>
    <cellStyle name="Normal 5 24 3 4 2" xfId="37213"/>
    <cellStyle name="Normal 5 24 3 5" xfId="24897"/>
    <cellStyle name="Normal 5 24 4" xfId="6721"/>
    <cellStyle name="Normal 5 24 4 2" xfId="12915"/>
    <cellStyle name="Normal 5 24 4 2 2" xfId="32593"/>
    <cellStyle name="Normal 5 24 4 3" xfId="19067"/>
    <cellStyle name="Normal 5 24 4 3 2" xfId="38745"/>
    <cellStyle name="Normal 5 24 4 4" xfId="26429"/>
    <cellStyle name="Normal 5 24 5" xfId="9849"/>
    <cellStyle name="Normal 5 24 5 2" xfId="29527"/>
    <cellStyle name="Normal 5 24 6" xfId="16001"/>
    <cellStyle name="Normal 5 24 6 2" xfId="35679"/>
    <cellStyle name="Normal 5 24 7" xfId="23329"/>
    <cellStyle name="Normal 5 24 8" xfId="41776"/>
    <cellStyle name="Normal 5 24 9" xfId="22261"/>
    <cellStyle name="Normal 5 25" xfId="3113"/>
    <cellStyle name="Normal 5 25 2" xfId="3114"/>
    <cellStyle name="Normal 5 25 2 2" xfId="23331"/>
    <cellStyle name="Normal 5 25 2 3" xfId="22608"/>
    <cellStyle name="Normal 5 25 3" xfId="23330"/>
    <cellStyle name="Normal 5 25 4" xfId="41364"/>
    <cellStyle name="Normal 5 25 5" xfId="41792"/>
    <cellStyle name="Normal 5 25 6" xfId="22287"/>
    <cellStyle name="Normal 5 26" xfId="3115"/>
    <cellStyle name="Normal 5 26 2" xfId="3116"/>
    <cellStyle name="Normal 5 26 2 2" xfId="23333"/>
    <cellStyle name="Normal 5 26 2 3" xfId="22624"/>
    <cellStyle name="Normal 5 26 3" xfId="23332"/>
    <cellStyle name="Normal 5 26 4" xfId="41492"/>
    <cellStyle name="Normal 5 26 5" xfId="41808"/>
    <cellStyle name="Normal 5 26 6" xfId="22311"/>
    <cellStyle name="Normal 5 27" xfId="3683"/>
    <cellStyle name="Normal 5 27 2" xfId="22640"/>
    <cellStyle name="Normal 5 27 3" xfId="23593"/>
    <cellStyle name="Normal 5 27 4" xfId="41345"/>
    <cellStyle name="Normal 5 27 5" xfId="41824"/>
    <cellStyle name="Normal 5 27 6" xfId="22334"/>
    <cellStyle name="Normal 5 28" xfId="3085"/>
    <cellStyle name="Normal 5 28 2" xfId="4306"/>
    <cellStyle name="Normal 5 28 2 2" xfId="5931"/>
    <cellStyle name="Normal 5 28 2 2 2" xfId="9017"/>
    <cellStyle name="Normal 5 28 2 2 2 2" xfId="15210"/>
    <cellStyle name="Normal 5 28 2 2 2 2 2" xfId="34888"/>
    <cellStyle name="Normal 5 28 2 2 2 3" xfId="21362"/>
    <cellStyle name="Normal 5 28 2 2 2 3 2" xfId="41040"/>
    <cellStyle name="Normal 5 28 2 2 2 4" xfId="28724"/>
    <cellStyle name="Normal 5 28 2 2 3" xfId="12144"/>
    <cellStyle name="Normal 5 28 2 2 3 2" xfId="31822"/>
    <cellStyle name="Normal 5 28 2 2 4" xfId="18296"/>
    <cellStyle name="Normal 5 28 2 2 4 2" xfId="37974"/>
    <cellStyle name="Normal 5 28 2 2 5" xfId="25658"/>
    <cellStyle name="Normal 5 28 2 3" xfId="7482"/>
    <cellStyle name="Normal 5 28 2 3 2" xfId="13676"/>
    <cellStyle name="Normal 5 28 2 3 2 2" xfId="33354"/>
    <cellStyle name="Normal 5 28 2 3 3" xfId="19828"/>
    <cellStyle name="Normal 5 28 2 3 3 2" xfId="39506"/>
    <cellStyle name="Normal 5 28 2 3 4" xfId="27190"/>
    <cellStyle name="Normal 5 28 2 4" xfId="10610"/>
    <cellStyle name="Normal 5 28 2 4 2" xfId="30288"/>
    <cellStyle name="Normal 5 28 2 5" xfId="16762"/>
    <cellStyle name="Normal 5 28 2 5 2" xfId="36440"/>
    <cellStyle name="Normal 5 28 2 6" xfId="24124"/>
    <cellStyle name="Normal 5 28 2 7" xfId="22656"/>
    <cellStyle name="Normal 5 28 3" xfId="5148"/>
    <cellStyle name="Normal 5 28 3 2" xfId="8248"/>
    <cellStyle name="Normal 5 28 3 2 2" xfId="14441"/>
    <cellStyle name="Normal 5 28 3 2 2 2" xfId="34119"/>
    <cellStyle name="Normal 5 28 3 2 3" xfId="20593"/>
    <cellStyle name="Normal 5 28 3 2 3 2" xfId="40271"/>
    <cellStyle name="Normal 5 28 3 2 4" xfId="27955"/>
    <cellStyle name="Normal 5 28 3 3" xfId="11375"/>
    <cellStyle name="Normal 5 28 3 3 2" xfId="31053"/>
    <cellStyle name="Normal 5 28 3 4" xfId="17527"/>
    <cellStyle name="Normal 5 28 3 4 2" xfId="37205"/>
    <cellStyle name="Normal 5 28 3 5" xfId="24889"/>
    <cellStyle name="Normal 5 28 4" xfId="6713"/>
    <cellStyle name="Normal 5 28 4 2" xfId="12907"/>
    <cellStyle name="Normal 5 28 4 2 2" xfId="32585"/>
    <cellStyle name="Normal 5 28 4 3" xfId="19059"/>
    <cellStyle name="Normal 5 28 4 3 2" xfId="38737"/>
    <cellStyle name="Normal 5 28 4 4" xfId="26421"/>
    <cellStyle name="Normal 5 28 5" xfId="9841"/>
    <cellStyle name="Normal 5 28 5 2" xfId="29519"/>
    <cellStyle name="Normal 5 28 6" xfId="15993"/>
    <cellStyle name="Normal 5 28 6 2" xfId="35671"/>
    <cellStyle name="Normal 5 28 7" xfId="23307"/>
    <cellStyle name="Normal 5 28 8" xfId="41840"/>
    <cellStyle name="Normal 5 28 9" xfId="22350"/>
    <cellStyle name="Normal 5 29" xfId="218"/>
    <cellStyle name="Normal 5 29 2" xfId="22672"/>
    <cellStyle name="Normal 5 29 3" xfId="22695"/>
    <cellStyle name="Normal 5 29 4" xfId="41470"/>
    <cellStyle name="Normal 5 29 5" xfId="41856"/>
    <cellStyle name="Normal 5 29 6" xfId="22366"/>
    <cellStyle name="Normal 5 3" xfId="3117"/>
    <cellStyle name="Normal 5 3 10" xfId="42022"/>
    <cellStyle name="Normal 5 3 11" xfId="21846"/>
    <cellStyle name="Normal 5 3 2" xfId="3118"/>
    <cellStyle name="Normal 5 3 2 2" xfId="23335"/>
    <cellStyle name="Normal 5 3 2 3" xfId="22412"/>
    <cellStyle name="Normal 5 3 3" xfId="4315"/>
    <cellStyle name="Normal 5 3 3 2" xfId="5940"/>
    <cellStyle name="Normal 5 3 3 2 2" xfId="9026"/>
    <cellStyle name="Normal 5 3 3 2 2 2" xfId="15219"/>
    <cellStyle name="Normal 5 3 3 2 2 2 2" xfId="34897"/>
    <cellStyle name="Normal 5 3 3 2 2 3" xfId="21371"/>
    <cellStyle name="Normal 5 3 3 2 2 3 2" xfId="41049"/>
    <cellStyle name="Normal 5 3 3 2 2 4" xfId="28733"/>
    <cellStyle name="Normal 5 3 3 2 3" xfId="12153"/>
    <cellStyle name="Normal 5 3 3 2 3 2" xfId="31831"/>
    <cellStyle name="Normal 5 3 3 2 4" xfId="18305"/>
    <cellStyle name="Normal 5 3 3 2 4 2" xfId="37983"/>
    <cellStyle name="Normal 5 3 3 2 5" xfId="25667"/>
    <cellStyle name="Normal 5 3 3 3" xfId="7491"/>
    <cellStyle name="Normal 5 3 3 3 2" xfId="13685"/>
    <cellStyle name="Normal 5 3 3 3 2 2" xfId="33363"/>
    <cellStyle name="Normal 5 3 3 3 3" xfId="19837"/>
    <cellStyle name="Normal 5 3 3 3 3 2" xfId="39515"/>
    <cellStyle name="Normal 5 3 3 3 4" xfId="27199"/>
    <cellStyle name="Normal 5 3 3 4" xfId="10619"/>
    <cellStyle name="Normal 5 3 3 4 2" xfId="30297"/>
    <cellStyle name="Normal 5 3 3 5" xfId="16771"/>
    <cellStyle name="Normal 5 3 3 5 2" xfId="36449"/>
    <cellStyle name="Normal 5 3 3 6" xfId="24133"/>
    <cellStyle name="Normal 5 3 4" xfId="5157"/>
    <cellStyle name="Normal 5 3 4 2" xfId="8257"/>
    <cellStyle name="Normal 5 3 4 2 2" xfId="14450"/>
    <cellStyle name="Normal 5 3 4 2 2 2" xfId="34128"/>
    <cellStyle name="Normal 5 3 4 2 3" xfId="20602"/>
    <cellStyle name="Normal 5 3 4 2 3 2" xfId="40280"/>
    <cellStyle name="Normal 5 3 4 2 4" xfId="27964"/>
    <cellStyle name="Normal 5 3 4 3" xfId="11384"/>
    <cellStyle name="Normal 5 3 4 3 2" xfId="31062"/>
    <cellStyle name="Normal 5 3 4 4" xfId="17536"/>
    <cellStyle name="Normal 5 3 4 4 2" xfId="37214"/>
    <cellStyle name="Normal 5 3 4 5" xfId="24898"/>
    <cellStyle name="Normal 5 3 5" xfId="6722"/>
    <cellStyle name="Normal 5 3 5 2" xfId="12916"/>
    <cellStyle name="Normal 5 3 5 2 2" xfId="32594"/>
    <cellStyle name="Normal 5 3 5 3" xfId="19068"/>
    <cellStyle name="Normal 5 3 5 3 2" xfId="38746"/>
    <cellStyle name="Normal 5 3 5 4" xfId="26430"/>
    <cellStyle name="Normal 5 3 6" xfId="9850"/>
    <cellStyle name="Normal 5 3 6 2" xfId="29528"/>
    <cellStyle name="Normal 5 3 7" xfId="16002"/>
    <cellStyle name="Normal 5 3 7 2" xfId="35680"/>
    <cellStyle name="Normal 5 3 8" xfId="23334"/>
    <cellStyle name="Normal 5 3 9" xfId="41596"/>
    <cellStyle name="Normal 5 30" xfId="21760"/>
    <cellStyle name="Normal 5 31" xfId="42078"/>
    <cellStyle name="Normal 5 4" xfId="3119"/>
    <cellStyle name="Normal 5 4 10" xfId="42023"/>
    <cellStyle name="Normal 5 4 11" xfId="21869"/>
    <cellStyle name="Normal 5 4 2" xfId="3120"/>
    <cellStyle name="Normal 5 4 2 2" xfId="23337"/>
    <cellStyle name="Normal 5 4 2 3" xfId="22416"/>
    <cellStyle name="Normal 5 4 3" xfId="4316"/>
    <cellStyle name="Normal 5 4 3 2" xfId="5941"/>
    <cellStyle name="Normal 5 4 3 2 2" xfId="9027"/>
    <cellStyle name="Normal 5 4 3 2 2 2" xfId="15220"/>
    <cellStyle name="Normal 5 4 3 2 2 2 2" xfId="34898"/>
    <cellStyle name="Normal 5 4 3 2 2 3" xfId="21372"/>
    <cellStyle name="Normal 5 4 3 2 2 3 2" xfId="41050"/>
    <cellStyle name="Normal 5 4 3 2 2 4" xfId="28734"/>
    <cellStyle name="Normal 5 4 3 2 3" xfId="12154"/>
    <cellStyle name="Normal 5 4 3 2 3 2" xfId="31832"/>
    <cellStyle name="Normal 5 4 3 2 4" xfId="18306"/>
    <cellStyle name="Normal 5 4 3 2 4 2" xfId="37984"/>
    <cellStyle name="Normal 5 4 3 2 5" xfId="25668"/>
    <cellStyle name="Normal 5 4 3 3" xfId="7492"/>
    <cellStyle name="Normal 5 4 3 3 2" xfId="13686"/>
    <cellStyle name="Normal 5 4 3 3 2 2" xfId="33364"/>
    <cellStyle name="Normal 5 4 3 3 3" xfId="19838"/>
    <cellStyle name="Normal 5 4 3 3 3 2" xfId="39516"/>
    <cellStyle name="Normal 5 4 3 3 4" xfId="27200"/>
    <cellStyle name="Normal 5 4 3 4" xfId="10620"/>
    <cellStyle name="Normal 5 4 3 4 2" xfId="30298"/>
    <cellStyle name="Normal 5 4 3 5" xfId="16772"/>
    <cellStyle name="Normal 5 4 3 5 2" xfId="36450"/>
    <cellStyle name="Normal 5 4 3 6" xfId="24134"/>
    <cellStyle name="Normal 5 4 4" xfId="5158"/>
    <cellStyle name="Normal 5 4 4 2" xfId="8258"/>
    <cellStyle name="Normal 5 4 4 2 2" xfId="14451"/>
    <cellStyle name="Normal 5 4 4 2 2 2" xfId="34129"/>
    <cellStyle name="Normal 5 4 4 2 3" xfId="20603"/>
    <cellStyle name="Normal 5 4 4 2 3 2" xfId="40281"/>
    <cellStyle name="Normal 5 4 4 2 4" xfId="27965"/>
    <cellStyle name="Normal 5 4 4 3" xfId="11385"/>
    <cellStyle name="Normal 5 4 4 3 2" xfId="31063"/>
    <cellStyle name="Normal 5 4 4 4" xfId="17537"/>
    <cellStyle name="Normal 5 4 4 4 2" xfId="37215"/>
    <cellStyle name="Normal 5 4 4 5" xfId="24899"/>
    <cellStyle name="Normal 5 4 5" xfId="6723"/>
    <cellStyle name="Normal 5 4 5 2" xfId="12917"/>
    <cellStyle name="Normal 5 4 5 2 2" xfId="32595"/>
    <cellStyle name="Normal 5 4 5 3" xfId="19069"/>
    <cellStyle name="Normal 5 4 5 3 2" xfId="38747"/>
    <cellStyle name="Normal 5 4 5 4" xfId="26431"/>
    <cellStyle name="Normal 5 4 6" xfId="9851"/>
    <cellStyle name="Normal 5 4 6 2" xfId="29529"/>
    <cellStyle name="Normal 5 4 7" xfId="16003"/>
    <cellStyle name="Normal 5 4 7 2" xfId="35681"/>
    <cellStyle name="Normal 5 4 8" xfId="23336"/>
    <cellStyle name="Normal 5 4 9" xfId="41600"/>
    <cellStyle name="Normal 5 5" xfId="3121"/>
    <cellStyle name="Normal 5 5 10" xfId="42024"/>
    <cellStyle name="Normal 5 5 11" xfId="21880"/>
    <cellStyle name="Normal 5 5 2" xfId="3122"/>
    <cellStyle name="Normal 5 5 2 2" xfId="23339"/>
    <cellStyle name="Normal 5 5 2 3" xfId="22419"/>
    <cellStyle name="Normal 5 5 3" xfId="4317"/>
    <cellStyle name="Normal 5 5 3 2" xfId="5942"/>
    <cellStyle name="Normal 5 5 3 2 2" xfId="9028"/>
    <cellStyle name="Normal 5 5 3 2 2 2" xfId="15221"/>
    <cellStyle name="Normal 5 5 3 2 2 2 2" xfId="34899"/>
    <cellStyle name="Normal 5 5 3 2 2 3" xfId="21373"/>
    <cellStyle name="Normal 5 5 3 2 2 3 2" xfId="41051"/>
    <cellStyle name="Normal 5 5 3 2 2 4" xfId="28735"/>
    <cellStyle name="Normal 5 5 3 2 3" xfId="12155"/>
    <cellStyle name="Normal 5 5 3 2 3 2" xfId="31833"/>
    <cellStyle name="Normal 5 5 3 2 4" xfId="18307"/>
    <cellStyle name="Normal 5 5 3 2 4 2" xfId="37985"/>
    <cellStyle name="Normal 5 5 3 2 5" xfId="25669"/>
    <cellStyle name="Normal 5 5 3 3" xfId="7493"/>
    <cellStyle name="Normal 5 5 3 3 2" xfId="13687"/>
    <cellStyle name="Normal 5 5 3 3 2 2" xfId="33365"/>
    <cellStyle name="Normal 5 5 3 3 3" xfId="19839"/>
    <cellStyle name="Normal 5 5 3 3 3 2" xfId="39517"/>
    <cellStyle name="Normal 5 5 3 3 4" xfId="27201"/>
    <cellStyle name="Normal 5 5 3 4" xfId="10621"/>
    <cellStyle name="Normal 5 5 3 4 2" xfId="30299"/>
    <cellStyle name="Normal 5 5 3 5" xfId="16773"/>
    <cellStyle name="Normal 5 5 3 5 2" xfId="36451"/>
    <cellStyle name="Normal 5 5 3 6" xfId="24135"/>
    <cellStyle name="Normal 5 5 4" xfId="5159"/>
    <cellStyle name="Normal 5 5 4 2" xfId="8259"/>
    <cellStyle name="Normal 5 5 4 2 2" xfId="14452"/>
    <cellStyle name="Normal 5 5 4 2 2 2" xfId="34130"/>
    <cellStyle name="Normal 5 5 4 2 3" xfId="20604"/>
    <cellStyle name="Normal 5 5 4 2 3 2" xfId="40282"/>
    <cellStyle name="Normal 5 5 4 2 4" xfId="27966"/>
    <cellStyle name="Normal 5 5 4 3" xfId="11386"/>
    <cellStyle name="Normal 5 5 4 3 2" xfId="31064"/>
    <cellStyle name="Normal 5 5 4 4" xfId="17538"/>
    <cellStyle name="Normal 5 5 4 4 2" xfId="37216"/>
    <cellStyle name="Normal 5 5 4 5" xfId="24900"/>
    <cellStyle name="Normal 5 5 5" xfId="6724"/>
    <cellStyle name="Normal 5 5 5 2" xfId="12918"/>
    <cellStyle name="Normal 5 5 5 2 2" xfId="32596"/>
    <cellStyle name="Normal 5 5 5 3" xfId="19070"/>
    <cellStyle name="Normal 5 5 5 3 2" xfId="38748"/>
    <cellStyle name="Normal 5 5 5 4" xfId="26432"/>
    <cellStyle name="Normal 5 5 6" xfId="9852"/>
    <cellStyle name="Normal 5 5 6 2" xfId="29530"/>
    <cellStyle name="Normal 5 5 7" xfId="16004"/>
    <cellStyle name="Normal 5 5 7 2" xfId="35682"/>
    <cellStyle name="Normal 5 5 8" xfId="23338"/>
    <cellStyle name="Normal 5 5 9" xfId="41603"/>
    <cellStyle name="Normal 5 6" xfId="3123"/>
    <cellStyle name="Normal 5 6 10" xfId="21894"/>
    <cellStyle name="Normal 5 6 2" xfId="3124"/>
    <cellStyle name="Normal 5 6 2 2" xfId="23341"/>
    <cellStyle name="Normal 5 6 2 3" xfId="22422"/>
    <cellStyle name="Normal 5 6 3" xfId="4318"/>
    <cellStyle name="Normal 5 6 3 2" xfId="5943"/>
    <cellStyle name="Normal 5 6 3 2 2" xfId="9029"/>
    <cellStyle name="Normal 5 6 3 2 2 2" xfId="15222"/>
    <cellStyle name="Normal 5 6 3 2 2 2 2" xfId="34900"/>
    <cellStyle name="Normal 5 6 3 2 2 3" xfId="21374"/>
    <cellStyle name="Normal 5 6 3 2 2 3 2" xfId="41052"/>
    <cellStyle name="Normal 5 6 3 2 2 4" xfId="28736"/>
    <cellStyle name="Normal 5 6 3 2 3" xfId="12156"/>
    <cellStyle name="Normal 5 6 3 2 3 2" xfId="31834"/>
    <cellStyle name="Normal 5 6 3 2 4" xfId="18308"/>
    <cellStyle name="Normal 5 6 3 2 4 2" xfId="37986"/>
    <cellStyle name="Normal 5 6 3 2 5" xfId="25670"/>
    <cellStyle name="Normal 5 6 3 3" xfId="7494"/>
    <cellStyle name="Normal 5 6 3 3 2" xfId="13688"/>
    <cellStyle name="Normal 5 6 3 3 2 2" xfId="33366"/>
    <cellStyle name="Normal 5 6 3 3 3" xfId="19840"/>
    <cellStyle name="Normal 5 6 3 3 3 2" xfId="39518"/>
    <cellStyle name="Normal 5 6 3 3 4" xfId="27202"/>
    <cellStyle name="Normal 5 6 3 4" xfId="10622"/>
    <cellStyle name="Normal 5 6 3 4 2" xfId="30300"/>
    <cellStyle name="Normal 5 6 3 5" xfId="16774"/>
    <cellStyle name="Normal 5 6 3 5 2" xfId="36452"/>
    <cellStyle name="Normal 5 6 3 6" xfId="24136"/>
    <cellStyle name="Normal 5 6 4" xfId="5160"/>
    <cellStyle name="Normal 5 6 4 2" xfId="8260"/>
    <cellStyle name="Normal 5 6 4 2 2" xfId="14453"/>
    <cellStyle name="Normal 5 6 4 2 2 2" xfId="34131"/>
    <cellStyle name="Normal 5 6 4 2 3" xfId="20605"/>
    <cellStyle name="Normal 5 6 4 2 3 2" xfId="40283"/>
    <cellStyle name="Normal 5 6 4 2 4" xfId="27967"/>
    <cellStyle name="Normal 5 6 4 3" xfId="11387"/>
    <cellStyle name="Normal 5 6 4 3 2" xfId="31065"/>
    <cellStyle name="Normal 5 6 4 4" xfId="17539"/>
    <cellStyle name="Normal 5 6 4 4 2" xfId="37217"/>
    <cellStyle name="Normal 5 6 4 5" xfId="24901"/>
    <cellStyle name="Normal 5 6 5" xfId="6725"/>
    <cellStyle name="Normal 5 6 5 2" xfId="12919"/>
    <cellStyle name="Normal 5 6 5 2 2" xfId="32597"/>
    <cellStyle name="Normal 5 6 5 3" xfId="19071"/>
    <cellStyle name="Normal 5 6 5 3 2" xfId="38749"/>
    <cellStyle name="Normal 5 6 5 4" xfId="26433"/>
    <cellStyle name="Normal 5 6 6" xfId="9853"/>
    <cellStyle name="Normal 5 6 6 2" xfId="29531"/>
    <cellStyle name="Normal 5 6 7" xfId="16005"/>
    <cellStyle name="Normal 5 6 7 2" xfId="35683"/>
    <cellStyle name="Normal 5 6 8" xfId="23340"/>
    <cellStyle name="Normal 5 6 9" xfId="41606"/>
    <cellStyle name="Normal 5 7" xfId="3125"/>
    <cellStyle name="Normal 5 7 10" xfId="21908"/>
    <cellStyle name="Normal 5 7 2" xfId="3126"/>
    <cellStyle name="Normal 5 7 2 2" xfId="23343"/>
    <cellStyle name="Normal 5 7 2 3" xfId="22425"/>
    <cellStyle name="Normal 5 7 3" xfId="4319"/>
    <cellStyle name="Normal 5 7 3 2" xfId="5944"/>
    <cellStyle name="Normal 5 7 3 2 2" xfId="9030"/>
    <cellStyle name="Normal 5 7 3 2 2 2" xfId="15223"/>
    <cellStyle name="Normal 5 7 3 2 2 2 2" xfId="34901"/>
    <cellStyle name="Normal 5 7 3 2 2 3" xfId="21375"/>
    <cellStyle name="Normal 5 7 3 2 2 3 2" xfId="41053"/>
    <cellStyle name="Normal 5 7 3 2 2 4" xfId="28737"/>
    <cellStyle name="Normal 5 7 3 2 3" xfId="12157"/>
    <cellStyle name="Normal 5 7 3 2 3 2" xfId="31835"/>
    <cellStyle name="Normal 5 7 3 2 4" xfId="18309"/>
    <cellStyle name="Normal 5 7 3 2 4 2" xfId="37987"/>
    <cellStyle name="Normal 5 7 3 2 5" xfId="25671"/>
    <cellStyle name="Normal 5 7 3 3" xfId="7495"/>
    <cellStyle name="Normal 5 7 3 3 2" xfId="13689"/>
    <cellStyle name="Normal 5 7 3 3 2 2" xfId="33367"/>
    <cellStyle name="Normal 5 7 3 3 3" xfId="19841"/>
    <cellStyle name="Normal 5 7 3 3 3 2" xfId="39519"/>
    <cellStyle name="Normal 5 7 3 3 4" xfId="27203"/>
    <cellStyle name="Normal 5 7 3 4" xfId="10623"/>
    <cellStyle name="Normal 5 7 3 4 2" xfId="30301"/>
    <cellStyle name="Normal 5 7 3 5" xfId="16775"/>
    <cellStyle name="Normal 5 7 3 5 2" xfId="36453"/>
    <cellStyle name="Normal 5 7 3 6" xfId="24137"/>
    <cellStyle name="Normal 5 7 4" xfId="5161"/>
    <cellStyle name="Normal 5 7 4 2" xfId="8261"/>
    <cellStyle name="Normal 5 7 4 2 2" xfId="14454"/>
    <cellStyle name="Normal 5 7 4 2 2 2" xfId="34132"/>
    <cellStyle name="Normal 5 7 4 2 3" xfId="20606"/>
    <cellStyle name="Normal 5 7 4 2 3 2" xfId="40284"/>
    <cellStyle name="Normal 5 7 4 2 4" xfId="27968"/>
    <cellStyle name="Normal 5 7 4 3" xfId="11388"/>
    <cellStyle name="Normal 5 7 4 3 2" xfId="31066"/>
    <cellStyle name="Normal 5 7 4 4" xfId="17540"/>
    <cellStyle name="Normal 5 7 4 4 2" xfId="37218"/>
    <cellStyle name="Normal 5 7 4 5" xfId="24902"/>
    <cellStyle name="Normal 5 7 5" xfId="6726"/>
    <cellStyle name="Normal 5 7 5 2" xfId="12920"/>
    <cellStyle name="Normal 5 7 5 2 2" xfId="32598"/>
    <cellStyle name="Normal 5 7 5 3" xfId="19072"/>
    <cellStyle name="Normal 5 7 5 3 2" xfId="38750"/>
    <cellStyle name="Normal 5 7 5 4" xfId="26434"/>
    <cellStyle name="Normal 5 7 6" xfId="9854"/>
    <cellStyle name="Normal 5 7 6 2" xfId="29532"/>
    <cellStyle name="Normal 5 7 7" xfId="16006"/>
    <cellStyle name="Normal 5 7 7 2" xfId="35684"/>
    <cellStyle name="Normal 5 7 8" xfId="23342"/>
    <cellStyle name="Normal 5 7 9" xfId="41609"/>
    <cellStyle name="Normal 5 8" xfId="3127"/>
    <cellStyle name="Normal 5 8 2" xfId="22428"/>
    <cellStyle name="Normal 5 8 3" xfId="23344"/>
    <cellStyle name="Normal 5 8 4" xfId="41428"/>
    <cellStyle name="Normal 5 8 5" xfId="41612"/>
    <cellStyle name="Normal 5 8 6" xfId="21921"/>
    <cellStyle name="Normal 5 9" xfId="3128"/>
    <cellStyle name="Normal 5 9 2" xfId="22431"/>
    <cellStyle name="Normal 5 9 3" xfId="23345"/>
    <cellStyle name="Normal 5 9 4" xfId="41375"/>
    <cellStyle name="Normal 5 9 5" xfId="41615"/>
    <cellStyle name="Normal 5 9 6" xfId="21933"/>
    <cellStyle name="Normal 5_GRCW" xfId="65"/>
    <cellStyle name="Normal 50" xfId="374"/>
    <cellStyle name="Normal 50 2" xfId="3827"/>
    <cellStyle name="Normal 50 2 2" xfId="5452"/>
    <cellStyle name="Normal 50 2 2 2" xfId="8538"/>
    <cellStyle name="Normal 50 2 2 2 2" xfId="14731"/>
    <cellStyle name="Normal 50 2 2 2 2 2" xfId="34409"/>
    <cellStyle name="Normal 50 2 2 2 3" xfId="20883"/>
    <cellStyle name="Normal 50 2 2 2 3 2" xfId="40561"/>
    <cellStyle name="Normal 50 2 2 2 4" xfId="28245"/>
    <cellStyle name="Normal 50 2 2 3" xfId="11665"/>
    <cellStyle name="Normal 50 2 2 3 2" xfId="31343"/>
    <cellStyle name="Normal 50 2 2 4" xfId="17817"/>
    <cellStyle name="Normal 50 2 2 4 2" xfId="37495"/>
    <cellStyle name="Normal 50 2 2 5" xfId="25179"/>
    <cellStyle name="Normal 50 2 3" xfId="7003"/>
    <cellStyle name="Normal 50 2 3 2" xfId="13197"/>
    <cellStyle name="Normal 50 2 3 2 2" xfId="32875"/>
    <cellStyle name="Normal 50 2 3 3" xfId="19349"/>
    <cellStyle name="Normal 50 2 3 3 2" xfId="39027"/>
    <cellStyle name="Normal 50 2 3 4" xfId="26711"/>
    <cellStyle name="Normal 50 2 4" xfId="10131"/>
    <cellStyle name="Normal 50 2 4 2" xfId="29809"/>
    <cellStyle name="Normal 50 2 5" xfId="16283"/>
    <cellStyle name="Normal 50 2 5 2" xfId="35961"/>
    <cellStyle name="Normal 50 2 6" xfId="23645"/>
    <cellStyle name="Normal 50 3" xfId="4666"/>
    <cellStyle name="Normal 50 3 2" xfId="7769"/>
    <cellStyle name="Normal 50 3 2 2" xfId="13962"/>
    <cellStyle name="Normal 50 3 2 2 2" xfId="33640"/>
    <cellStyle name="Normal 50 3 2 3" xfId="20114"/>
    <cellStyle name="Normal 50 3 2 3 2" xfId="39792"/>
    <cellStyle name="Normal 50 3 2 4" xfId="27476"/>
    <cellStyle name="Normal 50 3 3" xfId="10896"/>
    <cellStyle name="Normal 50 3 3 2" xfId="30574"/>
    <cellStyle name="Normal 50 3 4" xfId="17048"/>
    <cellStyle name="Normal 50 3 4 2" xfId="36726"/>
    <cellStyle name="Normal 50 3 5" xfId="24410"/>
    <cellStyle name="Normal 50 4" xfId="6234"/>
    <cellStyle name="Normal 50 4 2" xfId="12428"/>
    <cellStyle name="Normal 50 4 2 2" xfId="32106"/>
    <cellStyle name="Normal 50 4 3" xfId="18580"/>
    <cellStyle name="Normal 50 4 3 2" xfId="38258"/>
    <cellStyle name="Normal 50 4 4" xfId="25942"/>
    <cellStyle name="Normal 50 5" xfId="9362"/>
    <cellStyle name="Normal 50 5 2" xfId="29040"/>
    <cellStyle name="Normal 50 6" xfId="15514"/>
    <cellStyle name="Normal 50 6 2" xfId="35192"/>
    <cellStyle name="Normal 50 7" xfId="22757"/>
    <cellStyle name="Normal 51" xfId="3791"/>
    <cellStyle name="Normal 51 2" xfId="3802"/>
    <cellStyle name="Normal 51 3" xfId="5423"/>
    <cellStyle name="Normal 51 3 2" xfId="8509"/>
    <cellStyle name="Normal 51 3 2 2" xfId="14702"/>
    <cellStyle name="Normal 51 3 2 2 2" xfId="34380"/>
    <cellStyle name="Normal 51 3 2 3" xfId="20854"/>
    <cellStyle name="Normal 51 3 2 3 2" xfId="40532"/>
    <cellStyle name="Normal 51 3 2 4" xfId="28216"/>
    <cellStyle name="Normal 51 3 3" xfId="11636"/>
    <cellStyle name="Normal 51 3 3 2" xfId="31314"/>
    <cellStyle name="Normal 51 3 4" xfId="17788"/>
    <cellStyle name="Normal 51 3 4 2" xfId="37466"/>
    <cellStyle name="Normal 51 3 5" xfId="25150"/>
    <cellStyle name="Normal 51 4" xfId="6974"/>
    <cellStyle name="Normal 51 4 2" xfId="13168"/>
    <cellStyle name="Normal 51 4 2 2" xfId="32846"/>
    <cellStyle name="Normal 51 4 3" xfId="19320"/>
    <cellStyle name="Normal 51 4 3 2" xfId="38998"/>
    <cellStyle name="Normal 51 4 4" xfId="26682"/>
    <cellStyle name="Normal 51 5" xfId="10102"/>
    <cellStyle name="Normal 51 5 2" xfId="29780"/>
    <cellStyle name="Normal 51 6" xfId="16254"/>
    <cellStyle name="Normal 51 6 2" xfId="35932"/>
    <cellStyle name="Normal 51 7" xfId="23616"/>
    <cellStyle name="Normal 52" xfId="4639"/>
    <cellStyle name="Normal 52 2" xfId="7743"/>
    <cellStyle name="Normal 52 2 2" xfId="13937"/>
    <cellStyle name="Normal 52 2 2 2" xfId="33615"/>
    <cellStyle name="Normal 52 2 3" xfId="20089"/>
    <cellStyle name="Normal 52 2 3 2" xfId="39767"/>
    <cellStyle name="Normal 52 2 4" xfId="27451"/>
    <cellStyle name="Normal 52 3" xfId="10871"/>
    <cellStyle name="Normal 52 3 2" xfId="30549"/>
    <cellStyle name="Normal 52 4" xfId="17023"/>
    <cellStyle name="Normal 52 4 2" xfId="36701"/>
    <cellStyle name="Normal 52 5" xfId="24385"/>
    <cellStyle name="Normal 53" xfId="6205"/>
    <cellStyle name="Normal 54" xfId="6204"/>
    <cellStyle name="Normal 54 2" xfId="12405"/>
    <cellStyle name="Normal 54 2 2" xfId="32083"/>
    <cellStyle name="Normal 54 3" xfId="18557"/>
    <cellStyle name="Normal 54 3 2" xfId="38235"/>
    <cellStyle name="Normal 54 4" xfId="25919"/>
    <cellStyle name="Normal 55" xfId="9281"/>
    <cellStyle name="Normal 56" xfId="9333"/>
    <cellStyle name="Normal 57" xfId="9332"/>
    <cellStyle name="Normal 57 2" xfId="29017"/>
    <cellStyle name="Normal 58" xfId="214"/>
    <cellStyle name="Normal 59" xfId="22676"/>
    <cellStyle name="Normal 6" xfId="7"/>
    <cellStyle name="Normal 6 2" xfId="79"/>
    <cellStyle name="Normal 6 2 2" xfId="3130"/>
    <cellStyle name="Normal 6 2 3" xfId="42025"/>
    <cellStyle name="Normal 6 3" xfId="3131"/>
    <cellStyle name="Normal 6 3 2" xfId="42026"/>
    <cellStyle name="Normal 6 4" xfId="3132"/>
    <cellStyle name="Normal 6 4 2" xfId="42027"/>
    <cellStyle name="Normal 6 5" xfId="3133"/>
    <cellStyle name="Normal 6 5 2" xfId="3134"/>
    <cellStyle name="Normal 6 5 3" xfId="42028"/>
    <cellStyle name="Normal 6 6" xfId="3135"/>
    <cellStyle name="Normal 6 6 2" xfId="3136"/>
    <cellStyle name="Normal 6 7" xfId="3684"/>
    <cellStyle name="Normal 6 8" xfId="3129"/>
    <cellStyle name="Normal 6 9" xfId="42079"/>
    <cellStyle name="Normal 60" xfId="42070"/>
    <cellStyle name="Normal 7" xfId="46"/>
    <cellStyle name="Normal 7 10" xfId="3138"/>
    <cellStyle name="Normal 7 10 2" xfId="4321"/>
    <cellStyle name="Normal 7 10 2 2" xfId="5946"/>
    <cellStyle name="Normal 7 10 2 2 2" xfId="9032"/>
    <cellStyle name="Normal 7 10 2 2 2 2" xfId="15225"/>
    <cellStyle name="Normal 7 10 2 2 2 2 2" xfId="34903"/>
    <cellStyle name="Normal 7 10 2 2 2 3" xfId="21377"/>
    <cellStyle name="Normal 7 10 2 2 2 3 2" xfId="41055"/>
    <cellStyle name="Normal 7 10 2 2 2 4" xfId="28739"/>
    <cellStyle name="Normal 7 10 2 2 3" xfId="12159"/>
    <cellStyle name="Normal 7 10 2 2 3 2" xfId="31837"/>
    <cellStyle name="Normal 7 10 2 2 4" xfId="18311"/>
    <cellStyle name="Normal 7 10 2 2 4 2" xfId="37989"/>
    <cellStyle name="Normal 7 10 2 2 5" xfId="25673"/>
    <cellStyle name="Normal 7 10 2 3" xfId="7497"/>
    <cellStyle name="Normal 7 10 2 3 2" xfId="13691"/>
    <cellStyle name="Normal 7 10 2 3 2 2" xfId="33369"/>
    <cellStyle name="Normal 7 10 2 3 3" xfId="19843"/>
    <cellStyle name="Normal 7 10 2 3 3 2" xfId="39521"/>
    <cellStyle name="Normal 7 10 2 3 4" xfId="27205"/>
    <cellStyle name="Normal 7 10 2 4" xfId="10625"/>
    <cellStyle name="Normal 7 10 2 4 2" xfId="30303"/>
    <cellStyle name="Normal 7 10 2 5" xfId="16777"/>
    <cellStyle name="Normal 7 10 2 5 2" xfId="36455"/>
    <cellStyle name="Normal 7 10 2 6" xfId="24139"/>
    <cellStyle name="Normal 7 10 3" xfId="5163"/>
    <cellStyle name="Normal 7 10 3 2" xfId="8263"/>
    <cellStyle name="Normal 7 10 3 2 2" xfId="14456"/>
    <cellStyle name="Normal 7 10 3 2 2 2" xfId="34134"/>
    <cellStyle name="Normal 7 10 3 2 3" xfId="20608"/>
    <cellStyle name="Normal 7 10 3 2 3 2" xfId="40286"/>
    <cellStyle name="Normal 7 10 3 2 4" xfId="27970"/>
    <cellStyle name="Normal 7 10 3 3" xfId="11390"/>
    <cellStyle name="Normal 7 10 3 3 2" xfId="31068"/>
    <cellStyle name="Normal 7 10 3 4" xfId="17542"/>
    <cellStyle name="Normal 7 10 3 4 2" xfId="37220"/>
    <cellStyle name="Normal 7 10 3 5" xfId="24904"/>
    <cellStyle name="Normal 7 10 4" xfId="6728"/>
    <cellStyle name="Normal 7 10 4 2" xfId="12922"/>
    <cellStyle name="Normal 7 10 4 2 2" xfId="32600"/>
    <cellStyle name="Normal 7 10 4 3" xfId="19074"/>
    <cellStyle name="Normal 7 10 4 3 2" xfId="38752"/>
    <cellStyle name="Normal 7 10 4 4" xfId="26436"/>
    <cellStyle name="Normal 7 10 5" xfId="9856"/>
    <cellStyle name="Normal 7 10 5 2" xfId="29534"/>
    <cellStyle name="Normal 7 10 6" xfId="16008"/>
    <cellStyle name="Normal 7 10 6 2" xfId="35686"/>
    <cellStyle name="Normal 7 10 7" xfId="23347"/>
    <cellStyle name="Normal 7 11" xfId="3139"/>
    <cellStyle name="Normal 7 11 2" xfId="4322"/>
    <cellStyle name="Normal 7 11 2 2" xfId="5947"/>
    <cellStyle name="Normal 7 11 2 2 2" xfId="9033"/>
    <cellStyle name="Normal 7 11 2 2 2 2" xfId="15226"/>
    <cellStyle name="Normal 7 11 2 2 2 2 2" xfId="34904"/>
    <cellStyle name="Normal 7 11 2 2 2 3" xfId="21378"/>
    <cellStyle name="Normal 7 11 2 2 2 3 2" xfId="41056"/>
    <cellStyle name="Normal 7 11 2 2 2 4" xfId="28740"/>
    <cellStyle name="Normal 7 11 2 2 3" xfId="12160"/>
    <cellStyle name="Normal 7 11 2 2 3 2" xfId="31838"/>
    <cellStyle name="Normal 7 11 2 2 4" xfId="18312"/>
    <cellStyle name="Normal 7 11 2 2 4 2" xfId="37990"/>
    <cellStyle name="Normal 7 11 2 2 5" xfId="25674"/>
    <cellStyle name="Normal 7 11 2 3" xfId="7498"/>
    <cellStyle name="Normal 7 11 2 3 2" xfId="13692"/>
    <cellStyle name="Normal 7 11 2 3 2 2" xfId="33370"/>
    <cellStyle name="Normal 7 11 2 3 3" xfId="19844"/>
    <cellStyle name="Normal 7 11 2 3 3 2" xfId="39522"/>
    <cellStyle name="Normal 7 11 2 3 4" xfId="27206"/>
    <cellStyle name="Normal 7 11 2 4" xfId="10626"/>
    <cellStyle name="Normal 7 11 2 4 2" xfId="30304"/>
    <cellStyle name="Normal 7 11 2 5" xfId="16778"/>
    <cellStyle name="Normal 7 11 2 5 2" xfId="36456"/>
    <cellStyle name="Normal 7 11 2 6" xfId="24140"/>
    <cellStyle name="Normal 7 11 3" xfId="5164"/>
    <cellStyle name="Normal 7 11 3 2" xfId="8264"/>
    <cellStyle name="Normal 7 11 3 2 2" xfId="14457"/>
    <cellStyle name="Normal 7 11 3 2 2 2" xfId="34135"/>
    <cellStyle name="Normal 7 11 3 2 3" xfId="20609"/>
    <cellStyle name="Normal 7 11 3 2 3 2" xfId="40287"/>
    <cellStyle name="Normal 7 11 3 2 4" xfId="27971"/>
    <cellStyle name="Normal 7 11 3 3" xfId="11391"/>
    <cellStyle name="Normal 7 11 3 3 2" xfId="31069"/>
    <cellStyle name="Normal 7 11 3 4" xfId="17543"/>
    <cellStyle name="Normal 7 11 3 4 2" xfId="37221"/>
    <cellStyle name="Normal 7 11 3 5" xfId="24905"/>
    <cellStyle name="Normal 7 11 4" xfId="6729"/>
    <cellStyle name="Normal 7 11 4 2" xfId="12923"/>
    <cellStyle name="Normal 7 11 4 2 2" xfId="32601"/>
    <cellStyle name="Normal 7 11 4 3" xfId="19075"/>
    <cellStyle name="Normal 7 11 4 3 2" xfId="38753"/>
    <cellStyle name="Normal 7 11 4 4" xfId="26437"/>
    <cellStyle name="Normal 7 11 5" xfId="9857"/>
    <cellStyle name="Normal 7 11 5 2" xfId="29535"/>
    <cellStyle name="Normal 7 11 6" xfId="16009"/>
    <cellStyle name="Normal 7 11 6 2" xfId="35687"/>
    <cellStyle name="Normal 7 11 7" xfId="23348"/>
    <cellStyle name="Normal 7 12" xfId="3140"/>
    <cellStyle name="Normal 7 12 2" xfId="4323"/>
    <cellStyle name="Normal 7 12 2 2" xfId="5948"/>
    <cellStyle name="Normal 7 12 2 2 2" xfId="9034"/>
    <cellStyle name="Normal 7 12 2 2 2 2" xfId="15227"/>
    <cellStyle name="Normal 7 12 2 2 2 2 2" xfId="34905"/>
    <cellStyle name="Normal 7 12 2 2 2 3" xfId="21379"/>
    <cellStyle name="Normal 7 12 2 2 2 3 2" xfId="41057"/>
    <cellStyle name="Normal 7 12 2 2 2 4" xfId="28741"/>
    <cellStyle name="Normal 7 12 2 2 3" xfId="12161"/>
    <cellStyle name="Normal 7 12 2 2 3 2" xfId="31839"/>
    <cellStyle name="Normal 7 12 2 2 4" xfId="18313"/>
    <cellStyle name="Normal 7 12 2 2 4 2" xfId="37991"/>
    <cellStyle name="Normal 7 12 2 2 5" xfId="25675"/>
    <cellStyle name="Normal 7 12 2 3" xfId="7499"/>
    <cellStyle name="Normal 7 12 2 3 2" xfId="13693"/>
    <cellStyle name="Normal 7 12 2 3 2 2" xfId="33371"/>
    <cellStyle name="Normal 7 12 2 3 3" xfId="19845"/>
    <cellStyle name="Normal 7 12 2 3 3 2" xfId="39523"/>
    <cellStyle name="Normal 7 12 2 3 4" xfId="27207"/>
    <cellStyle name="Normal 7 12 2 4" xfId="10627"/>
    <cellStyle name="Normal 7 12 2 4 2" xfId="30305"/>
    <cellStyle name="Normal 7 12 2 5" xfId="16779"/>
    <cellStyle name="Normal 7 12 2 5 2" xfId="36457"/>
    <cellStyle name="Normal 7 12 2 6" xfId="24141"/>
    <cellStyle name="Normal 7 12 3" xfId="5165"/>
    <cellStyle name="Normal 7 12 3 2" xfId="8265"/>
    <cellStyle name="Normal 7 12 3 2 2" xfId="14458"/>
    <cellStyle name="Normal 7 12 3 2 2 2" xfId="34136"/>
    <cellStyle name="Normal 7 12 3 2 3" xfId="20610"/>
    <cellStyle name="Normal 7 12 3 2 3 2" xfId="40288"/>
    <cellStyle name="Normal 7 12 3 2 4" xfId="27972"/>
    <cellStyle name="Normal 7 12 3 3" xfId="11392"/>
    <cellStyle name="Normal 7 12 3 3 2" xfId="31070"/>
    <cellStyle name="Normal 7 12 3 4" xfId="17544"/>
    <cellStyle name="Normal 7 12 3 4 2" xfId="37222"/>
    <cellStyle name="Normal 7 12 3 5" xfId="24906"/>
    <cellStyle name="Normal 7 12 4" xfId="6730"/>
    <cellStyle name="Normal 7 12 4 2" xfId="12924"/>
    <cellStyle name="Normal 7 12 4 2 2" xfId="32602"/>
    <cellStyle name="Normal 7 12 4 3" xfId="19076"/>
    <cellStyle name="Normal 7 12 4 3 2" xfId="38754"/>
    <cellStyle name="Normal 7 12 4 4" xfId="26438"/>
    <cellStyle name="Normal 7 12 5" xfId="9858"/>
    <cellStyle name="Normal 7 12 5 2" xfId="29536"/>
    <cellStyle name="Normal 7 12 6" xfId="16010"/>
    <cellStyle name="Normal 7 12 6 2" xfId="35688"/>
    <cellStyle name="Normal 7 12 7" xfId="23349"/>
    <cellStyle name="Normal 7 13" xfId="3141"/>
    <cellStyle name="Normal 7 13 2" xfId="4324"/>
    <cellStyle name="Normal 7 13 2 2" xfId="5949"/>
    <cellStyle name="Normal 7 13 2 2 2" xfId="9035"/>
    <cellStyle name="Normal 7 13 2 2 2 2" xfId="15228"/>
    <cellStyle name="Normal 7 13 2 2 2 2 2" xfId="34906"/>
    <cellStyle name="Normal 7 13 2 2 2 3" xfId="21380"/>
    <cellStyle name="Normal 7 13 2 2 2 3 2" xfId="41058"/>
    <cellStyle name="Normal 7 13 2 2 2 4" xfId="28742"/>
    <cellStyle name="Normal 7 13 2 2 3" xfId="12162"/>
    <cellStyle name="Normal 7 13 2 2 3 2" xfId="31840"/>
    <cellStyle name="Normal 7 13 2 2 4" xfId="18314"/>
    <cellStyle name="Normal 7 13 2 2 4 2" xfId="37992"/>
    <cellStyle name="Normal 7 13 2 2 5" xfId="25676"/>
    <cellStyle name="Normal 7 13 2 3" xfId="7500"/>
    <cellStyle name="Normal 7 13 2 3 2" xfId="13694"/>
    <cellStyle name="Normal 7 13 2 3 2 2" xfId="33372"/>
    <cellStyle name="Normal 7 13 2 3 3" xfId="19846"/>
    <cellStyle name="Normal 7 13 2 3 3 2" xfId="39524"/>
    <cellStyle name="Normal 7 13 2 3 4" xfId="27208"/>
    <cellStyle name="Normal 7 13 2 4" xfId="10628"/>
    <cellStyle name="Normal 7 13 2 4 2" xfId="30306"/>
    <cellStyle name="Normal 7 13 2 5" xfId="16780"/>
    <cellStyle name="Normal 7 13 2 5 2" xfId="36458"/>
    <cellStyle name="Normal 7 13 2 6" xfId="24142"/>
    <cellStyle name="Normal 7 13 3" xfId="5166"/>
    <cellStyle name="Normal 7 13 3 2" xfId="8266"/>
    <cellStyle name="Normal 7 13 3 2 2" xfId="14459"/>
    <cellStyle name="Normal 7 13 3 2 2 2" xfId="34137"/>
    <cellStyle name="Normal 7 13 3 2 3" xfId="20611"/>
    <cellStyle name="Normal 7 13 3 2 3 2" xfId="40289"/>
    <cellStyle name="Normal 7 13 3 2 4" xfId="27973"/>
    <cellStyle name="Normal 7 13 3 3" xfId="11393"/>
    <cellStyle name="Normal 7 13 3 3 2" xfId="31071"/>
    <cellStyle name="Normal 7 13 3 4" xfId="17545"/>
    <cellStyle name="Normal 7 13 3 4 2" xfId="37223"/>
    <cellStyle name="Normal 7 13 3 5" xfId="24907"/>
    <cellStyle name="Normal 7 13 4" xfId="6731"/>
    <cellStyle name="Normal 7 13 4 2" xfId="12925"/>
    <cellStyle name="Normal 7 13 4 2 2" xfId="32603"/>
    <cellStyle name="Normal 7 13 4 3" xfId="19077"/>
    <cellStyle name="Normal 7 13 4 3 2" xfId="38755"/>
    <cellStyle name="Normal 7 13 4 4" xfId="26439"/>
    <cellStyle name="Normal 7 13 5" xfId="9859"/>
    <cellStyle name="Normal 7 13 5 2" xfId="29537"/>
    <cellStyle name="Normal 7 13 6" xfId="16011"/>
    <cellStyle name="Normal 7 13 6 2" xfId="35689"/>
    <cellStyle name="Normal 7 13 7" xfId="23350"/>
    <cellStyle name="Normal 7 14" xfId="3142"/>
    <cellStyle name="Normal 7 14 2" xfId="4325"/>
    <cellStyle name="Normal 7 14 2 2" xfId="5950"/>
    <cellStyle name="Normal 7 14 2 2 2" xfId="9036"/>
    <cellStyle name="Normal 7 14 2 2 2 2" xfId="15229"/>
    <cellStyle name="Normal 7 14 2 2 2 2 2" xfId="34907"/>
    <cellStyle name="Normal 7 14 2 2 2 3" xfId="21381"/>
    <cellStyle name="Normal 7 14 2 2 2 3 2" xfId="41059"/>
    <cellStyle name="Normal 7 14 2 2 2 4" xfId="28743"/>
    <cellStyle name="Normal 7 14 2 2 3" xfId="12163"/>
    <cellStyle name="Normal 7 14 2 2 3 2" xfId="31841"/>
    <cellStyle name="Normal 7 14 2 2 4" xfId="18315"/>
    <cellStyle name="Normal 7 14 2 2 4 2" xfId="37993"/>
    <cellStyle name="Normal 7 14 2 2 5" xfId="25677"/>
    <cellStyle name="Normal 7 14 2 3" xfId="7501"/>
    <cellStyle name="Normal 7 14 2 3 2" xfId="13695"/>
    <cellStyle name="Normal 7 14 2 3 2 2" xfId="33373"/>
    <cellStyle name="Normal 7 14 2 3 3" xfId="19847"/>
    <cellStyle name="Normal 7 14 2 3 3 2" xfId="39525"/>
    <cellStyle name="Normal 7 14 2 3 4" xfId="27209"/>
    <cellStyle name="Normal 7 14 2 4" xfId="10629"/>
    <cellStyle name="Normal 7 14 2 4 2" xfId="30307"/>
    <cellStyle name="Normal 7 14 2 5" xfId="16781"/>
    <cellStyle name="Normal 7 14 2 5 2" xfId="36459"/>
    <cellStyle name="Normal 7 14 2 6" xfId="24143"/>
    <cellStyle name="Normal 7 14 3" xfId="5167"/>
    <cellStyle name="Normal 7 14 3 2" xfId="8267"/>
    <cellStyle name="Normal 7 14 3 2 2" xfId="14460"/>
    <cellStyle name="Normal 7 14 3 2 2 2" xfId="34138"/>
    <cellStyle name="Normal 7 14 3 2 3" xfId="20612"/>
    <cellStyle name="Normal 7 14 3 2 3 2" xfId="40290"/>
    <cellStyle name="Normal 7 14 3 2 4" xfId="27974"/>
    <cellStyle name="Normal 7 14 3 3" xfId="11394"/>
    <cellStyle name="Normal 7 14 3 3 2" xfId="31072"/>
    <cellStyle name="Normal 7 14 3 4" xfId="17546"/>
    <cellStyle name="Normal 7 14 3 4 2" xfId="37224"/>
    <cellStyle name="Normal 7 14 3 5" xfId="24908"/>
    <cellStyle name="Normal 7 14 4" xfId="6732"/>
    <cellStyle name="Normal 7 14 4 2" xfId="12926"/>
    <cellStyle name="Normal 7 14 4 2 2" xfId="32604"/>
    <cellStyle name="Normal 7 14 4 3" xfId="19078"/>
    <cellStyle name="Normal 7 14 4 3 2" xfId="38756"/>
    <cellStyle name="Normal 7 14 4 4" xfId="26440"/>
    <cellStyle name="Normal 7 14 5" xfId="9860"/>
    <cellStyle name="Normal 7 14 5 2" xfId="29538"/>
    <cellStyle name="Normal 7 14 6" xfId="16012"/>
    <cellStyle name="Normal 7 14 6 2" xfId="35690"/>
    <cellStyle name="Normal 7 14 7" xfId="23351"/>
    <cellStyle name="Normal 7 15" xfId="3143"/>
    <cellStyle name="Normal 7 15 2" xfId="4326"/>
    <cellStyle name="Normal 7 15 2 2" xfId="5951"/>
    <cellStyle name="Normal 7 15 2 2 2" xfId="9037"/>
    <cellStyle name="Normal 7 15 2 2 2 2" xfId="15230"/>
    <cellStyle name="Normal 7 15 2 2 2 2 2" xfId="34908"/>
    <cellStyle name="Normal 7 15 2 2 2 3" xfId="21382"/>
    <cellStyle name="Normal 7 15 2 2 2 3 2" xfId="41060"/>
    <cellStyle name="Normal 7 15 2 2 2 4" xfId="28744"/>
    <cellStyle name="Normal 7 15 2 2 3" xfId="12164"/>
    <cellStyle name="Normal 7 15 2 2 3 2" xfId="31842"/>
    <cellStyle name="Normal 7 15 2 2 4" xfId="18316"/>
    <cellStyle name="Normal 7 15 2 2 4 2" xfId="37994"/>
    <cellStyle name="Normal 7 15 2 2 5" xfId="25678"/>
    <cellStyle name="Normal 7 15 2 3" xfId="7502"/>
    <cellStyle name="Normal 7 15 2 3 2" xfId="13696"/>
    <cellStyle name="Normal 7 15 2 3 2 2" xfId="33374"/>
    <cellStyle name="Normal 7 15 2 3 3" xfId="19848"/>
    <cellStyle name="Normal 7 15 2 3 3 2" xfId="39526"/>
    <cellStyle name="Normal 7 15 2 3 4" xfId="27210"/>
    <cellStyle name="Normal 7 15 2 4" xfId="10630"/>
    <cellStyle name="Normal 7 15 2 4 2" xfId="30308"/>
    <cellStyle name="Normal 7 15 2 5" xfId="16782"/>
    <cellStyle name="Normal 7 15 2 5 2" xfId="36460"/>
    <cellStyle name="Normal 7 15 2 6" xfId="24144"/>
    <cellStyle name="Normal 7 15 3" xfId="5168"/>
    <cellStyle name="Normal 7 15 3 2" xfId="8268"/>
    <cellStyle name="Normal 7 15 3 2 2" xfId="14461"/>
    <cellStyle name="Normal 7 15 3 2 2 2" xfId="34139"/>
    <cellStyle name="Normal 7 15 3 2 3" xfId="20613"/>
    <cellStyle name="Normal 7 15 3 2 3 2" xfId="40291"/>
    <cellStyle name="Normal 7 15 3 2 4" xfId="27975"/>
    <cellStyle name="Normal 7 15 3 3" xfId="11395"/>
    <cellStyle name="Normal 7 15 3 3 2" xfId="31073"/>
    <cellStyle name="Normal 7 15 3 4" xfId="17547"/>
    <cellStyle name="Normal 7 15 3 4 2" xfId="37225"/>
    <cellStyle name="Normal 7 15 3 5" xfId="24909"/>
    <cellStyle name="Normal 7 15 4" xfId="6733"/>
    <cellStyle name="Normal 7 15 4 2" xfId="12927"/>
    <cellStyle name="Normal 7 15 4 2 2" xfId="32605"/>
    <cellStyle name="Normal 7 15 4 3" xfId="19079"/>
    <cellStyle name="Normal 7 15 4 3 2" xfId="38757"/>
    <cellStyle name="Normal 7 15 4 4" xfId="26441"/>
    <cellStyle name="Normal 7 15 5" xfId="9861"/>
    <cellStyle name="Normal 7 15 5 2" xfId="29539"/>
    <cellStyle name="Normal 7 15 6" xfId="16013"/>
    <cellStyle name="Normal 7 15 6 2" xfId="35691"/>
    <cellStyle name="Normal 7 15 7" xfId="23352"/>
    <cellStyle name="Normal 7 16" xfId="3144"/>
    <cellStyle name="Normal 7 16 2" xfId="4327"/>
    <cellStyle name="Normal 7 16 2 2" xfId="5952"/>
    <cellStyle name="Normal 7 16 2 2 2" xfId="9038"/>
    <cellStyle name="Normal 7 16 2 2 2 2" xfId="15231"/>
    <cellStyle name="Normal 7 16 2 2 2 2 2" xfId="34909"/>
    <cellStyle name="Normal 7 16 2 2 2 3" xfId="21383"/>
    <cellStyle name="Normal 7 16 2 2 2 3 2" xfId="41061"/>
    <cellStyle name="Normal 7 16 2 2 2 4" xfId="28745"/>
    <cellStyle name="Normal 7 16 2 2 3" xfId="12165"/>
    <cellStyle name="Normal 7 16 2 2 3 2" xfId="31843"/>
    <cellStyle name="Normal 7 16 2 2 4" xfId="18317"/>
    <cellStyle name="Normal 7 16 2 2 4 2" xfId="37995"/>
    <cellStyle name="Normal 7 16 2 2 5" xfId="25679"/>
    <cellStyle name="Normal 7 16 2 3" xfId="7503"/>
    <cellStyle name="Normal 7 16 2 3 2" xfId="13697"/>
    <cellStyle name="Normal 7 16 2 3 2 2" xfId="33375"/>
    <cellStyle name="Normal 7 16 2 3 3" xfId="19849"/>
    <cellStyle name="Normal 7 16 2 3 3 2" xfId="39527"/>
    <cellStyle name="Normal 7 16 2 3 4" xfId="27211"/>
    <cellStyle name="Normal 7 16 2 4" xfId="10631"/>
    <cellStyle name="Normal 7 16 2 4 2" xfId="30309"/>
    <cellStyle name="Normal 7 16 2 5" xfId="16783"/>
    <cellStyle name="Normal 7 16 2 5 2" xfId="36461"/>
    <cellStyle name="Normal 7 16 2 6" xfId="24145"/>
    <cellStyle name="Normal 7 16 3" xfId="5169"/>
    <cellStyle name="Normal 7 16 3 2" xfId="8269"/>
    <cellStyle name="Normal 7 16 3 2 2" xfId="14462"/>
    <cellStyle name="Normal 7 16 3 2 2 2" xfId="34140"/>
    <cellStyle name="Normal 7 16 3 2 3" xfId="20614"/>
    <cellStyle name="Normal 7 16 3 2 3 2" xfId="40292"/>
    <cellStyle name="Normal 7 16 3 2 4" xfId="27976"/>
    <cellStyle name="Normal 7 16 3 3" xfId="11396"/>
    <cellStyle name="Normal 7 16 3 3 2" xfId="31074"/>
    <cellStyle name="Normal 7 16 3 4" xfId="17548"/>
    <cellStyle name="Normal 7 16 3 4 2" xfId="37226"/>
    <cellStyle name="Normal 7 16 3 5" xfId="24910"/>
    <cellStyle name="Normal 7 16 4" xfId="6734"/>
    <cellStyle name="Normal 7 16 4 2" xfId="12928"/>
    <cellStyle name="Normal 7 16 4 2 2" xfId="32606"/>
    <cellStyle name="Normal 7 16 4 3" xfId="19080"/>
    <cellStyle name="Normal 7 16 4 3 2" xfId="38758"/>
    <cellStyle name="Normal 7 16 4 4" xfId="26442"/>
    <cellStyle name="Normal 7 16 5" xfId="9862"/>
    <cellStyle name="Normal 7 16 5 2" xfId="29540"/>
    <cellStyle name="Normal 7 16 6" xfId="16014"/>
    <cellStyle name="Normal 7 16 6 2" xfId="35692"/>
    <cellStyle name="Normal 7 16 7" xfId="23353"/>
    <cellStyle name="Normal 7 17" xfId="3145"/>
    <cellStyle name="Normal 7 17 2" xfId="4328"/>
    <cellStyle name="Normal 7 17 2 2" xfId="5953"/>
    <cellStyle name="Normal 7 17 2 2 2" xfId="9039"/>
    <cellStyle name="Normal 7 17 2 2 2 2" xfId="15232"/>
    <cellStyle name="Normal 7 17 2 2 2 2 2" xfId="34910"/>
    <cellStyle name="Normal 7 17 2 2 2 3" xfId="21384"/>
    <cellStyle name="Normal 7 17 2 2 2 3 2" xfId="41062"/>
    <cellStyle name="Normal 7 17 2 2 2 4" xfId="28746"/>
    <cellStyle name="Normal 7 17 2 2 3" xfId="12166"/>
    <cellStyle name="Normal 7 17 2 2 3 2" xfId="31844"/>
    <cellStyle name="Normal 7 17 2 2 4" xfId="18318"/>
    <cellStyle name="Normal 7 17 2 2 4 2" xfId="37996"/>
    <cellStyle name="Normal 7 17 2 2 5" xfId="25680"/>
    <cellStyle name="Normal 7 17 2 3" xfId="7504"/>
    <cellStyle name="Normal 7 17 2 3 2" xfId="13698"/>
    <cellStyle name="Normal 7 17 2 3 2 2" xfId="33376"/>
    <cellStyle name="Normal 7 17 2 3 3" xfId="19850"/>
    <cellStyle name="Normal 7 17 2 3 3 2" xfId="39528"/>
    <cellStyle name="Normal 7 17 2 3 4" xfId="27212"/>
    <cellStyle name="Normal 7 17 2 4" xfId="10632"/>
    <cellStyle name="Normal 7 17 2 4 2" xfId="30310"/>
    <cellStyle name="Normal 7 17 2 5" xfId="16784"/>
    <cellStyle name="Normal 7 17 2 5 2" xfId="36462"/>
    <cellStyle name="Normal 7 17 2 6" xfId="24146"/>
    <cellStyle name="Normal 7 17 3" xfId="5170"/>
    <cellStyle name="Normal 7 17 3 2" xfId="8270"/>
    <cellStyle name="Normal 7 17 3 2 2" xfId="14463"/>
    <cellStyle name="Normal 7 17 3 2 2 2" xfId="34141"/>
    <cellStyle name="Normal 7 17 3 2 3" xfId="20615"/>
    <cellStyle name="Normal 7 17 3 2 3 2" xfId="40293"/>
    <cellStyle name="Normal 7 17 3 2 4" xfId="27977"/>
    <cellStyle name="Normal 7 17 3 3" xfId="11397"/>
    <cellStyle name="Normal 7 17 3 3 2" xfId="31075"/>
    <cellStyle name="Normal 7 17 3 4" xfId="17549"/>
    <cellStyle name="Normal 7 17 3 4 2" xfId="37227"/>
    <cellStyle name="Normal 7 17 3 5" xfId="24911"/>
    <cellStyle name="Normal 7 17 4" xfId="6735"/>
    <cellStyle name="Normal 7 17 4 2" xfId="12929"/>
    <cellStyle name="Normal 7 17 4 2 2" xfId="32607"/>
    <cellStyle name="Normal 7 17 4 3" xfId="19081"/>
    <cellStyle name="Normal 7 17 4 3 2" xfId="38759"/>
    <cellStyle name="Normal 7 17 4 4" xfId="26443"/>
    <cellStyle name="Normal 7 17 5" xfId="9863"/>
    <cellStyle name="Normal 7 17 5 2" xfId="29541"/>
    <cellStyle name="Normal 7 17 6" xfId="16015"/>
    <cellStyle name="Normal 7 17 6 2" xfId="35693"/>
    <cellStyle name="Normal 7 17 7" xfId="23354"/>
    <cellStyle name="Normal 7 18" xfId="3146"/>
    <cellStyle name="Normal 7 18 2" xfId="4329"/>
    <cellStyle name="Normal 7 18 2 2" xfId="5954"/>
    <cellStyle name="Normal 7 18 2 2 2" xfId="9040"/>
    <cellStyle name="Normal 7 18 2 2 2 2" xfId="15233"/>
    <cellStyle name="Normal 7 18 2 2 2 2 2" xfId="34911"/>
    <cellStyle name="Normal 7 18 2 2 2 3" xfId="21385"/>
    <cellStyle name="Normal 7 18 2 2 2 3 2" xfId="41063"/>
    <cellStyle name="Normal 7 18 2 2 2 4" xfId="28747"/>
    <cellStyle name="Normal 7 18 2 2 3" xfId="12167"/>
    <cellStyle name="Normal 7 18 2 2 3 2" xfId="31845"/>
    <cellStyle name="Normal 7 18 2 2 4" xfId="18319"/>
    <cellStyle name="Normal 7 18 2 2 4 2" xfId="37997"/>
    <cellStyle name="Normal 7 18 2 2 5" xfId="25681"/>
    <cellStyle name="Normal 7 18 2 3" xfId="7505"/>
    <cellStyle name="Normal 7 18 2 3 2" xfId="13699"/>
    <cellStyle name="Normal 7 18 2 3 2 2" xfId="33377"/>
    <cellStyle name="Normal 7 18 2 3 3" xfId="19851"/>
    <cellStyle name="Normal 7 18 2 3 3 2" xfId="39529"/>
    <cellStyle name="Normal 7 18 2 3 4" xfId="27213"/>
    <cellStyle name="Normal 7 18 2 4" xfId="10633"/>
    <cellStyle name="Normal 7 18 2 4 2" xfId="30311"/>
    <cellStyle name="Normal 7 18 2 5" xfId="16785"/>
    <cellStyle name="Normal 7 18 2 5 2" xfId="36463"/>
    <cellStyle name="Normal 7 18 2 6" xfId="24147"/>
    <cellStyle name="Normal 7 18 3" xfId="5171"/>
    <cellStyle name="Normal 7 18 3 2" xfId="8271"/>
    <cellStyle name="Normal 7 18 3 2 2" xfId="14464"/>
    <cellStyle name="Normal 7 18 3 2 2 2" xfId="34142"/>
    <cellStyle name="Normal 7 18 3 2 3" xfId="20616"/>
    <cellStyle name="Normal 7 18 3 2 3 2" xfId="40294"/>
    <cellStyle name="Normal 7 18 3 2 4" xfId="27978"/>
    <cellStyle name="Normal 7 18 3 3" xfId="11398"/>
    <cellStyle name="Normal 7 18 3 3 2" xfId="31076"/>
    <cellStyle name="Normal 7 18 3 4" xfId="17550"/>
    <cellStyle name="Normal 7 18 3 4 2" xfId="37228"/>
    <cellStyle name="Normal 7 18 3 5" xfId="24912"/>
    <cellStyle name="Normal 7 18 4" xfId="6736"/>
    <cellStyle name="Normal 7 18 4 2" xfId="12930"/>
    <cellStyle name="Normal 7 18 4 2 2" xfId="32608"/>
    <cellStyle name="Normal 7 18 4 3" xfId="19082"/>
    <cellStyle name="Normal 7 18 4 3 2" xfId="38760"/>
    <cellStyle name="Normal 7 18 4 4" xfId="26444"/>
    <cellStyle name="Normal 7 18 5" xfId="9864"/>
    <cellStyle name="Normal 7 18 5 2" xfId="29542"/>
    <cellStyle name="Normal 7 18 6" xfId="16016"/>
    <cellStyle name="Normal 7 18 6 2" xfId="35694"/>
    <cellStyle name="Normal 7 18 7" xfId="23355"/>
    <cellStyle name="Normal 7 19" xfId="3147"/>
    <cellStyle name="Normal 7 19 2" xfId="4330"/>
    <cellStyle name="Normal 7 19 2 2" xfId="5955"/>
    <cellStyle name="Normal 7 19 2 2 2" xfId="9041"/>
    <cellStyle name="Normal 7 19 2 2 2 2" xfId="15234"/>
    <cellStyle name="Normal 7 19 2 2 2 2 2" xfId="34912"/>
    <cellStyle name="Normal 7 19 2 2 2 3" xfId="21386"/>
    <cellStyle name="Normal 7 19 2 2 2 3 2" xfId="41064"/>
    <cellStyle name="Normal 7 19 2 2 2 4" xfId="28748"/>
    <cellStyle name="Normal 7 19 2 2 3" xfId="12168"/>
    <cellStyle name="Normal 7 19 2 2 3 2" xfId="31846"/>
    <cellStyle name="Normal 7 19 2 2 4" xfId="18320"/>
    <cellStyle name="Normal 7 19 2 2 4 2" xfId="37998"/>
    <cellStyle name="Normal 7 19 2 2 5" xfId="25682"/>
    <cellStyle name="Normal 7 19 2 3" xfId="7506"/>
    <cellStyle name="Normal 7 19 2 3 2" xfId="13700"/>
    <cellStyle name="Normal 7 19 2 3 2 2" xfId="33378"/>
    <cellStyle name="Normal 7 19 2 3 3" xfId="19852"/>
    <cellStyle name="Normal 7 19 2 3 3 2" xfId="39530"/>
    <cellStyle name="Normal 7 19 2 3 4" xfId="27214"/>
    <cellStyle name="Normal 7 19 2 4" xfId="10634"/>
    <cellStyle name="Normal 7 19 2 4 2" xfId="30312"/>
    <cellStyle name="Normal 7 19 2 5" xfId="16786"/>
    <cellStyle name="Normal 7 19 2 5 2" xfId="36464"/>
    <cellStyle name="Normal 7 19 2 6" xfId="24148"/>
    <cellStyle name="Normal 7 19 3" xfId="5172"/>
    <cellStyle name="Normal 7 19 3 2" xfId="8272"/>
    <cellStyle name="Normal 7 19 3 2 2" xfId="14465"/>
    <cellStyle name="Normal 7 19 3 2 2 2" xfId="34143"/>
    <cellStyle name="Normal 7 19 3 2 3" xfId="20617"/>
    <cellStyle name="Normal 7 19 3 2 3 2" xfId="40295"/>
    <cellStyle name="Normal 7 19 3 2 4" xfId="27979"/>
    <cellStyle name="Normal 7 19 3 3" xfId="11399"/>
    <cellStyle name="Normal 7 19 3 3 2" xfId="31077"/>
    <cellStyle name="Normal 7 19 3 4" xfId="17551"/>
    <cellStyle name="Normal 7 19 3 4 2" xfId="37229"/>
    <cellStyle name="Normal 7 19 3 5" xfId="24913"/>
    <cellStyle name="Normal 7 19 4" xfId="6737"/>
    <cellStyle name="Normal 7 19 4 2" xfId="12931"/>
    <cellStyle name="Normal 7 19 4 2 2" xfId="32609"/>
    <cellStyle name="Normal 7 19 4 3" xfId="19083"/>
    <cellStyle name="Normal 7 19 4 3 2" xfId="38761"/>
    <cellStyle name="Normal 7 19 4 4" xfId="26445"/>
    <cellStyle name="Normal 7 19 5" xfId="9865"/>
    <cellStyle name="Normal 7 19 5 2" xfId="29543"/>
    <cellStyle name="Normal 7 19 6" xfId="16017"/>
    <cellStyle name="Normal 7 19 6 2" xfId="35695"/>
    <cellStyle name="Normal 7 19 7" xfId="23356"/>
    <cellStyle name="Normal 7 2" xfId="47"/>
    <cellStyle name="Normal 7 2 10" xfId="9866"/>
    <cellStyle name="Normal 7 2 10 2" xfId="29544"/>
    <cellStyle name="Normal 7 2 11" xfId="16018"/>
    <cellStyle name="Normal 7 2 11 2" xfId="35696"/>
    <cellStyle name="Normal 7 2 12" xfId="3148"/>
    <cellStyle name="Normal 7 2 12 2" xfId="23357"/>
    <cellStyle name="Normal 7 2 13" xfId="42029"/>
    <cellStyle name="Normal 7 2 14" xfId="21690"/>
    <cellStyle name="Normal 7 2 2" xfId="48"/>
    <cellStyle name="Normal 7 2 2 2" xfId="114"/>
    <cellStyle name="Normal 7 2 2 2 2" xfId="143"/>
    <cellStyle name="Normal 7 2 2 2 2 2" xfId="207"/>
    <cellStyle name="Normal 7 2 2 2 2 2 2" xfId="15236"/>
    <cellStyle name="Normal 7 2 2 2 2 2 2 2" xfId="34914"/>
    <cellStyle name="Normal 7 2 2 2 2 2 3" xfId="21388"/>
    <cellStyle name="Normal 7 2 2 2 2 2 3 2" xfId="41066"/>
    <cellStyle name="Normal 7 2 2 2 2 2 4" xfId="9043"/>
    <cellStyle name="Normal 7 2 2 2 2 2 5" xfId="28750"/>
    <cellStyle name="Normal 7 2 2 2 2 3" xfId="12170"/>
    <cellStyle name="Normal 7 2 2 2 2 3 2" xfId="31848"/>
    <cellStyle name="Normal 7 2 2 2 2 4" xfId="18322"/>
    <cellStyle name="Normal 7 2 2 2 2 4 2" xfId="38000"/>
    <cellStyle name="Normal 7 2 2 2 2 5" xfId="5957"/>
    <cellStyle name="Normal 7 2 2 2 2 5 2" xfId="25684"/>
    <cellStyle name="Normal 7 2 2 2 2 6" xfId="21743"/>
    <cellStyle name="Normal 7 2 2 2 3" xfId="169"/>
    <cellStyle name="Normal 7 2 2 2 3 2" xfId="13702"/>
    <cellStyle name="Normal 7 2 2 2 3 2 2" xfId="33380"/>
    <cellStyle name="Normal 7 2 2 2 3 3" xfId="19854"/>
    <cellStyle name="Normal 7 2 2 2 3 3 2" xfId="39532"/>
    <cellStyle name="Normal 7 2 2 2 3 4" xfId="7508"/>
    <cellStyle name="Normal 7 2 2 2 3 5" xfId="27216"/>
    <cellStyle name="Normal 7 2 2 2 4" xfId="10636"/>
    <cellStyle name="Normal 7 2 2 2 4 2" xfId="30314"/>
    <cellStyle name="Normal 7 2 2 2 5" xfId="16788"/>
    <cellStyle name="Normal 7 2 2 2 5 2" xfId="36466"/>
    <cellStyle name="Normal 7 2 2 2 6" xfId="4332"/>
    <cellStyle name="Normal 7 2 2 2 6 2" xfId="24150"/>
    <cellStyle name="Normal 7 2 2 2 7" xfId="21705"/>
    <cellStyle name="Normal 7 2 2 3" xfId="88"/>
    <cellStyle name="Normal 7 2 2 3 2" xfId="194"/>
    <cellStyle name="Normal 7 2 2 3 2 2" xfId="14467"/>
    <cellStyle name="Normal 7 2 2 3 2 2 2" xfId="34145"/>
    <cellStyle name="Normal 7 2 2 3 2 3" xfId="20619"/>
    <cellStyle name="Normal 7 2 2 3 2 3 2" xfId="40297"/>
    <cellStyle name="Normal 7 2 2 3 2 4" xfId="8274"/>
    <cellStyle name="Normal 7 2 2 3 2 5" xfId="27981"/>
    <cellStyle name="Normal 7 2 2 3 3" xfId="11401"/>
    <cellStyle name="Normal 7 2 2 3 3 2" xfId="31079"/>
    <cellStyle name="Normal 7 2 2 3 4" xfId="17553"/>
    <cellStyle name="Normal 7 2 2 3 4 2" xfId="37231"/>
    <cellStyle name="Normal 7 2 2 3 5" xfId="5174"/>
    <cellStyle name="Normal 7 2 2 3 5 2" xfId="24915"/>
    <cellStyle name="Normal 7 2 2 3 6" xfId="21730"/>
    <cellStyle name="Normal 7 2 2 4" xfId="132"/>
    <cellStyle name="Normal 7 2 2 4 2" xfId="182"/>
    <cellStyle name="Normal 7 2 2 4 2 2" xfId="12933"/>
    <cellStyle name="Normal 7 2 2 4 2 3" xfId="32611"/>
    <cellStyle name="Normal 7 2 2 4 3" xfId="19085"/>
    <cellStyle name="Normal 7 2 2 4 3 2" xfId="38763"/>
    <cellStyle name="Normal 7 2 2 4 4" xfId="6739"/>
    <cellStyle name="Normal 7 2 2 4 4 2" xfId="26447"/>
    <cellStyle name="Normal 7 2 2 4 5" xfId="21718"/>
    <cellStyle name="Normal 7 2 2 5" xfId="156"/>
    <cellStyle name="Normal 7 2 2 5 2" xfId="9867"/>
    <cellStyle name="Normal 7 2 2 5 3" xfId="29545"/>
    <cellStyle name="Normal 7 2 2 6" xfId="16019"/>
    <cellStyle name="Normal 7 2 2 6 2" xfId="35697"/>
    <cellStyle name="Normal 7 2 2 7" xfId="3149"/>
    <cellStyle name="Normal 7 2 2 7 2" xfId="23358"/>
    <cellStyle name="Normal 7 2 2 8" xfId="21691"/>
    <cellStyle name="Normal 7 2 3" xfId="113"/>
    <cellStyle name="Normal 7 2 3 2" xfId="142"/>
    <cellStyle name="Normal 7 2 3 2 2" xfId="206"/>
    <cellStyle name="Normal 7 2 3 2 2 2" xfId="9044"/>
    <cellStyle name="Normal 7 2 3 2 2 2 2" xfId="15237"/>
    <cellStyle name="Normal 7 2 3 2 2 2 2 2" xfId="34915"/>
    <cellStyle name="Normal 7 2 3 2 2 2 3" xfId="21389"/>
    <cellStyle name="Normal 7 2 3 2 2 2 3 2" xfId="41067"/>
    <cellStyle name="Normal 7 2 3 2 2 2 4" xfId="28751"/>
    <cellStyle name="Normal 7 2 3 2 2 3" xfId="12171"/>
    <cellStyle name="Normal 7 2 3 2 2 3 2" xfId="31849"/>
    <cellStyle name="Normal 7 2 3 2 2 4" xfId="18323"/>
    <cellStyle name="Normal 7 2 3 2 2 4 2" xfId="38001"/>
    <cellStyle name="Normal 7 2 3 2 2 5" xfId="5958"/>
    <cellStyle name="Normal 7 2 3 2 2 6" xfId="25685"/>
    <cellStyle name="Normal 7 2 3 2 3" xfId="7509"/>
    <cellStyle name="Normal 7 2 3 2 3 2" xfId="13703"/>
    <cellStyle name="Normal 7 2 3 2 3 2 2" xfId="33381"/>
    <cellStyle name="Normal 7 2 3 2 3 3" xfId="19855"/>
    <cellStyle name="Normal 7 2 3 2 3 3 2" xfId="39533"/>
    <cellStyle name="Normal 7 2 3 2 3 4" xfId="27217"/>
    <cellStyle name="Normal 7 2 3 2 4" xfId="10637"/>
    <cellStyle name="Normal 7 2 3 2 4 2" xfId="30315"/>
    <cellStyle name="Normal 7 2 3 2 5" xfId="16789"/>
    <cellStyle name="Normal 7 2 3 2 5 2" xfId="36467"/>
    <cellStyle name="Normal 7 2 3 2 6" xfId="4333"/>
    <cellStyle name="Normal 7 2 3 2 6 2" xfId="24151"/>
    <cellStyle name="Normal 7 2 3 2 7" xfId="21742"/>
    <cellStyle name="Normal 7 2 3 3" xfId="168"/>
    <cellStyle name="Normal 7 2 3 3 2" xfId="8275"/>
    <cellStyle name="Normal 7 2 3 3 2 2" xfId="14468"/>
    <cellStyle name="Normal 7 2 3 3 2 2 2" xfId="34146"/>
    <cellStyle name="Normal 7 2 3 3 2 3" xfId="20620"/>
    <cellStyle name="Normal 7 2 3 3 2 3 2" xfId="40298"/>
    <cellStyle name="Normal 7 2 3 3 2 4" xfId="27982"/>
    <cellStyle name="Normal 7 2 3 3 3" xfId="11402"/>
    <cellStyle name="Normal 7 2 3 3 3 2" xfId="31080"/>
    <cellStyle name="Normal 7 2 3 3 4" xfId="17554"/>
    <cellStyle name="Normal 7 2 3 3 4 2" xfId="37232"/>
    <cellStyle name="Normal 7 2 3 3 5" xfId="5175"/>
    <cellStyle name="Normal 7 2 3 3 6" xfId="24916"/>
    <cellStyle name="Normal 7 2 3 4" xfId="6740"/>
    <cellStyle name="Normal 7 2 3 4 2" xfId="12934"/>
    <cellStyle name="Normal 7 2 3 4 2 2" xfId="32612"/>
    <cellStyle name="Normal 7 2 3 4 3" xfId="19086"/>
    <cellStyle name="Normal 7 2 3 4 3 2" xfId="38764"/>
    <cellStyle name="Normal 7 2 3 4 4" xfId="26448"/>
    <cellStyle name="Normal 7 2 3 5" xfId="9868"/>
    <cellStyle name="Normal 7 2 3 5 2" xfId="29546"/>
    <cellStyle name="Normal 7 2 3 6" xfId="16020"/>
    <cellStyle name="Normal 7 2 3 6 2" xfId="35698"/>
    <cellStyle name="Normal 7 2 3 7" xfId="3150"/>
    <cellStyle name="Normal 7 2 3 7 2" xfId="23359"/>
    <cellStyle name="Normal 7 2 3 8" xfId="21704"/>
    <cellStyle name="Normal 7 2 4" xfId="87"/>
    <cellStyle name="Normal 7 2 4 2" xfId="193"/>
    <cellStyle name="Normal 7 2 4 2 2" xfId="5959"/>
    <cellStyle name="Normal 7 2 4 2 2 2" xfId="9045"/>
    <cellStyle name="Normal 7 2 4 2 2 2 2" xfId="15238"/>
    <cellStyle name="Normal 7 2 4 2 2 2 2 2" xfId="34916"/>
    <cellStyle name="Normal 7 2 4 2 2 2 3" xfId="21390"/>
    <cellStyle name="Normal 7 2 4 2 2 2 3 2" xfId="41068"/>
    <cellStyle name="Normal 7 2 4 2 2 2 4" xfId="28752"/>
    <cellStyle name="Normal 7 2 4 2 2 3" xfId="12172"/>
    <cellStyle name="Normal 7 2 4 2 2 3 2" xfId="31850"/>
    <cellStyle name="Normal 7 2 4 2 2 4" xfId="18324"/>
    <cellStyle name="Normal 7 2 4 2 2 4 2" xfId="38002"/>
    <cellStyle name="Normal 7 2 4 2 2 5" xfId="25686"/>
    <cellStyle name="Normal 7 2 4 2 3" xfId="7510"/>
    <cellStyle name="Normal 7 2 4 2 3 2" xfId="13704"/>
    <cellStyle name="Normal 7 2 4 2 3 2 2" xfId="33382"/>
    <cellStyle name="Normal 7 2 4 2 3 3" xfId="19856"/>
    <cellStyle name="Normal 7 2 4 2 3 3 2" xfId="39534"/>
    <cellStyle name="Normal 7 2 4 2 3 4" xfId="27218"/>
    <cellStyle name="Normal 7 2 4 2 4" xfId="10638"/>
    <cellStyle name="Normal 7 2 4 2 4 2" xfId="30316"/>
    <cellStyle name="Normal 7 2 4 2 5" xfId="16790"/>
    <cellStyle name="Normal 7 2 4 2 5 2" xfId="36468"/>
    <cellStyle name="Normal 7 2 4 2 6" xfId="4334"/>
    <cellStyle name="Normal 7 2 4 2 7" xfId="24152"/>
    <cellStyle name="Normal 7 2 4 3" xfId="5176"/>
    <cellStyle name="Normal 7 2 4 3 2" xfId="8276"/>
    <cellStyle name="Normal 7 2 4 3 2 2" xfId="14469"/>
    <cellStyle name="Normal 7 2 4 3 2 2 2" xfId="34147"/>
    <cellStyle name="Normal 7 2 4 3 2 3" xfId="20621"/>
    <cellStyle name="Normal 7 2 4 3 2 3 2" xfId="40299"/>
    <cellStyle name="Normal 7 2 4 3 2 4" xfId="27983"/>
    <cellStyle name="Normal 7 2 4 3 3" xfId="11403"/>
    <cellStyle name="Normal 7 2 4 3 3 2" xfId="31081"/>
    <cellStyle name="Normal 7 2 4 3 4" xfId="17555"/>
    <cellStyle name="Normal 7 2 4 3 4 2" xfId="37233"/>
    <cellStyle name="Normal 7 2 4 3 5" xfId="24917"/>
    <cellStyle name="Normal 7 2 4 4" xfId="6741"/>
    <cellStyle name="Normal 7 2 4 4 2" xfId="12935"/>
    <cellStyle name="Normal 7 2 4 4 2 2" xfId="32613"/>
    <cellStyle name="Normal 7 2 4 4 3" xfId="19087"/>
    <cellStyle name="Normal 7 2 4 4 3 2" xfId="38765"/>
    <cellStyle name="Normal 7 2 4 4 4" xfId="26449"/>
    <cellStyle name="Normal 7 2 4 5" xfId="9869"/>
    <cellStyle name="Normal 7 2 4 5 2" xfId="29547"/>
    <cellStyle name="Normal 7 2 4 6" xfId="16021"/>
    <cellStyle name="Normal 7 2 4 6 2" xfId="35699"/>
    <cellStyle name="Normal 7 2 4 7" xfId="3151"/>
    <cellStyle name="Normal 7 2 4 7 2" xfId="23360"/>
    <cellStyle name="Normal 7 2 4 8" xfId="21729"/>
    <cellStyle name="Normal 7 2 5" xfId="131"/>
    <cellStyle name="Normal 7 2 5 2" xfId="181"/>
    <cellStyle name="Normal 7 2 5 2 2" xfId="5960"/>
    <cellStyle name="Normal 7 2 5 2 2 2" xfId="9046"/>
    <cellStyle name="Normal 7 2 5 2 2 2 2" xfId="15239"/>
    <cellStyle name="Normal 7 2 5 2 2 2 2 2" xfId="34917"/>
    <cellStyle name="Normal 7 2 5 2 2 2 3" xfId="21391"/>
    <cellStyle name="Normal 7 2 5 2 2 2 3 2" xfId="41069"/>
    <cellStyle name="Normal 7 2 5 2 2 2 4" xfId="28753"/>
    <cellStyle name="Normal 7 2 5 2 2 3" xfId="12173"/>
    <cellStyle name="Normal 7 2 5 2 2 3 2" xfId="31851"/>
    <cellStyle name="Normal 7 2 5 2 2 4" xfId="18325"/>
    <cellStyle name="Normal 7 2 5 2 2 4 2" xfId="38003"/>
    <cellStyle name="Normal 7 2 5 2 2 5" xfId="25687"/>
    <cellStyle name="Normal 7 2 5 2 3" xfId="7511"/>
    <cellStyle name="Normal 7 2 5 2 3 2" xfId="13705"/>
    <cellStyle name="Normal 7 2 5 2 3 2 2" xfId="33383"/>
    <cellStyle name="Normal 7 2 5 2 3 3" xfId="19857"/>
    <cellStyle name="Normal 7 2 5 2 3 3 2" xfId="39535"/>
    <cellStyle name="Normal 7 2 5 2 3 4" xfId="27219"/>
    <cellStyle name="Normal 7 2 5 2 4" xfId="10639"/>
    <cellStyle name="Normal 7 2 5 2 4 2" xfId="30317"/>
    <cellStyle name="Normal 7 2 5 2 5" xfId="16791"/>
    <cellStyle name="Normal 7 2 5 2 5 2" xfId="36469"/>
    <cellStyle name="Normal 7 2 5 2 6" xfId="4335"/>
    <cellStyle name="Normal 7 2 5 2 7" xfId="24153"/>
    <cellStyle name="Normal 7 2 5 3" xfId="5177"/>
    <cellStyle name="Normal 7 2 5 3 2" xfId="8277"/>
    <cellStyle name="Normal 7 2 5 3 2 2" xfId="14470"/>
    <cellStyle name="Normal 7 2 5 3 2 2 2" xfId="34148"/>
    <cellStyle name="Normal 7 2 5 3 2 3" xfId="20622"/>
    <cellStyle name="Normal 7 2 5 3 2 3 2" xfId="40300"/>
    <cellStyle name="Normal 7 2 5 3 2 4" xfId="27984"/>
    <cellStyle name="Normal 7 2 5 3 3" xfId="11404"/>
    <cellStyle name="Normal 7 2 5 3 3 2" xfId="31082"/>
    <cellStyle name="Normal 7 2 5 3 4" xfId="17556"/>
    <cellStyle name="Normal 7 2 5 3 4 2" xfId="37234"/>
    <cellStyle name="Normal 7 2 5 3 5" xfId="24918"/>
    <cellStyle name="Normal 7 2 5 4" xfId="6742"/>
    <cellStyle name="Normal 7 2 5 4 2" xfId="12936"/>
    <cellStyle name="Normal 7 2 5 4 2 2" xfId="32614"/>
    <cellStyle name="Normal 7 2 5 4 3" xfId="19088"/>
    <cellStyle name="Normal 7 2 5 4 3 2" xfId="38766"/>
    <cellStyle name="Normal 7 2 5 4 4" xfId="26450"/>
    <cellStyle name="Normal 7 2 5 5" xfId="9870"/>
    <cellStyle name="Normal 7 2 5 5 2" xfId="29548"/>
    <cellStyle name="Normal 7 2 5 6" xfId="16022"/>
    <cellStyle name="Normal 7 2 5 6 2" xfId="35700"/>
    <cellStyle name="Normal 7 2 5 7" xfId="3152"/>
    <cellStyle name="Normal 7 2 5 7 2" xfId="23361"/>
    <cellStyle name="Normal 7 2 5 8" xfId="21717"/>
    <cellStyle name="Normal 7 2 6" xfId="155"/>
    <cellStyle name="Normal 7 2 6 2" xfId="5956"/>
    <cellStyle name="Normal 7 2 6 2 2" xfId="9042"/>
    <cellStyle name="Normal 7 2 6 2 2 2" xfId="15235"/>
    <cellStyle name="Normal 7 2 6 2 2 2 2" xfId="34913"/>
    <cellStyle name="Normal 7 2 6 2 2 3" xfId="21387"/>
    <cellStyle name="Normal 7 2 6 2 2 3 2" xfId="41065"/>
    <cellStyle name="Normal 7 2 6 2 2 4" xfId="28749"/>
    <cellStyle name="Normal 7 2 6 2 3" xfId="12169"/>
    <cellStyle name="Normal 7 2 6 2 3 2" xfId="31847"/>
    <cellStyle name="Normal 7 2 6 2 4" xfId="18321"/>
    <cellStyle name="Normal 7 2 6 2 4 2" xfId="37999"/>
    <cellStyle name="Normal 7 2 6 2 5" xfId="25683"/>
    <cellStyle name="Normal 7 2 6 3" xfId="7507"/>
    <cellStyle name="Normal 7 2 6 3 2" xfId="13701"/>
    <cellStyle name="Normal 7 2 6 3 2 2" xfId="33379"/>
    <cellStyle name="Normal 7 2 6 3 3" xfId="19853"/>
    <cellStyle name="Normal 7 2 6 3 3 2" xfId="39531"/>
    <cellStyle name="Normal 7 2 6 3 4" xfId="27215"/>
    <cellStyle name="Normal 7 2 6 4" xfId="10635"/>
    <cellStyle name="Normal 7 2 6 4 2" xfId="30313"/>
    <cellStyle name="Normal 7 2 6 5" xfId="16787"/>
    <cellStyle name="Normal 7 2 6 5 2" xfId="36465"/>
    <cellStyle name="Normal 7 2 6 6" xfId="4331"/>
    <cellStyle name="Normal 7 2 6 7" xfId="24149"/>
    <cellStyle name="Normal 7 2 7" xfId="5173"/>
    <cellStyle name="Normal 7 2 7 2" xfId="8273"/>
    <cellStyle name="Normal 7 2 7 2 2" xfId="14466"/>
    <cellStyle name="Normal 7 2 7 2 2 2" xfId="34144"/>
    <cellStyle name="Normal 7 2 7 2 3" xfId="20618"/>
    <cellStyle name="Normal 7 2 7 2 3 2" xfId="40296"/>
    <cellStyle name="Normal 7 2 7 2 4" xfId="27980"/>
    <cellStyle name="Normal 7 2 7 3" xfId="11400"/>
    <cellStyle name="Normal 7 2 7 3 2" xfId="31078"/>
    <cellStyle name="Normal 7 2 7 4" xfId="17552"/>
    <cellStyle name="Normal 7 2 7 4 2" xfId="37230"/>
    <cellStyle name="Normal 7 2 7 5" xfId="24914"/>
    <cellStyle name="Normal 7 2 8" xfId="6738"/>
    <cellStyle name="Normal 7 2 8 2" xfId="12932"/>
    <cellStyle name="Normal 7 2 8 2 2" xfId="32610"/>
    <cellStyle name="Normal 7 2 8 3" xfId="19084"/>
    <cellStyle name="Normal 7 2 8 3 2" xfId="38762"/>
    <cellStyle name="Normal 7 2 8 4" xfId="26446"/>
    <cellStyle name="Normal 7 2 9" xfId="9312"/>
    <cellStyle name="Normal 7 2 9 2" xfId="15484"/>
    <cellStyle name="Normal 7 2 9 2 2" xfId="35162"/>
    <cellStyle name="Normal 7 2 9 3" xfId="21636"/>
    <cellStyle name="Normal 7 2 9 3 2" xfId="41314"/>
    <cellStyle name="Normal 7 2 9 4" xfId="29009"/>
    <cellStyle name="Normal 7 20" xfId="3153"/>
    <cellStyle name="Normal 7 20 2" xfId="4336"/>
    <cellStyle name="Normal 7 20 2 2" xfId="5961"/>
    <cellStyle name="Normal 7 20 2 2 2" xfId="9047"/>
    <cellStyle name="Normal 7 20 2 2 2 2" xfId="15240"/>
    <cellStyle name="Normal 7 20 2 2 2 2 2" xfId="34918"/>
    <cellStyle name="Normal 7 20 2 2 2 3" xfId="21392"/>
    <cellStyle name="Normal 7 20 2 2 2 3 2" xfId="41070"/>
    <cellStyle name="Normal 7 20 2 2 2 4" xfId="28754"/>
    <cellStyle name="Normal 7 20 2 2 3" xfId="12174"/>
    <cellStyle name="Normal 7 20 2 2 3 2" xfId="31852"/>
    <cellStyle name="Normal 7 20 2 2 4" xfId="18326"/>
    <cellStyle name="Normal 7 20 2 2 4 2" xfId="38004"/>
    <cellStyle name="Normal 7 20 2 2 5" xfId="25688"/>
    <cellStyle name="Normal 7 20 2 3" xfId="7512"/>
    <cellStyle name="Normal 7 20 2 3 2" xfId="13706"/>
    <cellStyle name="Normal 7 20 2 3 2 2" xfId="33384"/>
    <cellStyle name="Normal 7 20 2 3 3" xfId="19858"/>
    <cellStyle name="Normal 7 20 2 3 3 2" xfId="39536"/>
    <cellStyle name="Normal 7 20 2 3 4" xfId="27220"/>
    <cellStyle name="Normal 7 20 2 4" xfId="10640"/>
    <cellStyle name="Normal 7 20 2 4 2" xfId="30318"/>
    <cellStyle name="Normal 7 20 2 5" xfId="16792"/>
    <cellStyle name="Normal 7 20 2 5 2" xfId="36470"/>
    <cellStyle name="Normal 7 20 2 6" xfId="24154"/>
    <cellStyle name="Normal 7 20 3" xfId="5178"/>
    <cellStyle name="Normal 7 20 3 2" xfId="8278"/>
    <cellStyle name="Normal 7 20 3 2 2" xfId="14471"/>
    <cellStyle name="Normal 7 20 3 2 2 2" xfId="34149"/>
    <cellStyle name="Normal 7 20 3 2 3" xfId="20623"/>
    <cellStyle name="Normal 7 20 3 2 3 2" xfId="40301"/>
    <cellStyle name="Normal 7 20 3 2 4" xfId="27985"/>
    <cellStyle name="Normal 7 20 3 3" xfId="11405"/>
    <cellStyle name="Normal 7 20 3 3 2" xfId="31083"/>
    <cellStyle name="Normal 7 20 3 4" xfId="17557"/>
    <cellStyle name="Normal 7 20 3 4 2" xfId="37235"/>
    <cellStyle name="Normal 7 20 3 5" xfId="24919"/>
    <cellStyle name="Normal 7 20 4" xfId="6743"/>
    <cellStyle name="Normal 7 20 4 2" xfId="12937"/>
    <cellStyle name="Normal 7 20 4 2 2" xfId="32615"/>
    <cellStyle name="Normal 7 20 4 3" xfId="19089"/>
    <cellStyle name="Normal 7 20 4 3 2" xfId="38767"/>
    <cellStyle name="Normal 7 20 4 4" xfId="26451"/>
    <cellStyle name="Normal 7 20 5" xfId="9871"/>
    <cellStyle name="Normal 7 20 5 2" xfId="29549"/>
    <cellStyle name="Normal 7 20 6" xfId="16023"/>
    <cellStyle name="Normal 7 20 6 2" xfId="35701"/>
    <cellStyle name="Normal 7 20 7" xfId="23362"/>
    <cellStyle name="Normal 7 21" xfId="3154"/>
    <cellStyle name="Normal 7 22" xfId="3155"/>
    <cellStyle name="Normal 7 22 2" xfId="4337"/>
    <cellStyle name="Normal 7 22 2 2" xfId="5962"/>
    <cellStyle name="Normal 7 22 2 2 2" xfId="9048"/>
    <cellStyle name="Normal 7 22 2 2 2 2" xfId="15241"/>
    <cellStyle name="Normal 7 22 2 2 2 2 2" xfId="34919"/>
    <cellStyle name="Normal 7 22 2 2 2 3" xfId="21393"/>
    <cellStyle name="Normal 7 22 2 2 2 3 2" xfId="41071"/>
    <cellStyle name="Normal 7 22 2 2 2 4" xfId="28755"/>
    <cellStyle name="Normal 7 22 2 2 3" xfId="12175"/>
    <cellStyle name="Normal 7 22 2 2 3 2" xfId="31853"/>
    <cellStyle name="Normal 7 22 2 2 4" xfId="18327"/>
    <cellStyle name="Normal 7 22 2 2 4 2" xfId="38005"/>
    <cellStyle name="Normal 7 22 2 2 5" xfId="25689"/>
    <cellStyle name="Normal 7 22 2 3" xfId="7513"/>
    <cellStyle name="Normal 7 22 2 3 2" xfId="13707"/>
    <cellStyle name="Normal 7 22 2 3 2 2" xfId="33385"/>
    <cellStyle name="Normal 7 22 2 3 3" xfId="19859"/>
    <cellStyle name="Normal 7 22 2 3 3 2" xfId="39537"/>
    <cellStyle name="Normal 7 22 2 3 4" xfId="27221"/>
    <cellStyle name="Normal 7 22 2 4" xfId="10641"/>
    <cellStyle name="Normal 7 22 2 4 2" xfId="30319"/>
    <cellStyle name="Normal 7 22 2 5" xfId="16793"/>
    <cellStyle name="Normal 7 22 2 5 2" xfId="36471"/>
    <cellStyle name="Normal 7 22 2 6" xfId="24155"/>
    <cellStyle name="Normal 7 22 3" xfId="5179"/>
    <cellStyle name="Normal 7 22 3 2" xfId="8279"/>
    <cellStyle name="Normal 7 22 3 2 2" xfId="14472"/>
    <cellStyle name="Normal 7 22 3 2 2 2" xfId="34150"/>
    <cellStyle name="Normal 7 22 3 2 3" xfId="20624"/>
    <cellStyle name="Normal 7 22 3 2 3 2" xfId="40302"/>
    <cellStyle name="Normal 7 22 3 2 4" xfId="27986"/>
    <cellStyle name="Normal 7 22 3 3" xfId="11406"/>
    <cellStyle name="Normal 7 22 3 3 2" xfId="31084"/>
    <cellStyle name="Normal 7 22 3 4" xfId="17558"/>
    <cellStyle name="Normal 7 22 3 4 2" xfId="37236"/>
    <cellStyle name="Normal 7 22 3 5" xfId="24920"/>
    <cellStyle name="Normal 7 22 4" xfId="6744"/>
    <cellStyle name="Normal 7 22 4 2" xfId="12938"/>
    <cellStyle name="Normal 7 22 4 2 2" xfId="32616"/>
    <cellStyle name="Normal 7 22 4 3" xfId="19090"/>
    <cellStyle name="Normal 7 22 4 3 2" xfId="38768"/>
    <cellStyle name="Normal 7 22 4 4" xfId="26452"/>
    <cellStyle name="Normal 7 22 5" xfId="9872"/>
    <cellStyle name="Normal 7 22 5 2" xfId="29550"/>
    <cellStyle name="Normal 7 22 6" xfId="16024"/>
    <cellStyle name="Normal 7 22 6 2" xfId="35702"/>
    <cellStyle name="Normal 7 22 7" xfId="23363"/>
    <cellStyle name="Normal 7 23" xfId="3156"/>
    <cellStyle name="Normal 7 24" xfId="3685"/>
    <cellStyle name="Normal 7 25" xfId="3137"/>
    <cellStyle name="Normal 7 25 2" xfId="4320"/>
    <cellStyle name="Normal 7 25 2 2" xfId="5945"/>
    <cellStyle name="Normal 7 25 2 2 2" xfId="9031"/>
    <cellStyle name="Normal 7 25 2 2 2 2" xfId="15224"/>
    <cellStyle name="Normal 7 25 2 2 2 2 2" xfId="34902"/>
    <cellStyle name="Normal 7 25 2 2 2 3" xfId="21376"/>
    <cellStyle name="Normal 7 25 2 2 2 3 2" xfId="41054"/>
    <cellStyle name="Normal 7 25 2 2 2 4" xfId="28738"/>
    <cellStyle name="Normal 7 25 2 2 3" xfId="12158"/>
    <cellStyle name="Normal 7 25 2 2 3 2" xfId="31836"/>
    <cellStyle name="Normal 7 25 2 2 4" xfId="18310"/>
    <cellStyle name="Normal 7 25 2 2 4 2" xfId="37988"/>
    <cellStyle name="Normal 7 25 2 2 5" xfId="25672"/>
    <cellStyle name="Normal 7 25 2 3" xfId="7496"/>
    <cellStyle name="Normal 7 25 2 3 2" xfId="13690"/>
    <cellStyle name="Normal 7 25 2 3 2 2" xfId="33368"/>
    <cellStyle name="Normal 7 25 2 3 3" xfId="19842"/>
    <cellStyle name="Normal 7 25 2 3 3 2" xfId="39520"/>
    <cellStyle name="Normal 7 25 2 3 4" xfId="27204"/>
    <cellStyle name="Normal 7 25 2 4" xfId="10624"/>
    <cellStyle name="Normal 7 25 2 4 2" xfId="30302"/>
    <cellStyle name="Normal 7 25 2 5" xfId="16776"/>
    <cellStyle name="Normal 7 25 2 5 2" xfId="36454"/>
    <cellStyle name="Normal 7 25 2 6" xfId="24138"/>
    <cellStyle name="Normal 7 25 3" xfId="5162"/>
    <cellStyle name="Normal 7 25 3 2" xfId="8262"/>
    <cellStyle name="Normal 7 25 3 2 2" xfId="14455"/>
    <cellStyle name="Normal 7 25 3 2 2 2" xfId="34133"/>
    <cellStyle name="Normal 7 25 3 2 3" xfId="20607"/>
    <cellStyle name="Normal 7 25 3 2 3 2" xfId="40285"/>
    <cellStyle name="Normal 7 25 3 2 4" xfId="27969"/>
    <cellStyle name="Normal 7 25 3 3" xfId="11389"/>
    <cellStyle name="Normal 7 25 3 3 2" xfId="31067"/>
    <cellStyle name="Normal 7 25 3 4" xfId="17541"/>
    <cellStyle name="Normal 7 25 3 4 2" xfId="37219"/>
    <cellStyle name="Normal 7 25 3 5" xfId="24903"/>
    <cellStyle name="Normal 7 25 4" xfId="6727"/>
    <cellStyle name="Normal 7 25 4 2" xfId="12921"/>
    <cellStyle name="Normal 7 25 4 2 2" xfId="32599"/>
    <cellStyle name="Normal 7 25 4 3" xfId="19073"/>
    <cellStyle name="Normal 7 25 4 3 2" xfId="38751"/>
    <cellStyle name="Normal 7 25 4 4" xfId="26435"/>
    <cellStyle name="Normal 7 25 5" xfId="9855"/>
    <cellStyle name="Normal 7 25 5 2" xfId="29533"/>
    <cellStyle name="Normal 7 25 6" xfId="16007"/>
    <cellStyle name="Normal 7 25 6 2" xfId="35685"/>
    <cellStyle name="Normal 7 25 7" xfId="23346"/>
    <cellStyle name="Normal 7 26" xfId="9299"/>
    <cellStyle name="Normal 7 26 2" xfId="15475"/>
    <cellStyle name="Normal 7 26 2 2" xfId="35153"/>
    <cellStyle name="Normal 7 26 3" xfId="21627"/>
    <cellStyle name="Normal 7 26 3 2" xfId="41305"/>
    <cellStyle name="Normal 7 26 4" xfId="28997"/>
    <cellStyle name="Normal 7 27" xfId="219"/>
    <cellStyle name="Normal 7 28" xfId="21762"/>
    <cellStyle name="Normal 7 29" xfId="21689"/>
    <cellStyle name="Normal 7 3" xfId="112"/>
    <cellStyle name="Normal 7 3 10" xfId="16025"/>
    <cellStyle name="Normal 7 3 10 2" xfId="35703"/>
    <cellStyle name="Normal 7 3 11" xfId="3157"/>
    <cellStyle name="Normal 7 3 11 2" xfId="23364"/>
    <cellStyle name="Normal 7 3 12" xfId="42030"/>
    <cellStyle name="Normal 7 3 13" xfId="21703"/>
    <cellStyle name="Normal 7 3 2" xfId="141"/>
    <cellStyle name="Normal 7 3 2 2" xfId="205"/>
    <cellStyle name="Normal 7 3 2 2 2" xfId="5964"/>
    <cellStyle name="Normal 7 3 2 2 2 2" xfId="9050"/>
    <cellStyle name="Normal 7 3 2 2 2 2 2" xfId="15243"/>
    <cellStyle name="Normal 7 3 2 2 2 2 2 2" xfId="34921"/>
    <cellStyle name="Normal 7 3 2 2 2 2 3" xfId="21395"/>
    <cellStyle name="Normal 7 3 2 2 2 2 3 2" xfId="41073"/>
    <cellStyle name="Normal 7 3 2 2 2 2 4" xfId="28757"/>
    <cellStyle name="Normal 7 3 2 2 2 3" xfId="12177"/>
    <cellStyle name="Normal 7 3 2 2 2 3 2" xfId="31855"/>
    <cellStyle name="Normal 7 3 2 2 2 4" xfId="18329"/>
    <cellStyle name="Normal 7 3 2 2 2 4 2" xfId="38007"/>
    <cellStyle name="Normal 7 3 2 2 2 5" xfId="25691"/>
    <cellStyle name="Normal 7 3 2 2 3" xfId="7515"/>
    <cellStyle name="Normal 7 3 2 2 3 2" xfId="13709"/>
    <cellStyle name="Normal 7 3 2 2 3 2 2" xfId="33387"/>
    <cellStyle name="Normal 7 3 2 2 3 3" xfId="19861"/>
    <cellStyle name="Normal 7 3 2 2 3 3 2" xfId="39539"/>
    <cellStyle name="Normal 7 3 2 2 3 4" xfId="27223"/>
    <cellStyle name="Normal 7 3 2 2 4" xfId="10643"/>
    <cellStyle name="Normal 7 3 2 2 4 2" xfId="30321"/>
    <cellStyle name="Normal 7 3 2 2 5" xfId="16795"/>
    <cellStyle name="Normal 7 3 2 2 5 2" xfId="36473"/>
    <cellStyle name="Normal 7 3 2 2 6" xfId="4339"/>
    <cellStyle name="Normal 7 3 2 2 7" xfId="24157"/>
    <cellStyle name="Normal 7 3 2 3" xfId="5181"/>
    <cellStyle name="Normal 7 3 2 3 2" xfId="8281"/>
    <cellStyle name="Normal 7 3 2 3 2 2" xfId="14474"/>
    <cellStyle name="Normal 7 3 2 3 2 2 2" xfId="34152"/>
    <cellStyle name="Normal 7 3 2 3 2 3" xfId="20626"/>
    <cellStyle name="Normal 7 3 2 3 2 3 2" xfId="40304"/>
    <cellStyle name="Normal 7 3 2 3 2 4" xfId="27988"/>
    <cellStyle name="Normal 7 3 2 3 3" xfId="11408"/>
    <cellStyle name="Normal 7 3 2 3 3 2" xfId="31086"/>
    <cellStyle name="Normal 7 3 2 3 4" xfId="17560"/>
    <cellStyle name="Normal 7 3 2 3 4 2" xfId="37238"/>
    <cellStyle name="Normal 7 3 2 3 5" xfId="24922"/>
    <cellStyle name="Normal 7 3 2 4" xfId="6746"/>
    <cellStyle name="Normal 7 3 2 4 2" xfId="12940"/>
    <cellStyle name="Normal 7 3 2 4 2 2" xfId="32618"/>
    <cellStyle name="Normal 7 3 2 4 3" xfId="19092"/>
    <cellStyle name="Normal 7 3 2 4 3 2" xfId="38770"/>
    <cellStyle name="Normal 7 3 2 4 4" xfId="26454"/>
    <cellStyle name="Normal 7 3 2 5" xfId="9874"/>
    <cellStyle name="Normal 7 3 2 5 2" xfId="29552"/>
    <cellStyle name="Normal 7 3 2 6" xfId="16026"/>
    <cellStyle name="Normal 7 3 2 6 2" xfId="35704"/>
    <cellStyle name="Normal 7 3 2 7" xfId="3158"/>
    <cellStyle name="Normal 7 3 2 7 2" xfId="23365"/>
    <cellStyle name="Normal 7 3 2 8" xfId="21741"/>
    <cellStyle name="Normal 7 3 3" xfId="167"/>
    <cellStyle name="Normal 7 3 3 2" xfId="4340"/>
    <cellStyle name="Normal 7 3 3 2 2" xfId="5965"/>
    <cellStyle name="Normal 7 3 3 2 2 2" xfId="9051"/>
    <cellStyle name="Normal 7 3 3 2 2 2 2" xfId="15244"/>
    <cellStyle name="Normal 7 3 3 2 2 2 2 2" xfId="34922"/>
    <cellStyle name="Normal 7 3 3 2 2 2 3" xfId="21396"/>
    <cellStyle name="Normal 7 3 3 2 2 2 3 2" xfId="41074"/>
    <cellStyle name="Normal 7 3 3 2 2 2 4" xfId="28758"/>
    <cellStyle name="Normal 7 3 3 2 2 3" xfId="12178"/>
    <cellStyle name="Normal 7 3 3 2 2 3 2" xfId="31856"/>
    <cellStyle name="Normal 7 3 3 2 2 4" xfId="18330"/>
    <cellStyle name="Normal 7 3 3 2 2 4 2" xfId="38008"/>
    <cellStyle name="Normal 7 3 3 2 2 5" xfId="25692"/>
    <cellStyle name="Normal 7 3 3 2 3" xfId="7516"/>
    <cellStyle name="Normal 7 3 3 2 3 2" xfId="13710"/>
    <cellStyle name="Normal 7 3 3 2 3 2 2" xfId="33388"/>
    <cellStyle name="Normal 7 3 3 2 3 3" xfId="19862"/>
    <cellStyle name="Normal 7 3 3 2 3 3 2" xfId="39540"/>
    <cellStyle name="Normal 7 3 3 2 3 4" xfId="27224"/>
    <cellStyle name="Normal 7 3 3 2 4" xfId="10644"/>
    <cellStyle name="Normal 7 3 3 2 4 2" xfId="30322"/>
    <cellStyle name="Normal 7 3 3 2 5" xfId="16796"/>
    <cellStyle name="Normal 7 3 3 2 5 2" xfId="36474"/>
    <cellStyle name="Normal 7 3 3 2 6" xfId="24158"/>
    <cellStyle name="Normal 7 3 3 3" xfId="5182"/>
    <cellStyle name="Normal 7 3 3 3 2" xfId="8282"/>
    <cellStyle name="Normal 7 3 3 3 2 2" xfId="14475"/>
    <cellStyle name="Normal 7 3 3 3 2 2 2" xfId="34153"/>
    <cellStyle name="Normal 7 3 3 3 2 3" xfId="20627"/>
    <cellStyle name="Normal 7 3 3 3 2 3 2" xfId="40305"/>
    <cellStyle name="Normal 7 3 3 3 2 4" xfId="27989"/>
    <cellStyle name="Normal 7 3 3 3 3" xfId="11409"/>
    <cellStyle name="Normal 7 3 3 3 3 2" xfId="31087"/>
    <cellStyle name="Normal 7 3 3 3 4" xfId="17561"/>
    <cellStyle name="Normal 7 3 3 3 4 2" xfId="37239"/>
    <cellStyle name="Normal 7 3 3 3 5" xfId="24923"/>
    <cellStyle name="Normal 7 3 3 4" xfId="6747"/>
    <cellStyle name="Normal 7 3 3 4 2" xfId="12941"/>
    <cellStyle name="Normal 7 3 3 4 2 2" xfId="32619"/>
    <cellStyle name="Normal 7 3 3 4 3" xfId="19093"/>
    <cellStyle name="Normal 7 3 3 4 3 2" xfId="38771"/>
    <cellStyle name="Normal 7 3 3 4 4" xfId="26455"/>
    <cellStyle name="Normal 7 3 3 5" xfId="9875"/>
    <cellStyle name="Normal 7 3 3 5 2" xfId="29553"/>
    <cellStyle name="Normal 7 3 3 6" xfId="16027"/>
    <cellStyle name="Normal 7 3 3 6 2" xfId="35705"/>
    <cellStyle name="Normal 7 3 3 7" xfId="3159"/>
    <cellStyle name="Normal 7 3 3 8" xfId="23366"/>
    <cellStyle name="Normal 7 3 4" xfId="3160"/>
    <cellStyle name="Normal 7 3 4 2" xfId="4341"/>
    <cellStyle name="Normal 7 3 4 2 2" xfId="5966"/>
    <cellStyle name="Normal 7 3 4 2 2 2" xfId="9052"/>
    <cellStyle name="Normal 7 3 4 2 2 2 2" xfId="15245"/>
    <cellStyle name="Normal 7 3 4 2 2 2 2 2" xfId="34923"/>
    <cellStyle name="Normal 7 3 4 2 2 2 3" xfId="21397"/>
    <cellStyle name="Normal 7 3 4 2 2 2 3 2" xfId="41075"/>
    <cellStyle name="Normal 7 3 4 2 2 2 4" xfId="28759"/>
    <cellStyle name="Normal 7 3 4 2 2 3" xfId="12179"/>
    <cellStyle name="Normal 7 3 4 2 2 3 2" xfId="31857"/>
    <cellStyle name="Normal 7 3 4 2 2 4" xfId="18331"/>
    <cellStyle name="Normal 7 3 4 2 2 4 2" xfId="38009"/>
    <cellStyle name="Normal 7 3 4 2 2 5" xfId="25693"/>
    <cellStyle name="Normal 7 3 4 2 3" xfId="7517"/>
    <cellStyle name="Normal 7 3 4 2 3 2" xfId="13711"/>
    <cellStyle name="Normal 7 3 4 2 3 2 2" xfId="33389"/>
    <cellStyle name="Normal 7 3 4 2 3 3" xfId="19863"/>
    <cellStyle name="Normal 7 3 4 2 3 3 2" xfId="39541"/>
    <cellStyle name="Normal 7 3 4 2 3 4" xfId="27225"/>
    <cellStyle name="Normal 7 3 4 2 4" xfId="10645"/>
    <cellStyle name="Normal 7 3 4 2 4 2" xfId="30323"/>
    <cellStyle name="Normal 7 3 4 2 5" xfId="16797"/>
    <cellStyle name="Normal 7 3 4 2 5 2" xfId="36475"/>
    <cellStyle name="Normal 7 3 4 2 6" xfId="24159"/>
    <cellStyle name="Normal 7 3 4 3" xfId="5183"/>
    <cellStyle name="Normal 7 3 4 3 2" xfId="8283"/>
    <cellStyle name="Normal 7 3 4 3 2 2" xfId="14476"/>
    <cellStyle name="Normal 7 3 4 3 2 2 2" xfId="34154"/>
    <cellStyle name="Normal 7 3 4 3 2 3" xfId="20628"/>
    <cellStyle name="Normal 7 3 4 3 2 3 2" xfId="40306"/>
    <cellStyle name="Normal 7 3 4 3 2 4" xfId="27990"/>
    <cellStyle name="Normal 7 3 4 3 3" xfId="11410"/>
    <cellStyle name="Normal 7 3 4 3 3 2" xfId="31088"/>
    <cellStyle name="Normal 7 3 4 3 4" xfId="17562"/>
    <cellStyle name="Normal 7 3 4 3 4 2" xfId="37240"/>
    <cellStyle name="Normal 7 3 4 3 5" xfId="24924"/>
    <cellStyle name="Normal 7 3 4 4" xfId="6748"/>
    <cellStyle name="Normal 7 3 4 4 2" xfId="12942"/>
    <cellStyle name="Normal 7 3 4 4 2 2" xfId="32620"/>
    <cellStyle name="Normal 7 3 4 4 3" xfId="19094"/>
    <cellStyle name="Normal 7 3 4 4 3 2" xfId="38772"/>
    <cellStyle name="Normal 7 3 4 4 4" xfId="26456"/>
    <cellStyle name="Normal 7 3 4 5" xfId="9876"/>
    <cellStyle name="Normal 7 3 4 5 2" xfId="29554"/>
    <cellStyle name="Normal 7 3 4 6" xfId="16028"/>
    <cellStyle name="Normal 7 3 4 6 2" xfId="35706"/>
    <cellStyle name="Normal 7 3 4 7" xfId="23367"/>
    <cellStyle name="Normal 7 3 5" xfId="3161"/>
    <cellStyle name="Normal 7 3 5 2" xfId="4342"/>
    <cellStyle name="Normal 7 3 5 2 2" xfId="5967"/>
    <cellStyle name="Normal 7 3 5 2 2 2" xfId="9053"/>
    <cellStyle name="Normal 7 3 5 2 2 2 2" xfId="15246"/>
    <cellStyle name="Normal 7 3 5 2 2 2 2 2" xfId="34924"/>
    <cellStyle name="Normal 7 3 5 2 2 2 3" xfId="21398"/>
    <cellStyle name="Normal 7 3 5 2 2 2 3 2" xfId="41076"/>
    <cellStyle name="Normal 7 3 5 2 2 2 4" xfId="28760"/>
    <cellStyle name="Normal 7 3 5 2 2 3" xfId="12180"/>
    <cellStyle name="Normal 7 3 5 2 2 3 2" xfId="31858"/>
    <cellStyle name="Normal 7 3 5 2 2 4" xfId="18332"/>
    <cellStyle name="Normal 7 3 5 2 2 4 2" xfId="38010"/>
    <cellStyle name="Normal 7 3 5 2 2 5" xfId="25694"/>
    <cellStyle name="Normal 7 3 5 2 3" xfId="7518"/>
    <cellStyle name="Normal 7 3 5 2 3 2" xfId="13712"/>
    <cellStyle name="Normal 7 3 5 2 3 2 2" xfId="33390"/>
    <cellStyle name="Normal 7 3 5 2 3 3" xfId="19864"/>
    <cellStyle name="Normal 7 3 5 2 3 3 2" xfId="39542"/>
    <cellStyle name="Normal 7 3 5 2 3 4" xfId="27226"/>
    <cellStyle name="Normal 7 3 5 2 4" xfId="10646"/>
    <cellStyle name="Normal 7 3 5 2 4 2" xfId="30324"/>
    <cellStyle name="Normal 7 3 5 2 5" xfId="16798"/>
    <cellStyle name="Normal 7 3 5 2 5 2" xfId="36476"/>
    <cellStyle name="Normal 7 3 5 2 6" xfId="24160"/>
    <cellStyle name="Normal 7 3 5 3" xfId="5184"/>
    <cellStyle name="Normal 7 3 5 3 2" xfId="8284"/>
    <cellStyle name="Normal 7 3 5 3 2 2" xfId="14477"/>
    <cellStyle name="Normal 7 3 5 3 2 2 2" xfId="34155"/>
    <cellStyle name="Normal 7 3 5 3 2 3" xfId="20629"/>
    <cellStyle name="Normal 7 3 5 3 2 3 2" xfId="40307"/>
    <cellStyle name="Normal 7 3 5 3 2 4" xfId="27991"/>
    <cellStyle name="Normal 7 3 5 3 3" xfId="11411"/>
    <cellStyle name="Normal 7 3 5 3 3 2" xfId="31089"/>
    <cellStyle name="Normal 7 3 5 3 4" xfId="17563"/>
    <cellStyle name="Normal 7 3 5 3 4 2" xfId="37241"/>
    <cellStyle name="Normal 7 3 5 3 5" xfId="24925"/>
    <cellStyle name="Normal 7 3 5 4" xfId="6749"/>
    <cellStyle name="Normal 7 3 5 4 2" xfId="12943"/>
    <cellStyle name="Normal 7 3 5 4 2 2" xfId="32621"/>
    <cellStyle name="Normal 7 3 5 4 3" xfId="19095"/>
    <cellStyle name="Normal 7 3 5 4 3 2" xfId="38773"/>
    <cellStyle name="Normal 7 3 5 4 4" xfId="26457"/>
    <cellStyle name="Normal 7 3 5 5" xfId="9877"/>
    <cellStyle name="Normal 7 3 5 5 2" xfId="29555"/>
    <cellStyle name="Normal 7 3 5 6" xfId="16029"/>
    <cellStyle name="Normal 7 3 5 6 2" xfId="35707"/>
    <cellStyle name="Normal 7 3 5 7" xfId="23368"/>
    <cellStyle name="Normal 7 3 6" xfId="4338"/>
    <cellStyle name="Normal 7 3 6 2" xfId="5963"/>
    <cellStyle name="Normal 7 3 6 2 2" xfId="9049"/>
    <cellStyle name="Normal 7 3 6 2 2 2" xfId="15242"/>
    <cellStyle name="Normal 7 3 6 2 2 2 2" xfId="34920"/>
    <cellStyle name="Normal 7 3 6 2 2 3" xfId="21394"/>
    <cellStyle name="Normal 7 3 6 2 2 3 2" xfId="41072"/>
    <cellStyle name="Normal 7 3 6 2 2 4" xfId="28756"/>
    <cellStyle name="Normal 7 3 6 2 3" xfId="12176"/>
    <cellStyle name="Normal 7 3 6 2 3 2" xfId="31854"/>
    <cellStyle name="Normal 7 3 6 2 4" xfId="18328"/>
    <cellStyle name="Normal 7 3 6 2 4 2" xfId="38006"/>
    <cellStyle name="Normal 7 3 6 2 5" xfId="25690"/>
    <cellStyle name="Normal 7 3 6 3" xfId="7514"/>
    <cellStyle name="Normal 7 3 6 3 2" xfId="13708"/>
    <cellStyle name="Normal 7 3 6 3 2 2" xfId="33386"/>
    <cellStyle name="Normal 7 3 6 3 3" xfId="19860"/>
    <cellStyle name="Normal 7 3 6 3 3 2" xfId="39538"/>
    <cellStyle name="Normal 7 3 6 3 4" xfId="27222"/>
    <cellStyle name="Normal 7 3 6 4" xfId="10642"/>
    <cellStyle name="Normal 7 3 6 4 2" xfId="30320"/>
    <cellStyle name="Normal 7 3 6 5" xfId="16794"/>
    <cellStyle name="Normal 7 3 6 5 2" xfId="36472"/>
    <cellStyle name="Normal 7 3 6 6" xfId="24156"/>
    <cellStyle name="Normal 7 3 7" xfId="5180"/>
    <cellStyle name="Normal 7 3 7 2" xfId="8280"/>
    <cellStyle name="Normal 7 3 7 2 2" xfId="14473"/>
    <cellStyle name="Normal 7 3 7 2 2 2" xfId="34151"/>
    <cellStyle name="Normal 7 3 7 2 3" xfId="20625"/>
    <cellStyle name="Normal 7 3 7 2 3 2" xfId="40303"/>
    <cellStyle name="Normal 7 3 7 2 4" xfId="27987"/>
    <cellStyle name="Normal 7 3 7 3" xfId="11407"/>
    <cellStyle name="Normal 7 3 7 3 2" xfId="31085"/>
    <cellStyle name="Normal 7 3 7 4" xfId="17559"/>
    <cellStyle name="Normal 7 3 7 4 2" xfId="37237"/>
    <cellStyle name="Normal 7 3 7 5" xfId="24921"/>
    <cellStyle name="Normal 7 3 8" xfId="6745"/>
    <cellStyle name="Normal 7 3 8 2" xfId="12939"/>
    <cellStyle name="Normal 7 3 8 2 2" xfId="32617"/>
    <cellStyle name="Normal 7 3 8 3" xfId="19091"/>
    <cellStyle name="Normal 7 3 8 3 2" xfId="38769"/>
    <cellStyle name="Normal 7 3 8 4" xfId="26453"/>
    <cellStyle name="Normal 7 3 9" xfId="9873"/>
    <cellStyle name="Normal 7 3 9 2" xfId="29551"/>
    <cellStyle name="Normal 7 30" xfId="42080"/>
    <cellStyle name="Normal 7 4" xfId="86"/>
    <cellStyle name="Normal 7 4 2" xfId="192"/>
    <cellStyle name="Normal 7 4 2 2" xfId="5968"/>
    <cellStyle name="Normal 7 4 2 2 2" xfId="9054"/>
    <cellStyle name="Normal 7 4 2 2 2 2" xfId="15247"/>
    <cellStyle name="Normal 7 4 2 2 2 2 2" xfId="34925"/>
    <cellStyle name="Normal 7 4 2 2 2 3" xfId="21399"/>
    <cellStyle name="Normal 7 4 2 2 2 3 2" xfId="41077"/>
    <cellStyle name="Normal 7 4 2 2 2 4" xfId="28761"/>
    <cellStyle name="Normal 7 4 2 2 3" xfId="12181"/>
    <cellStyle name="Normal 7 4 2 2 3 2" xfId="31859"/>
    <cellStyle name="Normal 7 4 2 2 4" xfId="18333"/>
    <cellStyle name="Normal 7 4 2 2 4 2" xfId="38011"/>
    <cellStyle name="Normal 7 4 2 2 5" xfId="25695"/>
    <cellStyle name="Normal 7 4 2 3" xfId="7519"/>
    <cellStyle name="Normal 7 4 2 3 2" xfId="13713"/>
    <cellStyle name="Normal 7 4 2 3 2 2" xfId="33391"/>
    <cellStyle name="Normal 7 4 2 3 3" xfId="19865"/>
    <cellStyle name="Normal 7 4 2 3 3 2" xfId="39543"/>
    <cellStyle name="Normal 7 4 2 3 4" xfId="27227"/>
    <cellStyle name="Normal 7 4 2 4" xfId="10647"/>
    <cellStyle name="Normal 7 4 2 4 2" xfId="30325"/>
    <cellStyle name="Normal 7 4 2 5" xfId="16799"/>
    <cellStyle name="Normal 7 4 2 5 2" xfId="36477"/>
    <cellStyle name="Normal 7 4 2 6" xfId="4343"/>
    <cellStyle name="Normal 7 4 2 7" xfId="24161"/>
    <cellStyle name="Normal 7 4 3" xfId="5185"/>
    <cellStyle name="Normal 7 4 3 2" xfId="8285"/>
    <cellStyle name="Normal 7 4 3 2 2" xfId="14478"/>
    <cellStyle name="Normal 7 4 3 2 2 2" xfId="34156"/>
    <cellStyle name="Normal 7 4 3 2 3" xfId="20630"/>
    <cellStyle name="Normal 7 4 3 2 3 2" xfId="40308"/>
    <cellStyle name="Normal 7 4 3 2 4" xfId="27992"/>
    <cellStyle name="Normal 7 4 3 3" xfId="11412"/>
    <cellStyle name="Normal 7 4 3 3 2" xfId="31090"/>
    <cellStyle name="Normal 7 4 3 4" xfId="17564"/>
    <cellStyle name="Normal 7 4 3 4 2" xfId="37242"/>
    <cellStyle name="Normal 7 4 3 5" xfId="24926"/>
    <cellStyle name="Normal 7 4 4" xfId="6750"/>
    <cellStyle name="Normal 7 4 4 2" xfId="12944"/>
    <cellStyle name="Normal 7 4 4 2 2" xfId="32622"/>
    <cellStyle name="Normal 7 4 4 3" xfId="19096"/>
    <cellStyle name="Normal 7 4 4 3 2" xfId="38774"/>
    <cellStyle name="Normal 7 4 4 4" xfId="26458"/>
    <cellStyle name="Normal 7 4 5" xfId="9878"/>
    <cellStyle name="Normal 7 4 5 2" xfId="29556"/>
    <cellStyle name="Normal 7 4 6" xfId="16030"/>
    <cellStyle name="Normal 7 4 6 2" xfId="35708"/>
    <cellStyle name="Normal 7 4 7" xfId="3162"/>
    <cellStyle name="Normal 7 4 7 2" xfId="23369"/>
    <cellStyle name="Normal 7 4 8" xfId="42031"/>
    <cellStyle name="Normal 7 4 9" xfId="21728"/>
    <cellStyle name="Normal 7 5" xfId="130"/>
    <cellStyle name="Normal 7 5 2" xfId="180"/>
    <cellStyle name="Normal 7 5 2 2" xfId="5969"/>
    <cellStyle name="Normal 7 5 2 2 2" xfId="9055"/>
    <cellStyle name="Normal 7 5 2 2 2 2" xfId="15248"/>
    <cellStyle name="Normal 7 5 2 2 2 2 2" xfId="34926"/>
    <cellStyle name="Normal 7 5 2 2 2 3" xfId="21400"/>
    <cellStyle name="Normal 7 5 2 2 2 3 2" xfId="41078"/>
    <cellStyle name="Normal 7 5 2 2 2 4" xfId="28762"/>
    <cellStyle name="Normal 7 5 2 2 3" xfId="12182"/>
    <cellStyle name="Normal 7 5 2 2 3 2" xfId="31860"/>
    <cellStyle name="Normal 7 5 2 2 4" xfId="18334"/>
    <cellStyle name="Normal 7 5 2 2 4 2" xfId="38012"/>
    <cellStyle name="Normal 7 5 2 2 5" xfId="25696"/>
    <cellStyle name="Normal 7 5 2 3" xfId="7520"/>
    <cellStyle name="Normal 7 5 2 3 2" xfId="13714"/>
    <cellStyle name="Normal 7 5 2 3 2 2" xfId="33392"/>
    <cellStyle name="Normal 7 5 2 3 3" xfId="19866"/>
    <cellStyle name="Normal 7 5 2 3 3 2" xfId="39544"/>
    <cellStyle name="Normal 7 5 2 3 4" xfId="27228"/>
    <cellStyle name="Normal 7 5 2 4" xfId="10648"/>
    <cellStyle name="Normal 7 5 2 4 2" xfId="30326"/>
    <cellStyle name="Normal 7 5 2 5" xfId="16800"/>
    <cellStyle name="Normal 7 5 2 5 2" xfId="36478"/>
    <cellStyle name="Normal 7 5 2 6" xfId="4344"/>
    <cellStyle name="Normal 7 5 2 7" xfId="24162"/>
    <cellStyle name="Normal 7 5 3" xfId="5186"/>
    <cellStyle name="Normal 7 5 3 2" xfId="8286"/>
    <cellStyle name="Normal 7 5 3 2 2" xfId="14479"/>
    <cellStyle name="Normal 7 5 3 2 2 2" xfId="34157"/>
    <cellStyle name="Normal 7 5 3 2 3" xfId="20631"/>
    <cellStyle name="Normal 7 5 3 2 3 2" xfId="40309"/>
    <cellStyle name="Normal 7 5 3 2 4" xfId="27993"/>
    <cellStyle name="Normal 7 5 3 3" xfId="11413"/>
    <cellStyle name="Normal 7 5 3 3 2" xfId="31091"/>
    <cellStyle name="Normal 7 5 3 4" xfId="17565"/>
    <cellStyle name="Normal 7 5 3 4 2" xfId="37243"/>
    <cellStyle name="Normal 7 5 3 5" xfId="24927"/>
    <cellStyle name="Normal 7 5 4" xfId="6751"/>
    <cellStyle name="Normal 7 5 4 2" xfId="12945"/>
    <cellStyle name="Normal 7 5 4 2 2" xfId="32623"/>
    <cellStyle name="Normal 7 5 4 3" xfId="19097"/>
    <cellStyle name="Normal 7 5 4 3 2" xfId="38775"/>
    <cellStyle name="Normal 7 5 4 4" xfId="26459"/>
    <cellStyle name="Normal 7 5 5" xfId="9879"/>
    <cellStyle name="Normal 7 5 5 2" xfId="29557"/>
    <cellStyle name="Normal 7 5 6" xfId="16031"/>
    <cellStyle name="Normal 7 5 6 2" xfId="35709"/>
    <cellStyle name="Normal 7 5 7" xfId="3163"/>
    <cellStyle name="Normal 7 5 7 2" xfId="23370"/>
    <cellStyle name="Normal 7 5 8" xfId="42032"/>
    <cellStyle name="Normal 7 5 9" xfId="21716"/>
    <cellStyle name="Normal 7 6" xfId="154"/>
    <cellStyle name="Normal 7 6 2" xfId="4345"/>
    <cellStyle name="Normal 7 6 2 2" xfId="5970"/>
    <cellStyle name="Normal 7 6 2 2 2" xfId="9056"/>
    <cellStyle name="Normal 7 6 2 2 2 2" xfId="15249"/>
    <cellStyle name="Normal 7 6 2 2 2 2 2" xfId="34927"/>
    <cellStyle name="Normal 7 6 2 2 2 3" xfId="21401"/>
    <cellStyle name="Normal 7 6 2 2 2 3 2" xfId="41079"/>
    <cellStyle name="Normal 7 6 2 2 2 4" xfId="28763"/>
    <cellStyle name="Normal 7 6 2 2 3" xfId="12183"/>
    <cellStyle name="Normal 7 6 2 2 3 2" xfId="31861"/>
    <cellStyle name="Normal 7 6 2 2 4" xfId="18335"/>
    <cellStyle name="Normal 7 6 2 2 4 2" xfId="38013"/>
    <cellStyle name="Normal 7 6 2 2 5" xfId="25697"/>
    <cellStyle name="Normal 7 6 2 3" xfId="7521"/>
    <cellStyle name="Normal 7 6 2 3 2" xfId="13715"/>
    <cellStyle name="Normal 7 6 2 3 2 2" xfId="33393"/>
    <cellStyle name="Normal 7 6 2 3 3" xfId="19867"/>
    <cellStyle name="Normal 7 6 2 3 3 2" xfId="39545"/>
    <cellStyle name="Normal 7 6 2 3 4" xfId="27229"/>
    <cellStyle name="Normal 7 6 2 4" xfId="10649"/>
    <cellStyle name="Normal 7 6 2 4 2" xfId="30327"/>
    <cellStyle name="Normal 7 6 2 5" xfId="16801"/>
    <cellStyle name="Normal 7 6 2 5 2" xfId="36479"/>
    <cellStyle name="Normal 7 6 2 6" xfId="24163"/>
    <cellStyle name="Normal 7 6 3" xfId="5187"/>
    <cellStyle name="Normal 7 6 3 2" xfId="8287"/>
    <cellStyle name="Normal 7 6 3 2 2" xfId="14480"/>
    <cellStyle name="Normal 7 6 3 2 2 2" xfId="34158"/>
    <cellStyle name="Normal 7 6 3 2 3" xfId="20632"/>
    <cellStyle name="Normal 7 6 3 2 3 2" xfId="40310"/>
    <cellStyle name="Normal 7 6 3 2 4" xfId="27994"/>
    <cellStyle name="Normal 7 6 3 3" xfId="11414"/>
    <cellStyle name="Normal 7 6 3 3 2" xfId="31092"/>
    <cellStyle name="Normal 7 6 3 4" xfId="17566"/>
    <cellStyle name="Normal 7 6 3 4 2" xfId="37244"/>
    <cellStyle name="Normal 7 6 3 5" xfId="24928"/>
    <cellStyle name="Normal 7 6 4" xfId="6752"/>
    <cellStyle name="Normal 7 6 4 2" xfId="12946"/>
    <cellStyle name="Normal 7 6 4 2 2" xfId="32624"/>
    <cellStyle name="Normal 7 6 4 3" xfId="19098"/>
    <cellStyle name="Normal 7 6 4 3 2" xfId="38776"/>
    <cellStyle name="Normal 7 6 4 4" xfId="26460"/>
    <cellStyle name="Normal 7 6 5" xfId="9880"/>
    <cellStyle name="Normal 7 6 5 2" xfId="29558"/>
    <cellStyle name="Normal 7 6 6" xfId="16032"/>
    <cellStyle name="Normal 7 6 6 2" xfId="35710"/>
    <cellStyle name="Normal 7 6 7" xfId="3164"/>
    <cellStyle name="Normal 7 6 8" xfId="23371"/>
    <cellStyle name="Normal 7 7" xfId="3165"/>
    <cellStyle name="Normal 7 7 2" xfId="4346"/>
    <cellStyle name="Normal 7 7 2 2" xfId="5971"/>
    <cellStyle name="Normal 7 7 2 2 2" xfId="9057"/>
    <cellStyle name="Normal 7 7 2 2 2 2" xfId="15250"/>
    <cellStyle name="Normal 7 7 2 2 2 2 2" xfId="34928"/>
    <cellStyle name="Normal 7 7 2 2 2 3" xfId="21402"/>
    <cellStyle name="Normal 7 7 2 2 2 3 2" xfId="41080"/>
    <cellStyle name="Normal 7 7 2 2 2 4" xfId="28764"/>
    <cellStyle name="Normal 7 7 2 2 3" xfId="12184"/>
    <cellStyle name="Normal 7 7 2 2 3 2" xfId="31862"/>
    <cellStyle name="Normal 7 7 2 2 4" xfId="18336"/>
    <cellStyle name="Normal 7 7 2 2 4 2" xfId="38014"/>
    <cellStyle name="Normal 7 7 2 2 5" xfId="25698"/>
    <cellStyle name="Normal 7 7 2 3" xfId="7522"/>
    <cellStyle name="Normal 7 7 2 3 2" xfId="13716"/>
    <cellStyle name="Normal 7 7 2 3 2 2" xfId="33394"/>
    <cellStyle name="Normal 7 7 2 3 3" xfId="19868"/>
    <cellStyle name="Normal 7 7 2 3 3 2" xfId="39546"/>
    <cellStyle name="Normal 7 7 2 3 4" xfId="27230"/>
    <cellStyle name="Normal 7 7 2 4" xfId="10650"/>
    <cellStyle name="Normal 7 7 2 4 2" xfId="30328"/>
    <cellStyle name="Normal 7 7 2 5" xfId="16802"/>
    <cellStyle name="Normal 7 7 2 5 2" xfId="36480"/>
    <cellStyle name="Normal 7 7 2 6" xfId="24164"/>
    <cellStyle name="Normal 7 7 3" xfId="5188"/>
    <cellStyle name="Normal 7 7 3 2" xfId="8288"/>
    <cellStyle name="Normal 7 7 3 2 2" xfId="14481"/>
    <cellStyle name="Normal 7 7 3 2 2 2" xfId="34159"/>
    <cellStyle name="Normal 7 7 3 2 3" xfId="20633"/>
    <cellStyle name="Normal 7 7 3 2 3 2" xfId="40311"/>
    <cellStyle name="Normal 7 7 3 2 4" xfId="27995"/>
    <cellStyle name="Normal 7 7 3 3" xfId="11415"/>
    <cellStyle name="Normal 7 7 3 3 2" xfId="31093"/>
    <cellStyle name="Normal 7 7 3 4" xfId="17567"/>
    <cellStyle name="Normal 7 7 3 4 2" xfId="37245"/>
    <cellStyle name="Normal 7 7 3 5" xfId="24929"/>
    <cellStyle name="Normal 7 7 4" xfId="6753"/>
    <cellStyle name="Normal 7 7 4 2" xfId="12947"/>
    <cellStyle name="Normal 7 7 4 2 2" xfId="32625"/>
    <cellStyle name="Normal 7 7 4 3" xfId="19099"/>
    <cellStyle name="Normal 7 7 4 3 2" xfId="38777"/>
    <cellStyle name="Normal 7 7 4 4" xfId="26461"/>
    <cellStyle name="Normal 7 7 5" xfId="9881"/>
    <cellStyle name="Normal 7 7 5 2" xfId="29559"/>
    <cellStyle name="Normal 7 7 6" xfId="16033"/>
    <cellStyle name="Normal 7 7 6 2" xfId="35711"/>
    <cellStyle name="Normal 7 7 7" xfId="23372"/>
    <cellStyle name="Normal 7 8" xfId="3166"/>
    <cellStyle name="Normal 7 8 2" xfId="4347"/>
    <cellStyle name="Normal 7 8 2 2" xfId="5972"/>
    <cellStyle name="Normal 7 8 2 2 2" xfId="9058"/>
    <cellStyle name="Normal 7 8 2 2 2 2" xfId="15251"/>
    <cellStyle name="Normal 7 8 2 2 2 2 2" xfId="34929"/>
    <cellStyle name="Normal 7 8 2 2 2 3" xfId="21403"/>
    <cellStyle name="Normal 7 8 2 2 2 3 2" xfId="41081"/>
    <cellStyle name="Normal 7 8 2 2 2 4" xfId="28765"/>
    <cellStyle name="Normal 7 8 2 2 3" xfId="12185"/>
    <cellStyle name="Normal 7 8 2 2 3 2" xfId="31863"/>
    <cellStyle name="Normal 7 8 2 2 4" xfId="18337"/>
    <cellStyle name="Normal 7 8 2 2 4 2" xfId="38015"/>
    <cellStyle name="Normal 7 8 2 2 5" xfId="25699"/>
    <cellStyle name="Normal 7 8 2 3" xfId="7523"/>
    <cellStyle name="Normal 7 8 2 3 2" xfId="13717"/>
    <cellStyle name="Normal 7 8 2 3 2 2" xfId="33395"/>
    <cellStyle name="Normal 7 8 2 3 3" xfId="19869"/>
    <cellStyle name="Normal 7 8 2 3 3 2" xfId="39547"/>
    <cellStyle name="Normal 7 8 2 3 4" xfId="27231"/>
    <cellStyle name="Normal 7 8 2 4" xfId="10651"/>
    <cellStyle name="Normal 7 8 2 4 2" xfId="30329"/>
    <cellStyle name="Normal 7 8 2 5" xfId="16803"/>
    <cellStyle name="Normal 7 8 2 5 2" xfId="36481"/>
    <cellStyle name="Normal 7 8 2 6" xfId="24165"/>
    <cellStyle name="Normal 7 8 3" xfId="5189"/>
    <cellStyle name="Normal 7 8 3 2" xfId="8289"/>
    <cellStyle name="Normal 7 8 3 2 2" xfId="14482"/>
    <cellStyle name="Normal 7 8 3 2 2 2" xfId="34160"/>
    <cellStyle name="Normal 7 8 3 2 3" xfId="20634"/>
    <cellStyle name="Normal 7 8 3 2 3 2" xfId="40312"/>
    <cellStyle name="Normal 7 8 3 2 4" xfId="27996"/>
    <cellStyle name="Normal 7 8 3 3" xfId="11416"/>
    <cellStyle name="Normal 7 8 3 3 2" xfId="31094"/>
    <cellStyle name="Normal 7 8 3 4" xfId="17568"/>
    <cellStyle name="Normal 7 8 3 4 2" xfId="37246"/>
    <cellStyle name="Normal 7 8 3 5" xfId="24930"/>
    <cellStyle name="Normal 7 8 4" xfId="6754"/>
    <cellStyle name="Normal 7 8 4 2" xfId="12948"/>
    <cellStyle name="Normal 7 8 4 2 2" xfId="32626"/>
    <cellStyle name="Normal 7 8 4 3" xfId="19100"/>
    <cellStyle name="Normal 7 8 4 3 2" xfId="38778"/>
    <cellStyle name="Normal 7 8 4 4" xfId="26462"/>
    <cellStyle name="Normal 7 8 5" xfId="9882"/>
    <cellStyle name="Normal 7 8 5 2" xfId="29560"/>
    <cellStyle name="Normal 7 8 6" xfId="16034"/>
    <cellStyle name="Normal 7 8 6 2" xfId="35712"/>
    <cellStyle name="Normal 7 8 7" xfId="23373"/>
    <cellStyle name="Normal 7 9" xfId="3167"/>
    <cellStyle name="Normal 7 9 2" xfId="4348"/>
    <cellStyle name="Normal 7 9 2 2" xfId="5973"/>
    <cellStyle name="Normal 7 9 2 2 2" xfId="9059"/>
    <cellStyle name="Normal 7 9 2 2 2 2" xfId="15252"/>
    <cellStyle name="Normal 7 9 2 2 2 2 2" xfId="34930"/>
    <cellStyle name="Normal 7 9 2 2 2 3" xfId="21404"/>
    <cellStyle name="Normal 7 9 2 2 2 3 2" xfId="41082"/>
    <cellStyle name="Normal 7 9 2 2 2 4" xfId="28766"/>
    <cellStyle name="Normal 7 9 2 2 3" xfId="12186"/>
    <cellStyle name="Normal 7 9 2 2 3 2" xfId="31864"/>
    <cellStyle name="Normal 7 9 2 2 4" xfId="18338"/>
    <cellStyle name="Normal 7 9 2 2 4 2" xfId="38016"/>
    <cellStyle name="Normal 7 9 2 2 5" xfId="25700"/>
    <cellStyle name="Normal 7 9 2 3" xfId="7524"/>
    <cellStyle name="Normal 7 9 2 3 2" xfId="13718"/>
    <cellStyle name="Normal 7 9 2 3 2 2" xfId="33396"/>
    <cellStyle name="Normal 7 9 2 3 3" xfId="19870"/>
    <cellStyle name="Normal 7 9 2 3 3 2" xfId="39548"/>
    <cellStyle name="Normal 7 9 2 3 4" xfId="27232"/>
    <cellStyle name="Normal 7 9 2 4" xfId="10652"/>
    <cellStyle name="Normal 7 9 2 4 2" xfId="30330"/>
    <cellStyle name="Normal 7 9 2 5" xfId="16804"/>
    <cellStyle name="Normal 7 9 2 5 2" xfId="36482"/>
    <cellStyle name="Normal 7 9 2 6" xfId="24166"/>
    <cellStyle name="Normal 7 9 3" xfId="5190"/>
    <cellStyle name="Normal 7 9 3 2" xfId="8290"/>
    <cellStyle name="Normal 7 9 3 2 2" xfId="14483"/>
    <cellStyle name="Normal 7 9 3 2 2 2" xfId="34161"/>
    <cellStyle name="Normal 7 9 3 2 3" xfId="20635"/>
    <cellStyle name="Normal 7 9 3 2 3 2" xfId="40313"/>
    <cellStyle name="Normal 7 9 3 2 4" xfId="27997"/>
    <cellStyle name="Normal 7 9 3 3" xfId="11417"/>
    <cellStyle name="Normal 7 9 3 3 2" xfId="31095"/>
    <cellStyle name="Normal 7 9 3 4" xfId="17569"/>
    <cellStyle name="Normal 7 9 3 4 2" xfId="37247"/>
    <cellStyle name="Normal 7 9 3 5" xfId="24931"/>
    <cellStyle name="Normal 7 9 4" xfId="6755"/>
    <cellStyle name="Normal 7 9 4 2" xfId="12949"/>
    <cellStyle name="Normal 7 9 4 2 2" xfId="32627"/>
    <cellStyle name="Normal 7 9 4 3" xfId="19101"/>
    <cellStyle name="Normal 7 9 4 3 2" xfId="38779"/>
    <cellStyle name="Normal 7 9 4 4" xfId="26463"/>
    <cellStyle name="Normal 7 9 5" xfId="9883"/>
    <cellStyle name="Normal 7 9 5 2" xfId="29561"/>
    <cellStyle name="Normal 7 9 6" xfId="16035"/>
    <cellStyle name="Normal 7 9 6 2" xfId="35713"/>
    <cellStyle name="Normal 7 9 7" xfId="23374"/>
    <cellStyle name="Normal 71" xfId="42033"/>
    <cellStyle name="Normal 8" xfId="15"/>
    <cellStyle name="Normal 8 10" xfId="3169"/>
    <cellStyle name="Normal 8 10 2" xfId="4350"/>
    <cellStyle name="Normal 8 10 2 2" xfId="5975"/>
    <cellStyle name="Normal 8 10 2 2 2" xfId="9061"/>
    <cellStyle name="Normal 8 10 2 2 2 2" xfId="15254"/>
    <cellStyle name="Normal 8 10 2 2 2 2 2" xfId="34932"/>
    <cellStyle name="Normal 8 10 2 2 2 3" xfId="21406"/>
    <cellStyle name="Normal 8 10 2 2 2 3 2" xfId="41084"/>
    <cellStyle name="Normal 8 10 2 2 2 4" xfId="28768"/>
    <cellStyle name="Normal 8 10 2 2 3" xfId="12188"/>
    <cellStyle name="Normal 8 10 2 2 3 2" xfId="31866"/>
    <cellStyle name="Normal 8 10 2 2 4" xfId="18340"/>
    <cellStyle name="Normal 8 10 2 2 4 2" xfId="38018"/>
    <cellStyle name="Normal 8 10 2 2 5" xfId="25702"/>
    <cellStyle name="Normal 8 10 2 3" xfId="7526"/>
    <cellStyle name="Normal 8 10 2 3 2" xfId="13720"/>
    <cellStyle name="Normal 8 10 2 3 2 2" xfId="33398"/>
    <cellStyle name="Normal 8 10 2 3 3" xfId="19872"/>
    <cellStyle name="Normal 8 10 2 3 3 2" xfId="39550"/>
    <cellStyle name="Normal 8 10 2 3 4" xfId="27234"/>
    <cellStyle name="Normal 8 10 2 4" xfId="10654"/>
    <cellStyle name="Normal 8 10 2 4 2" xfId="30332"/>
    <cellStyle name="Normal 8 10 2 5" xfId="16806"/>
    <cellStyle name="Normal 8 10 2 5 2" xfId="36484"/>
    <cellStyle name="Normal 8 10 2 6" xfId="24168"/>
    <cellStyle name="Normal 8 10 3" xfId="5192"/>
    <cellStyle name="Normal 8 10 3 2" xfId="8292"/>
    <cellStyle name="Normal 8 10 3 2 2" xfId="14485"/>
    <cellStyle name="Normal 8 10 3 2 2 2" xfId="34163"/>
    <cellStyle name="Normal 8 10 3 2 3" xfId="20637"/>
    <cellStyle name="Normal 8 10 3 2 3 2" xfId="40315"/>
    <cellStyle name="Normal 8 10 3 2 4" xfId="27999"/>
    <cellStyle name="Normal 8 10 3 3" xfId="11419"/>
    <cellStyle name="Normal 8 10 3 3 2" xfId="31097"/>
    <cellStyle name="Normal 8 10 3 4" xfId="17571"/>
    <cellStyle name="Normal 8 10 3 4 2" xfId="37249"/>
    <cellStyle name="Normal 8 10 3 5" xfId="24933"/>
    <cellStyle name="Normal 8 10 4" xfId="6757"/>
    <cellStyle name="Normal 8 10 4 2" xfId="12951"/>
    <cellStyle name="Normal 8 10 4 2 2" xfId="32629"/>
    <cellStyle name="Normal 8 10 4 3" xfId="19103"/>
    <cellStyle name="Normal 8 10 4 3 2" xfId="38781"/>
    <cellStyle name="Normal 8 10 4 4" xfId="26465"/>
    <cellStyle name="Normal 8 10 5" xfId="9885"/>
    <cellStyle name="Normal 8 10 5 2" xfId="29563"/>
    <cellStyle name="Normal 8 10 6" xfId="16037"/>
    <cellStyle name="Normal 8 10 6 2" xfId="35715"/>
    <cellStyle name="Normal 8 10 7" xfId="23376"/>
    <cellStyle name="Normal 8 11" xfId="3170"/>
    <cellStyle name="Normal 8 11 2" xfId="4351"/>
    <cellStyle name="Normal 8 11 2 2" xfId="5976"/>
    <cellStyle name="Normal 8 11 2 2 2" xfId="9062"/>
    <cellStyle name="Normal 8 11 2 2 2 2" xfId="15255"/>
    <cellStyle name="Normal 8 11 2 2 2 2 2" xfId="34933"/>
    <cellStyle name="Normal 8 11 2 2 2 3" xfId="21407"/>
    <cellStyle name="Normal 8 11 2 2 2 3 2" xfId="41085"/>
    <cellStyle name="Normal 8 11 2 2 2 4" xfId="28769"/>
    <cellStyle name="Normal 8 11 2 2 3" xfId="12189"/>
    <cellStyle name="Normal 8 11 2 2 3 2" xfId="31867"/>
    <cellStyle name="Normal 8 11 2 2 4" xfId="18341"/>
    <cellStyle name="Normal 8 11 2 2 4 2" xfId="38019"/>
    <cellStyle name="Normal 8 11 2 2 5" xfId="25703"/>
    <cellStyle name="Normal 8 11 2 3" xfId="7527"/>
    <cellStyle name="Normal 8 11 2 3 2" xfId="13721"/>
    <cellStyle name="Normal 8 11 2 3 2 2" xfId="33399"/>
    <cellStyle name="Normal 8 11 2 3 3" xfId="19873"/>
    <cellStyle name="Normal 8 11 2 3 3 2" xfId="39551"/>
    <cellStyle name="Normal 8 11 2 3 4" xfId="27235"/>
    <cellStyle name="Normal 8 11 2 4" xfId="10655"/>
    <cellStyle name="Normal 8 11 2 4 2" xfId="30333"/>
    <cellStyle name="Normal 8 11 2 5" xfId="16807"/>
    <cellStyle name="Normal 8 11 2 5 2" xfId="36485"/>
    <cellStyle name="Normal 8 11 2 6" xfId="24169"/>
    <cellStyle name="Normal 8 11 3" xfId="5193"/>
    <cellStyle name="Normal 8 11 3 2" xfId="8293"/>
    <cellStyle name="Normal 8 11 3 2 2" xfId="14486"/>
    <cellStyle name="Normal 8 11 3 2 2 2" xfId="34164"/>
    <cellStyle name="Normal 8 11 3 2 3" xfId="20638"/>
    <cellStyle name="Normal 8 11 3 2 3 2" xfId="40316"/>
    <cellStyle name="Normal 8 11 3 2 4" xfId="28000"/>
    <cellStyle name="Normal 8 11 3 3" xfId="11420"/>
    <cellStyle name="Normal 8 11 3 3 2" xfId="31098"/>
    <cellStyle name="Normal 8 11 3 4" xfId="17572"/>
    <cellStyle name="Normal 8 11 3 4 2" xfId="37250"/>
    <cellStyle name="Normal 8 11 3 5" xfId="24934"/>
    <cellStyle name="Normal 8 11 4" xfId="6758"/>
    <cellStyle name="Normal 8 11 4 2" xfId="12952"/>
    <cellStyle name="Normal 8 11 4 2 2" xfId="32630"/>
    <cellStyle name="Normal 8 11 4 3" xfId="19104"/>
    <cellStyle name="Normal 8 11 4 3 2" xfId="38782"/>
    <cellStyle name="Normal 8 11 4 4" xfId="26466"/>
    <cellStyle name="Normal 8 11 5" xfId="9886"/>
    <cellStyle name="Normal 8 11 5 2" xfId="29564"/>
    <cellStyle name="Normal 8 11 6" xfId="16038"/>
    <cellStyle name="Normal 8 11 6 2" xfId="35716"/>
    <cellStyle name="Normal 8 11 7" xfId="23377"/>
    <cellStyle name="Normal 8 12" xfId="3171"/>
    <cellStyle name="Normal 8 12 2" xfId="4352"/>
    <cellStyle name="Normal 8 12 2 2" xfId="5977"/>
    <cellStyle name="Normal 8 12 2 2 2" xfId="9063"/>
    <cellStyle name="Normal 8 12 2 2 2 2" xfId="15256"/>
    <cellStyle name="Normal 8 12 2 2 2 2 2" xfId="34934"/>
    <cellStyle name="Normal 8 12 2 2 2 3" xfId="21408"/>
    <cellStyle name="Normal 8 12 2 2 2 3 2" xfId="41086"/>
    <cellStyle name="Normal 8 12 2 2 2 4" xfId="28770"/>
    <cellStyle name="Normal 8 12 2 2 3" xfId="12190"/>
    <cellStyle name="Normal 8 12 2 2 3 2" xfId="31868"/>
    <cellStyle name="Normal 8 12 2 2 4" xfId="18342"/>
    <cellStyle name="Normal 8 12 2 2 4 2" xfId="38020"/>
    <cellStyle name="Normal 8 12 2 2 5" xfId="25704"/>
    <cellStyle name="Normal 8 12 2 3" xfId="7528"/>
    <cellStyle name="Normal 8 12 2 3 2" xfId="13722"/>
    <cellStyle name="Normal 8 12 2 3 2 2" xfId="33400"/>
    <cellStyle name="Normal 8 12 2 3 3" xfId="19874"/>
    <cellStyle name="Normal 8 12 2 3 3 2" xfId="39552"/>
    <cellStyle name="Normal 8 12 2 3 4" xfId="27236"/>
    <cellStyle name="Normal 8 12 2 4" xfId="10656"/>
    <cellStyle name="Normal 8 12 2 4 2" xfId="30334"/>
    <cellStyle name="Normal 8 12 2 5" xfId="16808"/>
    <cellStyle name="Normal 8 12 2 5 2" xfId="36486"/>
    <cellStyle name="Normal 8 12 2 6" xfId="24170"/>
    <cellStyle name="Normal 8 12 3" xfId="5194"/>
    <cellStyle name="Normal 8 12 3 2" xfId="8294"/>
    <cellStyle name="Normal 8 12 3 2 2" xfId="14487"/>
    <cellStyle name="Normal 8 12 3 2 2 2" xfId="34165"/>
    <cellStyle name="Normal 8 12 3 2 3" xfId="20639"/>
    <cellStyle name="Normal 8 12 3 2 3 2" xfId="40317"/>
    <cellStyle name="Normal 8 12 3 2 4" xfId="28001"/>
    <cellStyle name="Normal 8 12 3 3" xfId="11421"/>
    <cellStyle name="Normal 8 12 3 3 2" xfId="31099"/>
    <cellStyle name="Normal 8 12 3 4" xfId="17573"/>
    <cellStyle name="Normal 8 12 3 4 2" xfId="37251"/>
    <cellStyle name="Normal 8 12 3 5" xfId="24935"/>
    <cellStyle name="Normal 8 12 4" xfId="6759"/>
    <cellStyle name="Normal 8 12 4 2" xfId="12953"/>
    <cellStyle name="Normal 8 12 4 2 2" xfId="32631"/>
    <cellStyle name="Normal 8 12 4 3" xfId="19105"/>
    <cellStyle name="Normal 8 12 4 3 2" xfId="38783"/>
    <cellStyle name="Normal 8 12 4 4" xfId="26467"/>
    <cellStyle name="Normal 8 12 5" xfId="9887"/>
    <cellStyle name="Normal 8 12 5 2" xfId="29565"/>
    <cellStyle name="Normal 8 12 6" xfId="16039"/>
    <cellStyle name="Normal 8 12 6 2" xfId="35717"/>
    <cellStyle name="Normal 8 12 7" xfId="23378"/>
    <cellStyle name="Normal 8 13" xfId="3172"/>
    <cellStyle name="Normal 8 13 2" xfId="4353"/>
    <cellStyle name="Normal 8 13 2 2" xfId="5978"/>
    <cellStyle name="Normal 8 13 2 2 2" xfId="9064"/>
    <cellStyle name="Normal 8 13 2 2 2 2" xfId="15257"/>
    <cellStyle name="Normal 8 13 2 2 2 2 2" xfId="34935"/>
    <cellStyle name="Normal 8 13 2 2 2 3" xfId="21409"/>
    <cellStyle name="Normal 8 13 2 2 2 3 2" xfId="41087"/>
    <cellStyle name="Normal 8 13 2 2 2 4" xfId="28771"/>
    <cellStyle name="Normal 8 13 2 2 3" xfId="12191"/>
    <cellStyle name="Normal 8 13 2 2 3 2" xfId="31869"/>
    <cellStyle name="Normal 8 13 2 2 4" xfId="18343"/>
    <cellStyle name="Normal 8 13 2 2 4 2" xfId="38021"/>
    <cellStyle name="Normal 8 13 2 2 5" xfId="25705"/>
    <cellStyle name="Normal 8 13 2 3" xfId="7529"/>
    <cellStyle name="Normal 8 13 2 3 2" xfId="13723"/>
    <cellStyle name="Normal 8 13 2 3 2 2" xfId="33401"/>
    <cellStyle name="Normal 8 13 2 3 3" xfId="19875"/>
    <cellStyle name="Normal 8 13 2 3 3 2" xfId="39553"/>
    <cellStyle name="Normal 8 13 2 3 4" xfId="27237"/>
    <cellStyle name="Normal 8 13 2 4" xfId="10657"/>
    <cellStyle name="Normal 8 13 2 4 2" xfId="30335"/>
    <cellStyle name="Normal 8 13 2 5" xfId="16809"/>
    <cellStyle name="Normal 8 13 2 5 2" xfId="36487"/>
    <cellStyle name="Normal 8 13 2 6" xfId="24171"/>
    <cellStyle name="Normal 8 13 3" xfId="5195"/>
    <cellStyle name="Normal 8 13 3 2" xfId="8295"/>
    <cellStyle name="Normal 8 13 3 2 2" xfId="14488"/>
    <cellStyle name="Normal 8 13 3 2 2 2" xfId="34166"/>
    <cellStyle name="Normal 8 13 3 2 3" xfId="20640"/>
    <cellStyle name="Normal 8 13 3 2 3 2" xfId="40318"/>
    <cellStyle name="Normal 8 13 3 2 4" xfId="28002"/>
    <cellStyle name="Normal 8 13 3 3" xfId="11422"/>
    <cellStyle name="Normal 8 13 3 3 2" xfId="31100"/>
    <cellStyle name="Normal 8 13 3 4" xfId="17574"/>
    <cellStyle name="Normal 8 13 3 4 2" xfId="37252"/>
    <cellStyle name="Normal 8 13 3 5" xfId="24936"/>
    <cellStyle name="Normal 8 13 4" xfId="6760"/>
    <cellStyle name="Normal 8 13 4 2" xfId="12954"/>
    <cellStyle name="Normal 8 13 4 2 2" xfId="32632"/>
    <cellStyle name="Normal 8 13 4 3" xfId="19106"/>
    <cellStyle name="Normal 8 13 4 3 2" xfId="38784"/>
    <cellStyle name="Normal 8 13 4 4" xfId="26468"/>
    <cellStyle name="Normal 8 13 5" xfId="9888"/>
    <cellStyle name="Normal 8 13 5 2" xfId="29566"/>
    <cellStyle name="Normal 8 13 6" xfId="16040"/>
    <cellStyle name="Normal 8 13 6 2" xfId="35718"/>
    <cellStyle name="Normal 8 13 7" xfId="23379"/>
    <cellStyle name="Normal 8 14" xfId="3173"/>
    <cellStyle name="Normal 8 14 2" xfId="4354"/>
    <cellStyle name="Normal 8 14 2 2" xfId="5979"/>
    <cellStyle name="Normal 8 14 2 2 2" xfId="9065"/>
    <cellStyle name="Normal 8 14 2 2 2 2" xfId="15258"/>
    <cellStyle name="Normal 8 14 2 2 2 2 2" xfId="34936"/>
    <cellStyle name="Normal 8 14 2 2 2 3" xfId="21410"/>
    <cellStyle name="Normal 8 14 2 2 2 3 2" xfId="41088"/>
    <cellStyle name="Normal 8 14 2 2 2 4" xfId="28772"/>
    <cellStyle name="Normal 8 14 2 2 3" xfId="12192"/>
    <cellStyle name="Normal 8 14 2 2 3 2" xfId="31870"/>
    <cellStyle name="Normal 8 14 2 2 4" xfId="18344"/>
    <cellStyle name="Normal 8 14 2 2 4 2" xfId="38022"/>
    <cellStyle name="Normal 8 14 2 2 5" xfId="25706"/>
    <cellStyle name="Normal 8 14 2 3" xfId="7530"/>
    <cellStyle name="Normal 8 14 2 3 2" xfId="13724"/>
    <cellStyle name="Normal 8 14 2 3 2 2" xfId="33402"/>
    <cellStyle name="Normal 8 14 2 3 3" xfId="19876"/>
    <cellStyle name="Normal 8 14 2 3 3 2" xfId="39554"/>
    <cellStyle name="Normal 8 14 2 3 4" xfId="27238"/>
    <cellStyle name="Normal 8 14 2 4" xfId="10658"/>
    <cellStyle name="Normal 8 14 2 4 2" xfId="30336"/>
    <cellStyle name="Normal 8 14 2 5" xfId="16810"/>
    <cellStyle name="Normal 8 14 2 5 2" xfId="36488"/>
    <cellStyle name="Normal 8 14 2 6" xfId="24172"/>
    <cellStyle name="Normal 8 14 3" xfId="5196"/>
    <cellStyle name="Normal 8 14 3 2" xfId="8296"/>
    <cellStyle name="Normal 8 14 3 2 2" xfId="14489"/>
    <cellStyle name="Normal 8 14 3 2 2 2" xfId="34167"/>
    <cellStyle name="Normal 8 14 3 2 3" xfId="20641"/>
    <cellStyle name="Normal 8 14 3 2 3 2" xfId="40319"/>
    <cellStyle name="Normal 8 14 3 2 4" xfId="28003"/>
    <cellStyle name="Normal 8 14 3 3" xfId="11423"/>
    <cellStyle name="Normal 8 14 3 3 2" xfId="31101"/>
    <cellStyle name="Normal 8 14 3 4" xfId="17575"/>
    <cellStyle name="Normal 8 14 3 4 2" xfId="37253"/>
    <cellStyle name="Normal 8 14 3 5" xfId="24937"/>
    <cellStyle name="Normal 8 14 4" xfId="6761"/>
    <cellStyle name="Normal 8 14 4 2" xfId="12955"/>
    <cellStyle name="Normal 8 14 4 2 2" xfId="32633"/>
    <cellStyle name="Normal 8 14 4 3" xfId="19107"/>
    <cellStyle name="Normal 8 14 4 3 2" xfId="38785"/>
    <cellStyle name="Normal 8 14 4 4" xfId="26469"/>
    <cellStyle name="Normal 8 14 5" xfId="9889"/>
    <cellStyle name="Normal 8 14 5 2" xfId="29567"/>
    <cellStyle name="Normal 8 14 6" xfId="16041"/>
    <cellStyle name="Normal 8 14 6 2" xfId="35719"/>
    <cellStyle name="Normal 8 14 7" xfId="23380"/>
    <cellStyle name="Normal 8 15" xfId="3174"/>
    <cellStyle name="Normal 8 15 2" xfId="4355"/>
    <cellStyle name="Normal 8 15 2 2" xfId="5980"/>
    <cellStyle name="Normal 8 15 2 2 2" xfId="9066"/>
    <cellStyle name="Normal 8 15 2 2 2 2" xfId="15259"/>
    <cellStyle name="Normal 8 15 2 2 2 2 2" xfId="34937"/>
    <cellStyle name="Normal 8 15 2 2 2 3" xfId="21411"/>
    <cellStyle name="Normal 8 15 2 2 2 3 2" xfId="41089"/>
    <cellStyle name="Normal 8 15 2 2 2 4" xfId="28773"/>
    <cellStyle name="Normal 8 15 2 2 3" xfId="12193"/>
    <cellStyle name="Normal 8 15 2 2 3 2" xfId="31871"/>
    <cellStyle name="Normal 8 15 2 2 4" xfId="18345"/>
    <cellStyle name="Normal 8 15 2 2 4 2" xfId="38023"/>
    <cellStyle name="Normal 8 15 2 2 5" xfId="25707"/>
    <cellStyle name="Normal 8 15 2 3" xfId="7531"/>
    <cellStyle name="Normal 8 15 2 3 2" xfId="13725"/>
    <cellStyle name="Normal 8 15 2 3 2 2" xfId="33403"/>
    <cellStyle name="Normal 8 15 2 3 3" xfId="19877"/>
    <cellStyle name="Normal 8 15 2 3 3 2" xfId="39555"/>
    <cellStyle name="Normal 8 15 2 3 4" xfId="27239"/>
    <cellStyle name="Normal 8 15 2 4" xfId="10659"/>
    <cellStyle name="Normal 8 15 2 4 2" xfId="30337"/>
    <cellStyle name="Normal 8 15 2 5" xfId="16811"/>
    <cellStyle name="Normal 8 15 2 5 2" xfId="36489"/>
    <cellStyle name="Normal 8 15 2 6" xfId="24173"/>
    <cellStyle name="Normal 8 15 3" xfId="5197"/>
    <cellStyle name="Normal 8 15 3 2" xfId="8297"/>
    <cellStyle name="Normal 8 15 3 2 2" xfId="14490"/>
    <cellStyle name="Normal 8 15 3 2 2 2" xfId="34168"/>
    <cellStyle name="Normal 8 15 3 2 3" xfId="20642"/>
    <cellStyle name="Normal 8 15 3 2 3 2" xfId="40320"/>
    <cellStyle name="Normal 8 15 3 2 4" xfId="28004"/>
    <cellStyle name="Normal 8 15 3 3" xfId="11424"/>
    <cellStyle name="Normal 8 15 3 3 2" xfId="31102"/>
    <cellStyle name="Normal 8 15 3 4" xfId="17576"/>
    <cellStyle name="Normal 8 15 3 4 2" xfId="37254"/>
    <cellStyle name="Normal 8 15 3 5" xfId="24938"/>
    <cellStyle name="Normal 8 15 4" xfId="6762"/>
    <cellStyle name="Normal 8 15 4 2" xfId="12956"/>
    <cellStyle name="Normal 8 15 4 2 2" xfId="32634"/>
    <cellStyle name="Normal 8 15 4 3" xfId="19108"/>
    <cellStyle name="Normal 8 15 4 3 2" xfId="38786"/>
    <cellStyle name="Normal 8 15 4 4" xfId="26470"/>
    <cellStyle name="Normal 8 15 5" xfId="9890"/>
    <cellStyle name="Normal 8 15 5 2" xfId="29568"/>
    <cellStyle name="Normal 8 15 6" xfId="16042"/>
    <cellStyle name="Normal 8 15 6 2" xfId="35720"/>
    <cellStyle name="Normal 8 15 7" xfId="23381"/>
    <cellStyle name="Normal 8 16" xfId="3175"/>
    <cellStyle name="Normal 8 16 2" xfId="4356"/>
    <cellStyle name="Normal 8 16 2 2" xfId="5981"/>
    <cellStyle name="Normal 8 16 2 2 2" xfId="9067"/>
    <cellStyle name="Normal 8 16 2 2 2 2" xfId="15260"/>
    <cellStyle name="Normal 8 16 2 2 2 2 2" xfId="34938"/>
    <cellStyle name="Normal 8 16 2 2 2 3" xfId="21412"/>
    <cellStyle name="Normal 8 16 2 2 2 3 2" xfId="41090"/>
    <cellStyle name="Normal 8 16 2 2 2 4" xfId="28774"/>
    <cellStyle name="Normal 8 16 2 2 3" xfId="12194"/>
    <cellStyle name="Normal 8 16 2 2 3 2" xfId="31872"/>
    <cellStyle name="Normal 8 16 2 2 4" xfId="18346"/>
    <cellStyle name="Normal 8 16 2 2 4 2" xfId="38024"/>
    <cellStyle name="Normal 8 16 2 2 5" xfId="25708"/>
    <cellStyle name="Normal 8 16 2 3" xfId="7532"/>
    <cellStyle name="Normal 8 16 2 3 2" xfId="13726"/>
    <cellStyle name="Normal 8 16 2 3 2 2" xfId="33404"/>
    <cellStyle name="Normal 8 16 2 3 3" xfId="19878"/>
    <cellStyle name="Normal 8 16 2 3 3 2" xfId="39556"/>
    <cellStyle name="Normal 8 16 2 3 4" xfId="27240"/>
    <cellStyle name="Normal 8 16 2 4" xfId="10660"/>
    <cellStyle name="Normal 8 16 2 4 2" xfId="30338"/>
    <cellStyle name="Normal 8 16 2 5" xfId="16812"/>
    <cellStyle name="Normal 8 16 2 5 2" xfId="36490"/>
    <cellStyle name="Normal 8 16 2 6" xfId="24174"/>
    <cellStyle name="Normal 8 16 3" xfId="5198"/>
    <cellStyle name="Normal 8 16 3 2" xfId="8298"/>
    <cellStyle name="Normal 8 16 3 2 2" xfId="14491"/>
    <cellStyle name="Normal 8 16 3 2 2 2" xfId="34169"/>
    <cellStyle name="Normal 8 16 3 2 3" xfId="20643"/>
    <cellStyle name="Normal 8 16 3 2 3 2" xfId="40321"/>
    <cellStyle name="Normal 8 16 3 2 4" xfId="28005"/>
    <cellStyle name="Normal 8 16 3 3" xfId="11425"/>
    <cellStyle name="Normal 8 16 3 3 2" xfId="31103"/>
    <cellStyle name="Normal 8 16 3 4" xfId="17577"/>
    <cellStyle name="Normal 8 16 3 4 2" xfId="37255"/>
    <cellStyle name="Normal 8 16 3 5" xfId="24939"/>
    <cellStyle name="Normal 8 16 4" xfId="6763"/>
    <cellStyle name="Normal 8 16 4 2" xfId="12957"/>
    <cellStyle name="Normal 8 16 4 2 2" xfId="32635"/>
    <cellStyle name="Normal 8 16 4 3" xfId="19109"/>
    <cellStyle name="Normal 8 16 4 3 2" xfId="38787"/>
    <cellStyle name="Normal 8 16 4 4" xfId="26471"/>
    <cellStyle name="Normal 8 16 5" xfId="9891"/>
    <cellStyle name="Normal 8 16 5 2" xfId="29569"/>
    <cellStyle name="Normal 8 16 6" xfId="16043"/>
    <cellStyle name="Normal 8 16 6 2" xfId="35721"/>
    <cellStyle name="Normal 8 16 7" xfId="23382"/>
    <cellStyle name="Normal 8 17" xfId="3176"/>
    <cellStyle name="Normal 8 17 2" xfId="4357"/>
    <cellStyle name="Normal 8 17 2 2" xfId="5982"/>
    <cellStyle name="Normal 8 17 2 2 2" xfId="9068"/>
    <cellStyle name="Normal 8 17 2 2 2 2" xfId="15261"/>
    <cellStyle name="Normal 8 17 2 2 2 2 2" xfId="34939"/>
    <cellStyle name="Normal 8 17 2 2 2 3" xfId="21413"/>
    <cellStyle name="Normal 8 17 2 2 2 3 2" xfId="41091"/>
    <cellStyle name="Normal 8 17 2 2 2 4" xfId="28775"/>
    <cellStyle name="Normal 8 17 2 2 3" xfId="12195"/>
    <cellStyle name="Normal 8 17 2 2 3 2" xfId="31873"/>
    <cellStyle name="Normal 8 17 2 2 4" xfId="18347"/>
    <cellStyle name="Normal 8 17 2 2 4 2" xfId="38025"/>
    <cellStyle name="Normal 8 17 2 2 5" xfId="25709"/>
    <cellStyle name="Normal 8 17 2 3" xfId="7533"/>
    <cellStyle name="Normal 8 17 2 3 2" xfId="13727"/>
    <cellStyle name="Normal 8 17 2 3 2 2" xfId="33405"/>
    <cellStyle name="Normal 8 17 2 3 3" xfId="19879"/>
    <cellStyle name="Normal 8 17 2 3 3 2" xfId="39557"/>
    <cellStyle name="Normal 8 17 2 3 4" xfId="27241"/>
    <cellStyle name="Normal 8 17 2 4" xfId="10661"/>
    <cellStyle name="Normal 8 17 2 4 2" xfId="30339"/>
    <cellStyle name="Normal 8 17 2 5" xfId="16813"/>
    <cellStyle name="Normal 8 17 2 5 2" xfId="36491"/>
    <cellStyle name="Normal 8 17 2 6" xfId="24175"/>
    <cellStyle name="Normal 8 17 3" xfId="5199"/>
    <cellStyle name="Normal 8 17 3 2" xfId="8299"/>
    <cellStyle name="Normal 8 17 3 2 2" xfId="14492"/>
    <cellStyle name="Normal 8 17 3 2 2 2" xfId="34170"/>
    <cellStyle name="Normal 8 17 3 2 3" xfId="20644"/>
    <cellStyle name="Normal 8 17 3 2 3 2" xfId="40322"/>
    <cellStyle name="Normal 8 17 3 2 4" xfId="28006"/>
    <cellStyle name="Normal 8 17 3 3" xfId="11426"/>
    <cellStyle name="Normal 8 17 3 3 2" xfId="31104"/>
    <cellStyle name="Normal 8 17 3 4" xfId="17578"/>
    <cellStyle name="Normal 8 17 3 4 2" xfId="37256"/>
    <cellStyle name="Normal 8 17 3 5" xfId="24940"/>
    <cellStyle name="Normal 8 17 4" xfId="6764"/>
    <cellStyle name="Normal 8 17 4 2" xfId="12958"/>
    <cellStyle name="Normal 8 17 4 2 2" xfId="32636"/>
    <cellStyle name="Normal 8 17 4 3" xfId="19110"/>
    <cellStyle name="Normal 8 17 4 3 2" xfId="38788"/>
    <cellStyle name="Normal 8 17 4 4" xfId="26472"/>
    <cellStyle name="Normal 8 17 5" xfId="9892"/>
    <cellStyle name="Normal 8 17 5 2" xfId="29570"/>
    <cellStyle name="Normal 8 17 6" xfId="16044"/>
    <cellStyle name="Normal 8 17 6 2" xfId="35722"/>
    <cellStyle name="Normal 8 17 7" xfId="23383"/>
    <cellStyle name="Normal 8 18" xfId="3177"/>
    <cellStyle name="Normal 8 18 2" xfId="4358"/>
    <cellStyle name="Normal 8 18 2 2" xfId="5983"/>
    <cellStyle name="Normal 8 18 2 2 2" xfId="9069"/>
    <cellStyle name="Normal 8 18 2 2 2 2" xfId="15262"/>
    <cellStyle name="Normal 8 18 2 2 2 2 2" xfId="34940"/>
    <cellStyle name="Normal 8 18 2 2 2 3" xfId="21414"/>
    <cellStyle name="Normal 8 18 2 2 2 3 2" xfId="41092"/>
    <cellStyle name="Normal 8 18 2 2 2 4" xfId="28776"/>
    <cellStyle name="Normal 8 18 2 2 3" xfId="12196"/>
    <cellStyle name="Normal 8 18 2 2 3 2" xfId="31874"/>
    <cellStyle name="Normal 8 18 2 2 4" xfId="18348"/>
    <cellStyle name="Normal 8 18 2 2 4 2" xfId="38026"/>
    <cellStyle name="Normal 8 18 2 2 5" xfId="25710"/>
    <cellStyle name="Normal 8 18 2 3" xfId="7534"/>
    <cellStyle name="Normal 8 18 2 3 2" xfId="13728"/>
    <cellStyle name="Normal 8 18 2 3 2 2" xfId="33406"/>
    <cellStyle name="Normal 8 18 2 3 3" xfId="19880"/>
    <cellStyle name="Normal 8 18 2 3 3 2" xfId="39558"/>
    <cellStyle name="Normal 8 18 2 3 4" xfId="27242"/>
    <cellStyle name="Normal 8 18 2 4" xfId="10662"/>
    <cellStyle name="Normal 8 18 2 4 2" xfId="30340"/>
    <cellStyle name="Normal 8 18 2 5" xfId="16814"/>
    <cellStyle name="Normal 8 18 2 5 2" xfId="36492"/>
    <cellStyle name="Normal 8 18 2 6" xfId="24176"/>
    <cellStyle name="Normal 8 18 3" xfId="5200"/>
    <cellStyle name="Normal 8 18 3 2" xfId="8300"/>
    <cellStyle name="Normal 8 18 3 2 2" xfId="14493"/>
    <cellStyle name="Normal 8 18 3 2 2 2" xfId="34171"/>
    <cellStyle name="Normal 8 18 3 2 3" xfId="20645"/>
    <cellStyle name="Normal 8 18 3 2 3 2" xfId="40323"/>
    <cellStyle name="Normal 8 18 3 2 4" xfId="28007"/>
    <cellStyle name="Normal 8 18 3 3" xfId="11427"/>
    <cellStyle name="Normal 8 18 3 3 2" xfId="31105"/>
    <cellStyle name="Normal 8 18 3 4" xfId="17579"/>
    <cellStyle name="Normal 8 18 3 4 2" xfId="37257"/>
    <cellStyle name="Normal 8 18 3 5" xfId="24941"/>
    <cellStyle name="Normal 8 18 4" xfId="6765"/>
    <cellStyle name="Normal 8 18 4 2" xfId="12959"/>
    <cellStyle name="Normal 8 18 4 2 2" xfId="32637"/>
    <cellStyle name="Normal 8 18 4 3" xfId="19111"/>
    <cellStyle name="Normal 8 18 4 3 2" xfId="38789"/>
    <cellStyle name="Normal 8 18 4 4" xfId="26473"/>
    <cellStyle name="Normal 8 18 5" xfId="9893"/>
    <cellStyle name="Normal 8 18 5 2" xfId="29571"/>
    <cellStyle name="Normal 8 18 6" xfId="16045"/>
    <cellStyle name="Normal 8 18 6 2" xfId="35723"/>
    <cellStyle name="Normal 8 18 7" xfId="23384"/>
    <cellStyle name="Normal 8 19" xfId="3178"/>
    <cellStyle name="Normal 8 19 2" xfId="4359"/>
    <cellStyle name="Normal 8 19 2 2" xfId="5984"/>
    <cellStyle name="Normal 8 19 2 2 2" xfId="9070"/>
    <cellStyle name="Normal 8 19 2 2 2 2" xfId="15263"/>
    <cellStyle name="Normal 8 19 2 2 2 2 2" xfId="34941"/>
    <cellStyle name="Normal 8 19 2 2 2 3" xfId="21415"/>
    <cellStyle name="Normal 8 19 2 2 2 3 2" xfId="41093"/>
    <cellStyle name="Normal 8 19 2 2 2 4" xfId="28777"/>
    <cellStyle name="Normal 8 19 2 2 3" xfId="12197"/>
    <cellStyle name="Normal 8 19 2 2 3 2" xfId="31875"/>
    <cellStyle name="Normal 8 19 2 2 4" xfId="18349"/>
    <cellStyle name="Normal 8 19 2 2 4 2" xfId="38027"/>
    <cellStyle name="Normal 8 19 2 2 5" xfId="25711"/>
    <cellStyle name="Normal 8 19 2 3" xfId="7535"/>
    <cellStyle name="Normal 8 19 2 3 2" xfId="13729"/>
    <cellStyle name="Normal 8 19 2 3 2 2" xfId="33407"/>
    <cellStyle name="Normal 8 19 2 3 3" xfId="19881"/>
    <cellStyle name="Normal 8 19 2 3 3 2" xfId="39559"/>
    <cellStyle name="Normal 8 19 2 3 4" xfId="27243"/>
    <cellStyle name="Normal 8 19 2 4" xfId="10663"/>
    <cellStyle name="Normal 8 19 2 4 2" xfId="30341"/>
    <cellStyle name="Normal 8 19 2 5" xfId="16815"/>
    <cellStyle name="Normal 8 19 2 5 2" xfId="36493"/>
    <cellStyle name="Normal 8 19 2 6" xfId="24177"/>
    <cellStyle name="Normal 8 19 3" xfId="5201"/>
    <cellStyle name="Normal 8 19 3 2" xfId="8301"/>
    <cellStyle name="Normal 8 19 3 2 2" xfId="14494"/>
    <cellStyle name="Normal 8 19 3 2 2 2" xfId="34172"/>
    <cellStyle name="Normal 8 19 3 2 3" xfId="20646"/>
    <cellStyle name="Normal 8 19 3 2 3 2" xfId="40324"/>
    <cellStyle name="Normal 8 19 3 2 4" xfId="28008"/>
    <cellStyle name="Normal 8 19 3 3" xfId="11428"/>
    <cellStyle name="Normal 8 19 3 3 2" xfId="31106"/>
    <cellStyle name="Normal 8 19 3 4" xfId="17580"/>
    <cellStyle name="Normal 8 19 3 4 2" xfId="37258"/>
    <cellStyle name="Normal 8 19 3 5" xfId="24942"/>
    <cellStyle name="Normal 8 19 4" xfId="6766"/>
    <cellStyle name="Normal 8 19 4 2" xfId="12960"/>
    <cellStyle name="Normal 8 19 4 2 2" xfId="32638"/>
    <cellStyle name="Normal 8 19 4 3" xfId="19112"/>
    <cellStyle name="Normal 8 19 4 3 2" xfId="38790"/>
    <cellStyle name="Normal 8 19 4 4" xfId="26474"/>
    <cellStyle name="Normal 8 19 5" xfId="9894"/>
    <cellStyle name="Normal 8 19 5 2" xfId="29572"/>
    <cellStyle name="Normal 8 19 6" xfId="16046"/>
    <cellStyle name="Normal 8 19 6 2" xfId="35724"/>
    <cellStyle name="Normal 8 19 7" xfId="23385"/>
    <cellStyle name="Normal 8 2" xfId="351"/>
    <cellStyle name="Normal 8 2 10" xfId="9347"/>
    <cellStyle name="Normal 8 2 10 2" xfId="29025"/>
    <cellStyle name="Normal 8 2 11" xfId="15499"/>
    <cellStyle name="Normal 8 2 11 2" xfId="35177"/>
    <cellStyle name="Normal 8 2 12" xfId="42035"/>
    <cellStyle name="Normal 8 2 13" xfId="22742"/>
    <cellStyle name="Normal 8 2 2" xfId="370"/>
    <cellStyle name="Normal 8 2 2 2" xfId="3180"/>
    <cellStyle name="Normal 8 2 2 2 2" xfId="4361"/>
    <cellStyle name="Normal 8 2 2 2 2 2" xfId="5986"/>
    <cellStyle name="Normal 8 2 2 2 2 2 2" xfId="9072"/>
    <cellStyle name="Normal 8 2 2 2 2 2 2 2" xfId="15265"/>
    <cellStyle name="Normal 8 2 2 2 2 2 2 2 2" xfId="34943"/>
    <cellStyle name="Normal 8 2 2 2 2 2 2 3" xfId="21417"/>
    <cellStyle name="Normal 8 2 2 2 2 2 2 3 2" xfId="41095"/>
    <cellStyle name="Normal 8 2 2 2 2 2 2 4" xfId="28779"/>
    <cellStyle name="Normal 8 2 2 2 2 2 3" xfId="12199"/>
    <cellStyle name="Normal 8 2 2 2 2 2 3 2" xfId="31877"/>
    <cellStyle name="Normal 8 2 2 2 2 2 4" xfId="18351"/>
    <cellStyle name="Normal 8 2 2 2 2 2 4 2" xfId="38029"/>
    <cellStyle name="Normal 8 2 2 2 2 2 5" xfId="25713"/>
    <cellStyle name="Normal 8 2 2 2 2 3" xfId="7537"/>
    <cellStyle name="Normal 8 2 2 2 2 3 2" xfId="13731"/>
    <cellStyle name="Normal 8 2 2 2 2 3 2 2" xfId="33409"/>
    <cellStyle name="Normal 8 2 2 2 2 3 3" xfId="19883"/>
    <cellStyle name="Normal 8 2 2 2 2 3 3 2" xfId="39561"/>
    <cellStyle name="Normal 8 2 2 2 2 3 4" xfId="27245"/>
    <cellStyle name="Normal 8 2 2 2 2 4" xfId="10665"/>
    <cellStyle name="Normal 8 2 2 2 2 4 2" xfId="30343"/>
    <cellStyle name="Normal 8 2 2 2 2 5" xfId="16817"/>
    <cellStyle name="Normal 8 2 2 2 2 5 2" xfId="36495"/>
    <cellStyle name="Normal 8 2 2 2 2 6" xfId="24179"/>
    <cellStyle name="Normal 8 2 2 2 3" xfId="5203"/>
    <cellStyle name="Normal 8 2 2 2 3 2" xfId="8303"/>
    <cellStyle name="Normal 8 2 2 2 3 2 2" xfId="14496"/>
    <cellStyle name="Normal 8 2 2 2 3 2 2 2" xfId="34174"/>
    <cellStyle name="Normal 8 2 2 2 3 2 3" xfId="20648"/>
    <cellStyle name="Normal 8 2 2 2 3 2 3 2" xfId="40326"/>
    <cellStyle name="Normal 8 2 2 2 3 2 4" xfId="28010"/>
    <cellStyle name="Normal 8 2 2 2 3 3" xfId="11430"/>
    <cellStyle name="Normal 8 2 2 2 3 3 2" xfId="31108"/>
    <cellStyle name="Normal 8 2 2 2 3 4" xfId="17582"/>
    <cellStyle name="Normal 8 2 2 2 3 4 2" xfId="37260"/>
    <cellStyle name="Normal 8 2 2 2 3 5" xfId="24944"/>
    <cellStyle name="Normal 8 2 2 2 4" xfId="6768"/>
    <cellStyle name="Normal 8 2 2 2 4 2" xfId="12962"/>
    <cellStyle name="Normal 8 2 2 2 4 2 2" xfId="32640"/>
    <cellStyle name="Normal 8 2 2 2 4 3" xfId="19114"/>
    <cellStyle name="Normal 8 2 2 2 4 3 2" xfId="38792"/>
    <cellStyle name="Normal 8 2 2 2 4 4" xfId="26476"/>
    <cellStyle name="Normal 8 2 2 2 5" xfId="9896"/>
    <cellStyle name="Normal 8 2 2 2 5 2" xfId="29574"/>
    <cellStyle name="Normal 8 2 2 2 6" xfId="16048"/>
    <cellStyle name="Normal 8 2 2 2 6 2" xfId="35726"/>
    <cellStyle name="Normal 8 2 2 2 7" xfId="23387"/>
    <cellStyle name="Normal 8 2 2 3" xfId="3823"/>
    <cellStyle name="Normal 8 2 2 3 2" xfId="5448"/>
    <cellStyle name="Normal 8 2 2 3 2 2" xfId="8534"/>
    <cellStyle name="Normal 8 2 2 3 2 2 2" xfId="14727"/>
    <cellStyle name="Normal 8 2 2 3 2 2 2 2" xfId="34405"/>
    <cellStyle name="Normal 8 2 2 3 2 2 3" xfId="20879"/>
    <cellStyle name="Normal 8 2 2 3 2 2 3 2" xfId="40557"/>
    <cellStyle name="Normal 8 2 2 3 2 2 4" xfId="28241"/>
    <cellStyle name="Normal 8 2 2 3 2 3" xfId="11661"/>
    <cellStyle name="Normal 8 2 2 3 2 3 2" xfId="31339"/>
    <cellStyle name="Normal 8 2 2 3 2 4" xfId="17813"/>
    <cellStyle name="Normal 8 2 2 3 2 4 2" xfId="37491"/>
    <cellStyle name="Normal 8 2 2 3 2 5" xfId="25175"/>
    <cellStyle name="Normal 8 2 2 3 3" xfId="6999"/>
    <cellStyle name="Normal 8 2 2 3 3 2" xfId="13193"/>
    <cellStyle name="Normal 8 2 2 3 3 2 2" xfId="32871"/>
    <cellStyle name="Normal 8 2 2 3 3 3" xfId="19345"/>
    <cellStyle name="Normal 8 2 2 3 3 3 2" xfId="39023"/>
    <cellStyle name="Normal 8 2 2 3 3 4" xfId="26707"/>
    <cellStyle name="Normal 8 2 2 3 4" xfId="10127"/>
    <cellStyle name="Normal 8 2 2 3 4 2" xfId="29805"/>
    <cellStyle name="Normal 8 2 2 3 5" xfId="16279"/>
    <cellStyle name="Normal 8 2 2 3 5 2" xfId="35957"/>
    <cellStyle name="Normal 8 2 2 3 6" xfId="23641"/>
    <cellStyle name="Normal 8 2 2 4" xfId="4662"/>
    <cellStyle name="Normal 8 2 2 4 2" xfId="7765"/>
    <cellStyle name="Normal 8 2 2 4 2 2" xfId="13958"/>
    <cellStyle name="Normal 8 2 2 4 2 2 2" xfId="33636"/>
    <cellStyle name="Normal 8 2 2 4 2 3" xfId="20110"/>
    <cellStyle name="Normal 8 2 2 4 2 3 2" xfId="39788"/>
    <cellStyle name="Normal 8 2 2 4 2 4" xfId="27472"/>
    <cellStyle name="Normal 8 2 2 4 3" xfId="10892"/>
    <cellStyle name="Normal 8 2 2 4 3 2" xfId="30570"/>
    <cellStyle name="Normal 8 2 2 4 4" xfId="17044"/>
    <cellStyle name="Normal 8 2 2 4 4 2" xfId="36722"/>
    <cellStyle name="Normal 8 2 2 4 5" xfId="24406"/>
    <cellStyle name="Normal 8 2 2 5" xfId="6230"/>
    <cellStyle name="Normal 8 2 2 5 2" xfId="12424"/>
    <cellStyle name="Normal 8 2 2 5 2 2" xfId="32102"/>
    <cellStyle name="Normal 8 2 2 5 3" xfId="18576"/>
    <cellStyle name="Normal 8 2 2 5 3 2" xfId="38254"/>
    <cellStyle name="Normal 8 2 2 5 4" xfId="25938"/>
    <cellStyle name="Normal 8 2 2 6" xfId="9358"/>
    <cellStyle name="Normal 8 2 2 6 2" xfId="29036"/>
    <cellStyle name="Normal 8 2 2 7" xfId="15510"/>
    <cellStyle name="Normal 8 2 2 7 2" xfId="35188"/>
    <cellStyle name="Normal 8 2 2 8" xfId="22753"/>
    <cellStyle name="Normal 8 2 3" xfId="3181"/>
    <cellStyle name="Normal 8 2 3 2" xfId="4362"/>
    <cellStyle name="Normal 8 2 3 2 2" xfId="5987"/>
    <cellStyle name="Normal 8 2 3 2 2 2" xfId="9073"/>
    <cellStyle name="Normal 8 2 3 2 2 2 2" xfId="15266"/>
    <cellStyle name="Normal 8 2 3 2 2 2 2 2" xfId="34944"/>
    <cellStyle name="Normal 8 2 3 2 2 2 3" xfId="21418"/>
    <cellStyle name="Normal 8 2 3 2 2 2 3 2" xfId="41096"/>
    <cellStyle name="Normal 8 2 3 2 2 2 4" xfId="28780"/>
    <cellStyle name="Normal 8 2 3 2 2 3" xfId="12200"/>
    <cellStyle name="Normal 8 2 3 2 2 3 2" xfId="31878"/>
    <cellStyle name="Normal 8 2 3 2 2 4" xfId="18352"/>
    <cellStyle name="Normal 8 2 3 2 2 4 2" xfId="38030"/>
    <cellStyle name="Normal 8 2 3 2 2 5" xfId="25714"/>
    <cellStyle name="Normal 8 2 3 2 3" xfId="7538"/>
    <cellStyle name="Normal 8 2 3 2 3 2" xfId="13732"/>
    <cellStyle name="Normal 8 2 3 2 3 2 2" xfId="33410"/>
    <cellStyle name="Normal 8 2 3 2 3 3" xfId="19884"/>
    <cellStyle name="Normal 8 2 3 2 3 3 2" xfId="39562"/>
    <cellStyle name="Normal 8 2 3 2 3 4" xfId="27246"/>
    <cellStyle name="Normal 8 2 3 2 4" xfId="10666"/>
    <cellStyle name="Normal 8 2 3 2 4 2" xfId="30344"/>
    <cellStyle name="Normal 8 2 3 2 5" xfId="16818"/>
    <cellStyle name="Normal 8 2 3 2 5 2" xfId="36496"/>
    <cellStyle name="Normal 8 2 3 2 6" xfId="24180"/>
    <cellStyle name="Normal 8 2 3 3" xfId="5204"/>
    <cellStyle name="Normal 8 2 3 3 2" xfId="8304"/>
    <cellStyle name="Normal 8 2 3 3 2 2" xfId="14497"/>
    <cellStyle name="Normal 8 2 3 3 2 2 2" xfId="34175"/>
    <cellStyle name="Normal 8 2 3 3 2 3" xfId="20649"/>
    <cellStyle name="Normal 8 2 3 3 2 3 2" xfId="40327"/>
    <cellStyle name="Normal 8 2 3 3 2 4" xfId="28011"/>
    <cellStyle name="Normal 8 2 3 3 3" xfId="11431"/>
    <cellStyle name="Normal 8 2 3 3 3 2" xfId="31109"/>
    <cellStyle name="Normal 8 2 3 3 4" xfId="17583"/>
    <cellStyle name="Normal 8 2 3 3 4 2" xfId="37261"/>
    <cellStyle name="Normal 8 2 3 3 5" xfId="24945"/>
    <cellStyle name="Normal 8 2 3 4" xfId="6769"/>
    <cellStyle name="Normal 8 2 3 4 2" xfId="12963"/>
    <cellStyle name="Normal 8 2 3 4 2 2" xfId="32641"/>
    <cellStyle name="Normal 8 2 3 4 3" xfId="19115"/>
    <cellStyle name="Normal 8 2 3 4 3 2" xfId="38793"/>
    <cellStyle name="Normal 8 2 3 4 4" xfId="26477"/>
    <cellStyle name="Normal 8 2 3 5" xfId="9897"/>
    <cellStyle name="Normal 8 2 3 5 2" xfId="29575"/>
    <cellStyle name="Normal 8 2 3 6" xfId="16049"/>
    <cellStyle name="Normal 8 2 3 6 2" xfId="35727"/>
    <cellStyle name="Normal 8 2 3 7" xfId="23388"/>
    <cellStyle name="Normal 8 2 4" xfId="3182"/>
    <cellStyle name="Normal 8 2 4 2" xfId="4363"/>
    <cellStyle name="Normal 8 2 4 2 2" xfId="5988"/>
    <cellStyle name="Normal 8 2 4 2 2 2" xfId="9074"/>
    <cellStyle name="Normal 8 2 4 2 2 2 2" xfId="15267"/>
    <cellStyle name="Normal 8 2 4 2 2 2 2 2" xfId="34945"/>
    <cellStyle name="Normal 8 2 4 2 2 2 3" xfId="21419"/>
    <cellStyle name="Normal 8 2 4 2 2 2 3 2" xfId="41097"/>
    <cellStyle name="Normal 8 2 4 2 2 2 4" xfId="28781"/>
    <cellStyle name="Normal 8 2 4 2 2 3" xfId="12201"/>
    <cellStyle name="Normal 8 2 4 2 2 3 2" xfId="31879"/>
    <cellStyle name="Normal 8 2 4 2 2 4" xfId="18353"/>
    <cellStyle name="Normal 8 2 4 2 2 4 2" xfId="38031"/>
    <cellStyle name="Normal 8 2 4 2 2 5" xfId="25715"/>
    <cellStyle name="Normal 8 2 4 2 3" xfId="7539"/>
    <cellStyle name="Normal 8 2 4 2 3 2" xfId="13733"/>
    <cellStyle name="Normal 8 2 4 2 3 2 2" xfId="33411"/>
    <cellStyle name="Normal 8 2 4 2 3 3" xfId="19885"/>
    <cellStyle name="Normal 8 2 4 2 3 3 2" xfId="39563"/>
    <cellStyle name="Normal 8 2 4 2 3 4" xfId="27247"/>
    <cellStyle name="Normal 8 2 4 2 4" xfId="10667"/>
    <cellStyle name="Normal 8 2 4 2 4 2" xfId="30345"/>
    <cellStyle name="Normal 8 2 4 2 5" xfId="16819"/>
    <cellStyle name="Normal 8 2 4 2 5 2" xfId="36497"/>
    <cellStyle name="Normal 8 2 4 2 6" xfId="24181"/>
    <cellStyle name="Normal 8 2 4 3" xfId="5205"/>
    <cellStyle name="Normal 8 2 4 3 2" xfId="8305"/>
    <cellStyle name="Normal 8 2 4 3 2 2" xfId="14498"/>
    <cellStyle name="Normal 8 2 4 3 2 2 2" xfId="34176"/>
    <cellStyle name="Normal 8 2 4 3 2 3" xfId="20650"/>
    <cellStyle name="Normal 8 2 4 3 2 3 2" xfId="40328"/>
    <cellStyle name="Normal 8 2 4 3 2 4" xfId="28012"/>
    <cellStyle name="Normal 8 2 4 3 3" xfId="11432"/>
    <cellStyle name="Normal 8 2 4 3 3 2" xfId="31110"/>
    <cellStyle name="Normal 8 2 4 3 4" xfId="17584"/>
    <cellStyle name="Normal 8 2 4 3 4 2" xfId="37262"/>
    <cellStyle name="Normal 8 2 4 3 5" xfId="24946"/>
    <cellStyle name="Normal 8 2 4 4" xfId="6770"/>
    <cellStyle name="Normal 8 2 4 4 2" xfId="12964"/>
    <cellStyle name="Normal 8 2 4 4 2 2" xfId="32642"/>
    <cellStyle name="Normal 8 2 4 4 3" xfId="19116"/>
    <cellStyle name="Normal 8 2 4 4 3 2" xfId="38794"/>
    <cellStyle name="Normal 8 2 4 4 4" xfId="26478"/>
    <cellStyle name="Normal 8 2 4 5" xfId="9898"/>
    <cellStyle name="Normal 8 2 4 5 2" xfId="29576"/>
    <cellStyle name="Normal 8 2 4 6" xfId="16050"/>
    <cellStyle name="Normal 8 2 4 6 2" xfId="35728"/>
    <cellStyle name="Normal 8 2 4 7" xfId="23389"/>
    <cellStyle name="Normal 8 2 5" xfId="3183"/>
    <cellStyle name="Normal 8 2 5 2" xfId="4364"/>
    <cellStyle name="Normal 8 2 5 2 2" xfId="5989"/>
    <cellStyle name="Normal 8 2 5 2 2 2" xfId="9075"/>
    <cellStyle name="Normal 8 2 5 2 2 2 2" xfId="15268"/>
    <cellStyle name="Normal 8 2 5 2 2 2 2 2" xfId="34946"/>
    <cellStyle name="Normal 8 2 5 2 2 2 3" xfId="21420"/>
    <cellStyle name="Normal 8 2 5 2 2 2 3 2" xfId="41098"/>
    <cellStyle name="Normal 8 2 5 2 2 2 4" xfId="28782"/>
    <cellStyle name="Normal 8 2 5 2 2 3" xfId="12202"/>
    <cellStyle name="Normal 8 2 5 2 2 3 2" xfId="31880"/>
    <cellStyle name="Normal 8 2 5 2 2 4" xfId="18354"/>
    <cellStyle name="Normal 8 2 5 2 2 4 2" xfId="38032"/>
    <cellStyle name="Normal 8 2 5 2 2 5" xfId="25716"/>
    <cellStyle name="Normal 8 2 5 2 3" xfId="7540"/>
    <cellStyle name="Normal 8 2 5 2 3 2" xfId="13734"/>
    <cellStyle name="Normal 8 2 5 2 3 2 2" xfId="33412"/>
    <cellStyle name="Normal 8 2 5 2 3 3" xfId="19886"/>
    <cellStyle name="Normal 8 2 5 2 3 3 2" xfId="39564"/>
    <cellStyle name="Normal 8 2 5 2 3 4" xfId="27248"/>
    <cellStyle name="Normal 8 2 5 2 4" xfId="10668"/>
    <cellStyle name="Normal 8 2 5 2 4 2" xfId="30346"/>
    <cellStyle name="Normal 8 2 5 2 5" xfId="16820"/>
    <cellStyle name="Normal 8 2 5 2 5 2" xfId="36498"/>
    <cellStyle name="Normal 8 2 5 2 6" xfId="24182"/>
    <cellStyle name="Normal 8 2 5 3" xfId="5206"/>
    <cellStyle name="Normal 8 2 5 3 2" xfId="8306"/>
    <cellStyle name="Normal 8 2 5 3 2 2" xfId="14499"/>
    <cellStyle name="Normal 8 2 5 3 2 2 2" xfId="34177"/>
    <cellStyle name="Normal 8 2 5 3 2 3" xfId="20651"/>
    <cellStyle name="Normal 8 2 5 3 2 3 2" xfId="40329"/>
    <cellStyle name="Normal 8 2 5 3 2 4" xfId="28013"/>
    <cellStyle name="Normal 8 2 5 3 3" xfId="11433"/>
    <cellStyle name="Normal 8 2 5 3 3 2" xfId="31111"/>
    <cellStyle name="Normal 8 2 5 3 4" xfId="17585"/>
    <cellStyle name="Normal 8 2 5 3 4 2" xfId="37263"/>
    <cellStyle name="Normal 8 2 5 3 5" xfId="24947"/>
    <cellStyle name="Normal 8 2 5 4" xfId="6771"/>
    <cellStyle name="Normal 8 2 5 4 2" xfId="12965"/>
    <cellStyle name="Normal 8 2 5 4 2 2" xfId="32643"/>
    <cellStyle name="Normal 8 2 5 4 3" xfId="19117"/>
    <cellStyle name="Normal 8 2 5 4 3 2" xfId="38795"/>
    <cellStyle name="Normal 8 2 5 4 4" xfId="26479"/>
    <cellStyle name="Normal 8 2 5 5" xfId="9899"/>
    <cellStyle name="Normal 8 2 5 5 2" xfId="29577"/>
    <cellStyle name="Normal 8 2 5 6" xfId="16051"/>
    <cellStyle name="Normal 8 2 5 6 2" xfId="35729"/>
    <cellStyle name="Normal 8 2 5 7" xfId="23390"/>
    <cellStyle name="Normal 8 2 6" xfId="3179"/>
    <cellStyle name="Normal 8 2 6 2" xfId="4360"/>
    <cellStyle name="Normal 8 2 6 2 2" xfId="5985"/>
    <cellStyle name="Normal 8 2 6 2 2 2" xfId="9071"/>
    <cellStyle name="Normal 8 2 6 2 2 2 2" xfId="15264"/>
    <cellStyle name="Normal 8 2 6 2 2 2 2 2" xfId="34942"/>
    <cellStyle name="Normal 8 2 6 2 2 2 3" xfId="21416"/>
    <cellStyle name="Normal 8 2 6 2 2 2 3 2" xfId="41094"/>
    <cellStyle name="Normal 8 2 6 2 2 2 4" xfId="28778"/>
    <cellStyle name="Normal 8 2 6 2 2 3" xfId="12198"/>
    <cellStyle name="Normal 8 2 6 2 2 3 2" xfId="31876"/>
    <cellStyle name="Normal 8 2 6 2 2 4" xfId="18350"/>
    <cellStyle name="Normal 8 2 6 2 2 4 2" xfId="38028"/>
    <cellStyle name="Normal 8 2 6 2 2 5" xfId="25712"/>
    <cellStyle name="Normal 8 2 6 2 3" xfId="7536"/>
    <cellStyle name="Normal 8 2 6 2 3 2" xfId="13730"/>
    <cellStyle name="Normal 8 2 6 2 3 2 2" xfId="33408"/>
    <cellStyle name="Normal 8 2 6 2 3 3" xfId="19882"/>
    <cellStyle name="Normal 8 2 6 2 3 3 2" xfId="39560"/>
    <cellStyle name="Normal 8 2 6 2 3 4" xfId="27244"/>
    <cellStyle name="Normal 8 2 6 2 4" xfId="10664"/>
    <cellStyle name="Normal 8 2 6 2 4 2" xfId="30342"/>
    <cellStyle name="Normal 8 2 6 2 5" xfId="16816"/>
    <cellStyle name="Normal 8 2 6 2 5 2" xfId="36494"/>
    <cellStyle name="Normal 8 2 6 2 6" xfId="24178"/>
    <cellStyle name="Normal 8 2 6 3" xfId="5202"/>
    <cellStyle name="Normal 8 2 6 3 2" xfId="8302"/>
    <cellStyle name="Normal 8 2 6 3 2 2" xfId="14495"/>
    <cellStyle name="Normal 8 2 6 3 2 2 2" xfId="34173"/>
    <cellStyle name="Normal 8 2 6 3 2 3" xfId="20647"/>
    <cellStyle name="Normal 8 2 6 3 2 3 2" xfId="40325"/>
    <cellStyle name="Normal 8 2 6 3 2 4" xfId="28009"/>
    <cellStyle name="Normal 8 2 6 3 3" xfId="11429"/>
    <cellStyle name="Normal 8 2 6 3 3 2" xfId="31107"/>
    <cellStyle name="Normal 8 2 6 3 4" xfId="17581"/>
    <cellStyle name="Normal 8 2 6 3 4 2" xfId="37259"/>
    <cellStyle name="Normal 8 2 6 3 5" xfId="24943"/>
    <cellStyle name="Normal 8 2 6 4" xfId="6767"/>
    <cellStyle name="Normal 8 2 6 4 2" xfId="12961"/>
    <cellStyle name="Normal 8 2 6 4 2 2" xfId="32639"/>
    <cellStyle name="Normal 8 2 6 4 3" xfId="19113"/>
    <cellStyle name="Normal 8 2 6 4 3 2" xfId="38791"/>
    <cellStyle name="Normal 8 2 6 4 4" xfId="26475"/>
    <cellStyle name="Normal 8 2 6 5" xfId="9895"/>
    <cellStyle name="Normal 8 2 6 5 2" xfId="29573"/>
    <cellStyle name="Normal 8 2 6 6" xfId="16047"/>
    <cellStyle name="Normal 8 2 6 6 2" xfId="35725"/>
    <cellStyle name="Normal 8 2 6 7" xfId="23386"/>
    <cellStyle name="Normal 8 2 7" xfId="3812"/>
    <cellStyle name="Normal 8 2 7 2" xfId="5437"/>
    <cellStyle name="Normal 8 2 7 2 2" xfId="8523"/>
    <cellStyle name="Normal 8 2 7 2 2 2" xfId="14716"/>
    <cellStyle name="Normal 8 2 7 2 2 2 2" xfId="34394"/>
    <cellStyle name="Normal 8 2 7 2 2 3" xfId="20868"/>
    <cellStyle name="Normal 8 2 7 2 2 3 2" xfId="40546"/>
    <cellStyle name="Normal 8 2 7 2 2 4" xfId="28230"/>
    <cellStyle name="Normal 8 2 7 2 3" xfId="11650"/>
    <cellStyle name="Normal 8 2 7 2 3 2" xfId="31328"/>
    <cellStyle name="Normal 8 2 7 2 4" xfId="17802"/>
    <cellStyle name="Normal 8 2 7 2 4 2" xfId="37480"/>
    <cellStyle name="Normal 8 2 7 2 5" xfId="25164"/>
    <cellStyle name="Normal 8 2 7 3" xfId="6988"/>
    <cellStyle name="Normal 8 2 7 3 2" xfId="13182"/>
    <cellStyle name="Normal 8 2 7 3 2 2" xfId="32860"/>
    <cellStyle name="Normal 8 2 7 3 3" xfId="19334"/>
    <cellStyle name="Normal 8 2 7 3 3 2" xfId="39012"/>
    <cellStyle name="Normal 8 2 7 3 4" xfId="26696"/>
    <cellStyle name="Normal 8 2 7 4" xfId="10116"/>
    <cellStyle name="Normal 8 2 7 4 2" xfId="29794"/>
    <cellStyle name="Normal 8 2 7 5" xfId="16268"/>
    <cellStyle name="Normal 8 2 7 5 2" xfId="35946"/>
    <cellStyle name="Normal 8 2 7 6" xfId="23630"/>
    <cellStyle name="Normal 8 2 8" xfId="4650"/>
    <cellStyle name="Normal 8 2 8 2" xfId="7754"/>
    <cellStyle name="Normal 8 2 8 2 2" xfId="13947"/>
    <cellStyle name="Normal 8 2 8 2 2 2" xfId="33625"/>
    <cellStyle name="Normal 8 2 8 2 3" xfId="20099"/>
    <cellStyle name="Normal 8 2 8 2 3 2" xfId="39777"/>
    <cellStyle name="Normal 8 2 8 2 4" xfId="27461"/>
    <cellStyle name="Normal 8 2 8 3" xfId="10881"/>
    <cellStyle name="Normal 8 2 8 3 2" xfId="30559"/>
    <cellStyle name="Normal 8 2 8 4" xfId="17033"/>
    <cellStyle name="Normal 8 2 8 4 2" xfId="36711"/>
    <cellStyle name="Normal 8 2 8 5" xfId="24395"/>
    <cellStyle name="Normal 8 2 9" xfId="6219"/>
    <cellStyle name="Normal 8 2 9 2" xfId="12413"/>
    <cellStyle name="Normal 8 2 9 2 2" xfId="32091"/>
    <cellStyle name="Normal 8 2 9 3" xfId="18565"/>
    <cellStyle name="Normal 8 2 9 3 2" xfId="38243"/>
    <cellStyle name="Normal 8 2 9 4" xfId="25927"/>
    <cellStyle name="Normal 8 20" xfId="3184"/>
    <cellStyle name="Normal 8 20 2" xfId="4365"/>
    <cellStyle name="Normal 8 20 2 2" xfId="5990"/>
    <cellStyle name="Normal 8 20 2 2 2" xfId="9076"/>
    <cellStyle name="Normal 8 20 2 2 2 2" xfId="15269"/>
    <cellStyle name="Normal 8 20 2 2 2 2 2" xfId="34947"/>
    <cellStyle name="Normal 8 20 2 2 2 3" xfId="21421"/>
    <cellStyle name="Normal 8 20 2 2 2 3 2" xfId="41099"/>
    <cellStyle name="Normal 8 20 2 2 2 4" xfId="28783"/>
    <cellStyle name="Normal 8 20 2 2 3" xfId="12203"/>
    <cellStyle name="Normal 8 20 2 2 3 2" xfId="31881"/>
    <cellStyle name="Normal 8 20 2 2 4" xfId="18355"/>
    <cellStyle name="Normal 8 20 2 2 4 2" xfId="38033"/>
    <cellStyle name="Normal 8 20 2 2 5" xfId="25717"/>
    <cellStyle name="Normal 8 20 2 3" xfId="7541"/>
    <cellStyle name="Normal 8 20 2 3 2" xfId="13735"/>
    <cellStyle name="Normal 8 20 2 3 2 2" xfId="33413"/>
    <cellStyle name="Normal 8 20 2 3 3" xfId="19887"/>
    <cellStyle name="Normal 8 20 2 3 3 2" xfId="39565"/>
    <cellStyle name="Normal 8 20 2 3 4" xfId="27249"/>
    <cellStyle name="Normal 8 20 2 4" xfId="10669"/>
    <cellStyle name="Normal 8 20 2 4 2" xfId="30347"/>
    <cellStyle name="Normal 8 20 2 5" xfId="16821"/>
    <cellStyle name="Normal 8 20 2 5 2" xfId="36499"/>
    <cellStyle name="Normal 8 20 2 6" xfId="24183"/>
    <cellStyle name="Normal 8 20 3" xfId="5207"/>
    <cellStyle name="Normal 8 20 3 2" xfId="8307"/>
    <cellStyle name="Normal 8 20 3 2 2" xfId="14500"/>
    <cellStyle name="Normal 8 20 3 2 2 2" xfId="34178"/>
    <cellStyle name="Normal 8 20 3 2 3" xfId="20652"/>
    <cellStyle name="Normal 8 20 3 2 3 2" xfId="40330"/>
    <cellStyle name="Normal 8 20 3 2 4" xfId="28014"/>
    <cellStyle name="Normal 8 20 3 3" xfId="11434"/>
    <cellStyle name="Normal 8 20 3 3 2" xfId="31112"/>
    <cellStyle name="Normal 8 20 3 4" xfId="17586"/>
    <cellStyle name="Normal 8 20 3 4 2" xfId="37264"/>
    <cellStyle name="Normal 8 20 3 5" xfId="24948"/>
    <cellStyle name="Normal 8 20 4" xfId="6772"/>
    <cellStyle name="Normal 8 20 4 2" xfId="12966"/>
    <cellStyle name="Normal 8 20 4 2 2" xfId="32644"/>
    <cellStyle name="Normal 8 20 4 3" xfId="19118"/>
    <cellStyle name="Normal 8 20 4 3 2" xfId="38796"/>
    <cellStyle name="Normal 8 20 4 4" xfId="26480"/>
    <cellStyle name="Normal 8 20 5" xfId="9900"/>
    <cellStyle name="Normal 8 20 5 2" xfId="29578"/>
    <cellStyle name="Normal 8 20 6" xfId="16052"/>
    <cellStyle name="Normal 8 20 6 2" xfId="35730"/>
    <cellStyle name="Normal 8 20 7" xfId="23391"/>
    <cellStyle name="Normal 8 21" xfId="3185"/>
    <cellStyle name="Normal 8 22" xfId="3186"/>
    <cellStyle name="Normal 8 22 2" xfId="4366"/>
    <cellStyle name="Normal 8 22 2 2" xfId="5991"/>
    <cellStyle name="Normal 8 22 2 2 2" xfId="9077"/>
    <cellStyle name="Normal 8 22 2 2 2 2" xfId="15270"/>
    <cellStyle name="Normal 8 22 2 2 2 2 2" xfId="34948"/>
    <cellStyle name="Normal 8 22 2 2 2 3" xfId="21422"/>
    <cellStyle name="Normal 8 22 2 2 2 3 2" xfId="41100"/>
    <cellStyle name="Normal 8 22 2 2 2 4" xfId="28784"/>
    <cellStyle name="Normal 8 22 2 2 3" xfId="12204"/>
    <cellStyle name="Normal 8 22 2 2 3 2" xfId="31882"/>
    <cellStyle name="Normal 8 22 2 2 4" xfId="18356"/>
    <cellStyle name="Normal 8 22 2 2 4 2" xfId="38034"/>
    <cellStyle name="Normal 8 22 2 2 5" xfId="25718"/>
    <cellStyle name="Normal 8 22 2 3" xfId="7542"/>
    <cellStyle name="Normal 8 22 2 3 2" xfId="13736"/>
    <cellStyle name="Normal 8 22 2 3 2 2" xfId="33414"/>
    <cellStyle name="Normal 8 22 2 3 3" xfId="19888"/>
    <cellStyle name="Normal 8 22 2 3 3 2" xfId="39566"/>
    <cellStyle name="Normal 8 22 2 3 4" xfId="27250"/>
    <cellStyle name="Normal 8 22 2 4" xfId="10670"/>
    <cellStyle name="Normal 8 22 2 4 2" xfId="30348"/>
    <cellStyle name="Normal 8 22 2 5" xfId="16822"/>
    <cellStyle name="Normal 8 22 2 5 2" xfId="36500"/>
    <cellStyle name="Normal 8 22 2 6" xfId="24184"/>
    <cellStyle name="Normal 8 22 3" xfId="5208"/>
    <cellStyle name="Normal 8 22 3 2" xfId="8308"/>
    <cellStyle name="Normal 8 22 3 2 2" xfId="14501"/>
    <cellStyle name="Normal 8 22 3 2 2 2" xfId="34179"/>
    <cellStyle name="Normal 8 22 3 2 3" xfId="20653"/>
    <cellStyle name="Normal 8 22 3 2 3 2" xfId="40331"/>
    <cellStyle name="Normal 8 22 3 2 4" xfId="28015"/>
    <cellStyle name="Normal 8 22 3 3" xfId="11435"/>
    <cellStyle name="Normal 8 22 3 3 2" xfId="31113"/>
    <cellStyle name="Normal 8 22 3 4" xfId="17587"/>
    <cellStyle name="Normal 8 22 3 4 2" xfId="37265"/>
    <cellStyle name="Normal 8 22 3 5" xfId="24949"/>
    <cellStyle name="Normal 8 22 4" xfId="6773"/>
    <cellStyle name="Normal 8 22 4 2" xfId="12967"/>
    <cellStyle name="Normal 8 22 4 2 2" xfId="32645"/>
    <cellStyle name="Normal 8 22 4 3" xfId="19119"/>
    <cellStyle name="Normal 8 22 4 3 2" xfId="38797"/>
    <cellStyle name="Normal 8 22 4 4" xfId="26481"/>
    <cellStyle name="Normal 8 22 5" xfId="9901"/>
    <cellStyle name="Normal 8 22 5 2" xfId="29579"/>
    <cellStyle name="Normal 8 22 6" xfId="16053"/>
    <cellStyle name="Normal 8 22 6 2" xfId="35731"/>
    <cellStyle name="Normal 8 22 7" xfId="23392"/>
    <cellStyle name="Normal 8 23" xfId="3187"/>
    <cellStyle name="Normal 8 23 2" xfId="3188"/>
    <cellStyle name="Normal 8 24" xfId="3189"/>
    <cellStyle name="Normal 8 24 2" xfId="3190"/>
    <cellStyle name="Normal 8 25" xfId="3168"/>
    <cellStyle name="Normal 8 25 2" xfId="4349"/>
    <cellStyle name="Normal 8 25 2 2" xfId="5974"/>
    <cellStyle name="Normal 8 25 2 2 2" xfId="9060"/>
    <cellStyle name="Normal 8 25 2 2 2 2" xfId="15253"/>
    <cellStyle name="Normal 8 25 2 2 2 2 2" xfId="34931"/>
    <cellStyle name="Normal 8 25 2 2 2 3" xfId="21405"/>
    <cellStyle name="Normal 8 25 2 2 2 3 2" xfId="41083"/>
    <cellStyle name="Normal 8 25 2 2 2 4" xfId="28767"/>
    <cellStyle name="Normal 8 25 2 2 3" xfId="12187"/>
    <cellStyle name="Normal 8 25 2 2 3 2" xfId="31865"/>
    <cellStyle name="Normal 8 25 2 2 4" xfId="18339"/>
    <cellStyle name="Normal 8 25 2 2 4 2" xfId="38017"/>
    <cellStyle name="Normal 8 25 2 2 5" xfId="25701"/>
    <cellStyle name="Normal 8 25 2 3" xfId="7525"/>
    <cellStyle name="Normal 8 25 2 3 2" xfId="13719"/>
    <cellStyle name="Normal 8 25 2 3 2 2" xfId="33397"/>
    <cellStyle name="Normal 8 25 2 3 3" xfId="19871"/>
    <cellStyle name="Normal 8 25 2 3 3 2" xfId="39549"/>
    <cellStyle name="Normal 8 25 2 3 4" xfId="27233"/>
    <cellStyle name="Normal 8 25 2 4" xfId="10653"/>
    <cellStyle name="Normal 8 25 2 4 2" xfId="30331"/>
    <cellStyle name="Normal 8 25 2 5" xfId="16805"/>
    <cellStyle name="Normal 8 25 2 5 2" xfId="36483"/>
    <cellStyle name="Normal 8 25 2 6" xfId="24167"/>
    <cellStyle name="Normal 8 25 3" xfId="5191"/>
    <cellStyle name="Normal 8 25 3 2" xfId="8291"/>
    <cellStyle name="Normal 8 25 3 2 2" xfId="14484"/>
    <cellStyle name="Normal 8 25 3 2 2 2" xfId="34162"/>
    <cellStyle name="Normal 8 25 3 2 3" xfId="20636"/>
    <cellStyle name="Normal 8 25 3 2 3 2" xfId="40314"/>
    <cellStyle name="Normal 8 25 3 2 4" xfId="27998"/>
    <cellStyle name="Normal 8 25 3 3" xfId="11418"/>
    <cellStyle name="Normal 8 25 3 3 2" xfId="31096"/>
    <cellStyle name="Normal 8 25 3 4" xfId="17570"/>
    <cellStyle name="Normal 8 25 3 4 2" xfId="37248"/>
    <cellStyle name="Normal 8 25 3 5" xfId="24932"/>
    <cellStyle name="Normal 8 25 4" xfId="6756"/>
    <cellStyle name="Normal 8 25 4 2" xfId="12950"/>
    <cellStyle name="Normal 8 25 4 2 2" xfId="32628"/>
    <cellStyle name="Normal 8 25 4 3" xfId="19102"/>
    <cellStyle name="Normal 8 25 4 3 2" xfId="38780"/>
    <cellStyle name="Normal 8 25 4 4" xfId="26464"/>
    <cellStyle name="Normal 8 25 5" xfId="9884"/>
    <cellStyle name="Normal 8 25 5 2" xfId="29562"/>
    <cellStyle name="Normal 8 25 6" xfId="16036"/>
    <cellStyle name="Normal 8 25 6 2" xfId="35714"/>
    <cellStyle name="Normal 8 25 7" xfId="23375"/>
    <cellStyle name="Normal 8 26" xfId="3806"/>
    <cellStyle name="Normal 8 26 2" xfId="5431"/>
    <cellStyle name="Normal 8 26 2 2" xfId="8517"/>
    <cellStyle name="Normal 8 26 2 2 2" xfId="14710"/>
    <cellStyle name="Normal 8 26 2 2 2 2" xfId="34388"/>
    <cellStyle name="Normal 8 26 2 2 3" xfId="20862"/>
    <cellStyle name="Normal 8 26 2 2 3 2" xfId="40540"/>
    <cellStyle name="Normal 8 26 2 2 4" xfId="28224"/>
    <cellStyle name="Normal 8 26 2 3" xfId="11644"/>
    <cellStyle name="Normal 8 26 2 3 2" xfId="31322"/>
    <cellStyle name="Normal 8 26 2 4" xfId="17796"/>
    <cellStyle name="Normal 8 26 2 4 2" xfId="37474"/>
    <cellStyle name="Normal 8 26 2 5" xfId="25158"/>
    <cellStyle name="Normal 8 26 3" xfId="6982"/>
    <cellStyle name="Normal 8 26 3 2" xfId="13176"/>
    <cellStyle name="Normal 8 26 3 2 2" xfId="32854"/>
    <cellStyle name="Normal 8 26 3 3" xfId="19328"/>
    <cellStyle name="Normal 8 26 3 3 2" xfId="39006"/>
    <cellStyle name="Normal 8 26 3 4" xfId="26690"/>
    <cellStyle name="Normal 8 26 4" xfId="10110"/>
    <cellStyle name="Normal 8 26 4 2" xfId="29788"/>
    <cellStyle name="Normal 8 26 5" xfId="16262"/>
    <cellStyle name="Normal 8 26 5 2" xfId="35940"/>
    <cellStyle name="Normal 8 26 6" xfId="23624"/>
    <cellStyle name="Normal 8 27" xfId="4644"/>
    <cellStyle name="Normal 8 27 2" xfId="7748"/>
    <cellStyle name="Normal 8 27 2 2" xfId="13941"/>
    <cellStyle name="Normal 8 27 2 2 2" xfId="33619"/>
    <cellStyle name="Normal 8 27 2 3" xfId="20093"/>
    <cellStyle name="Normal 8 27 2 3 2" xfId="39771"/>
    <cellStyle name="Normal 8 27 2 4" xfId="27455"/>
    <cellStyle name="Normal 8 27 3" xfId="10875"/>
    <cellStyle name="Normal 8 27 3 2" xfId="30553"/>
    <cellStyle name="Normal 8 27 4" xfId="17027"/>
    <cellStyle name="Normal 8 27 4 2" xfId="36705"/>
    <cellStyle name="Normal 8 27 5" xfId="24389"/>
    <cellStyle name="Normal 8 28" xfId="6213"/>
    <cellStyle name="Normal 8 28 2" xfId="12407"/>
    <cellStyle name="Normal 8 28 2 2" xfId="32085"/>
    <cellStyle name="Normal 8 28 3" xfId="18559"/>
    <cellStyle name="Normal 8 28 3 2" xfId="38237"/>
    <cellStyle name="Normal 8 28 4" xfId="25921"/>
    <cellStyle name="Normal 8 29" xfId="9341"/>
    <cellStyle name="Normal 8 29 2" xfId="29019"/>
    <cellStyle name="Normal 8 3" xfId="364"/>
    <cellStyle name="Normal 8 3 10" xfId="9352"/>
    <cellStyle name="Normal 8 3 10 2" xfId="29030"/>
    <cellStyle name="Normal 8 3 11" xfId="15504"/>
    <cellStyle name="Normal 8 3 11 2" xfId="35182"/>
    <cellStyle name="Normal 8 3 12" xfId="42036"/>
    <cellStyle name="Normal 8 3 13" xfId="22747"/>
    <cellStyle name="Normal 8 3 2" xfId="3192"/>
    <cellStyle name="Normal 8 3 2 2" xfId="4368"/>
    <cellStyle name="Normal 8 3 2 2 2" xfId="5993"/>
    <cellStyle name="Normal 8 3 2 2 2 2" xfId="9079"/>
    <cellStyle name="Normal 8 3 2 2 2 2 2" xfId="15272"/>
    <cellStyle name="Normal 8 3 2 2 2 2 2 2" xfId="34950"/>
    <cellStyle name="Normal 8 3 2 2 2 2 3" xfId="21424"/>
    <cellStyle name="Normal 8 3 2 2 2 2 3 2" xfId="41102"/>
    <cellStyle name="Normal 8 3 2 2 2 2 4" xfId="28786"/>
    <cellStyle name="Normal 8 3 2 2 2 3" xfId="12206"/>
    <cellStyle name="Normal 8 3 2 2 2 3 2" xfId="31884"/>
    <cellStyle name="Normal 8 3 2 2 2 4" xfId="18358"/>
    <cellStyle name="Normal 8 3 2 2 2 4 2" xfId="38036"/>
    <cellStyle name="Normal 8 3 2 2 2 5" xfId="25720"/>
    <cellStyle name="Normal 8 3 2 2 3" xfId="7544"/>
    <cellStyle name="Normal 8 3 2 2 3 2" xfId="13738"/>
    <cellStyle name="Normal 8 3 2 2 3 2 2" xfId="33416"/>
    <cellStyle name="Normal 8 3 2 2 3 3" xfId="19890"/>
    <cellStyle name="Normal 8 3 2 2 3 3 2" xfId="39568"/>
    <cellStyle name="Normal 8 3 2 2 3 4" xfId="27252"/>
    <cellStyle name="Normal 8 3 2 2 4" xfId="10672"/>
    <cellStyle name="Normal 8 3 2 2 4 2" xfId="30350"/>
    <cellStyle name="Normal 8 3 2 2 5" xfId="16824"/>
    <cellStyle name="Normal 8 3 2 2 5 2" xfId="36502"/>
    <cellStyle name="Normal 8 3 2 2 6" xfId="24186"/>
    <cellStyle name="Normal 8 3 2 3" xfId="5210"/>
    <cellStyle name="Normal 8 3 2 3 2" xfId="8310"/>
    <cellStyle name="Normal 8 3 2 3 2 2" xfId="14503"/>
    <cellStyle name="Normal 8 3 2 3 2 2 2" xfId="34181"/>
    <cellStyle name="Normal 8 3 2 3 2 3" xfId="20655"/>
    <cellStyle name="Normal 8 3 2 3 2 3 2" xfId="40333"/>
    <cellStyle name="Normal 8 3 2 3 2 4" xfId="28017"/>
    <cellStyle name="Normal 8 3 2 3 3" xfId="11437"/>
    <cellStyle name="Normal 8 3 2 3 3 2" xfId="31115"/>
    <cellStyle name="Normal 8 3 2 3 4" xfId="17589"/>
    <cellStyle name="Normal 8 3 2 3 4 2" xfId="37267"/>
    <cellStyle name="Normal 8 3 2 3 5" xfId="24951"/>
    <cellStyle name="Normal 8 3 2 4" xfId="6775"/>
    <cellStyle name="Normal 8 3 2 4 2" xfId="12969"/>
    <cellStyle name="Normal 8 3 2 4 2 2" xfId="32647"/>
    <cellStyle name="Normal 8 3 2 4 3" xfId="19121"/>
    <cellStyle name="Normal 8 3 2 4 3 2" xfId="38799"/>
    <cellStyle name="Normal 8 3 2 4 4" xfId="26483"/>
    <cellStyle name="Normal 8 3 2 5" xfId="9903"/>
    <cellStyle name="Normal 8 3 2 5 2" xfId="29581"/>
    <cellStyle name="Normal 8 3 2 6" xfId="16055"/>
    <cellStyle name="Normal 8 3 2 6 2" xfId="35733"/>
    <cellStyle name="Normal 8 3 2 7" xfId="23394"/>
    <cellStyle name="Normal 8 3 3" xfId="3193"/>
    <cellStyle name="Normal 8 3 3 2" xfId="4369"/>
    <cellStyle name="Normal 8 3 3 2 2" xfId="5994"/>
    <cellStyle name="Normal 8 3 3 2 2 2" xfId="9080"/>
    <cellStyle name="Normal 8 3 3 2 2 2 2" xfId="15273"/>
    <cellStyle name="Normal 8 3 3 2 2 2 2 2" xfId="34951"/>
    <cellStyle name="Normal 8 3 3 2 2 2 3" xfId="21425"/>
    <cellStyle name="Normal 8 3 3 2 2 2 3 2" xfId="41103"/>
    <cellStyle name="Normal 8 3 3 2 2 2 4" xfId="28787"/>
    <cellStyle name="Normal 8 3 3 2 2 3" xfId="12207"/>
    <cellStyle name="Normal 8 3 3 2 2 3 2" xfId="31885"/>
    <cellStyle name="Normal 8 3 3 2 2 4" xfId="18359"/>
    <cellStyle name="Normal 8 3 3 2 2 4 2" xfId="38037"/>
    <cellStyle name="Normal 8 3 3 2 2 5" xfId="25721"/>
    <cellStyle name="Normal 8 3 3 2 3" xfId="7545"/>
    <cellStyle name="Normal 8 3 3 2 3 2" xfId="13739"/>
    <cellStyle name="Normal 8 3 3 2 3 2 2" xfId="33417"/>
    <cellStyle name="Normal 8 3 3 2 3 3" xfId="19891"/>
    <cellStyle name="Normal 8 3 3 2 3 3 2" xfId="39569"/>
    <cellStyle name="Normal 8 3 3 2 3 4" xfId="27253"/>
    <cellStyle name="Normal 8 3 3 2 4" xfId="10673"/>
    <cellStyle name="Normal 8 3 3 2 4 2" xfId="30351"/>
    <cellStyle name="Normal 8 3 3 2 5" xfId="16825"/>
    <cellStyle name="Normal 8 3 3 2 5 2" xfId="36503"/>
    <cellStyle name="Normal 8 3 3 2 6" xfId="24187"/>
    <cellStyle name="Normal 8 3 3 3" xfId="5211"/>
    <cellStyle name="Normal 8 3 3 3 2" xfId="8311"/>
    <cellStyle name="Normal 8 3 3 3 2 2" xfId="14504"/>
    <cellStyle name="Normal 8 3 3 3 2 2 2" xfId="34182"/>
    <cellStyle name="Normal 8 3 3 3 2 3" xfId="20656"/>
    <cellStyle name="Normal 8 3 3 3 2 3 2" xfId="40334"/>
    <cellStyle name="Normal 8 3 3 3 2 4" xfId="28018"/>
    <cellStyle name="Normal 8 3 3 3 3" xfId="11438"/>
    <cellStyle name="Normal 8 3 3 3 3 2" xfId="31116"/>
    <cellStyle name="Normal 8 3 3 3 4" xfId="17590"/>
    <cellStyle name="Normal 8 3 3 3 4 2" xfId="37268"/>
    <cellStyle name="Normal 8 3 3 3 5" xfId="24952"/>
    <cellStyle name="Normal 8 3 3 4" xfId="6776"/>
    <cellStyle name="Normal 8 3 3 4 2" xfId="12970"/>
    <cellStyle name="Normal 8 3 3 4 2 2" xfId="32648"/>
    <cellStyle name="Normal 8 3 3 4 3" xfId="19122"/>
    <cellStyle name="Normal 8 3 3 4 3 2" xfId="38800"/>
    <cellStyle name="Normal 8 3 3 4 4" xfId="26484"/>
    <cellStyle name="Normal 8 3 3 5" xfId="9904"/>
    <cellStyle name="Normal 8 3 3 5 2" xfId="29582"/>
    <cellStyle name="Normal 8 3 3 6" xfId="16056"/>
    <cellStyle name="Normal 8 3 3 6 2" xfId="35734"/>
    <cellStyle name="Normal 8 3 3 7" xfId="23395"/>
    <cellStyle name="Normal 8 3 4" xfId="3194"/>
    <cellStyle name="Normal 8 3 4 2" xfId="4370"/>
    <cellStyle name="Normal 8 3 4 2 2" xfId="5995"/>
    <cellStyle name="Normal 8 3 4 2 2 2" xfId="9081"/>
    <cellStyle name="Normal 8 3 4 2 2 2 2" xfId="15274"/>
    <cellStyle name="Normal 8 3 4 2 2 2 2 2" xfId="34952"/>
    <cellStyle name="Normal 8 3 4 2 2 2 3" xfId="21426"/>
    <cellStyle name="Normal 8 3 4 2 2 2 3 2" xfId="41104"/>
    <cellStyle name="Normal 8 3 4 2 2 2 4" xfId="28788"/>
    <cellStyle name="Normal 8 3 4 2 2 3" xfId="12208"/>
    <cellStyle name="Normal 8 3 4 2 2 3 2" xfId="31886"/>
    <cellStyle name="Normal 8 3 4 2 2 4" xfId="18360"/>
    <cellStyle name="Normal 8 3 4 2 2 4 2" xfId="38038"/>
    <cellStyle name="Normal 8 3 4 2 2 5" xfId="25722"/>
    <cellStyle name="Normal 8 3 4 2 3" xfId="7546"/>
    <cellStyle name="Normal 8 3 4 2 3 2" xfId="13740"/>
    <cellStyle name="Normal 8 3 4 2 3 2 2" xfId="33418"/>
    <cellStyle name="Normal 8 3 4 2 3 3" xfId="19892"/>
    <cellStyle name="Normal 8 3 4 2 3 3 2" xfId="39570"/>
    <cellStyle name="Normal 8 3 4 2 3 4" xfId="27254"/>
    <cellStyle name="Normal 8 3 4 2 4" xfId="10674"/>
    <cellStyle name="Normal 8 3 4 2 4 2" xfId="30352"/>
    <cellStyle name="Normal 8 3 4 2 5" xfId="16826"/>
    <cellStyle name="Normal 8 3 4 2 5 2" xfId="36504"/>
    <cellStyle name="Normal 8 3 4 2 6" xfId="24188"/>
    <cellStyle name="Normal 8 3 4 3" xfId="5212"/>
    <cellStyle name="Normal 8 3 4 3 2" xfId="8312"/>
    <cellStyle name="Normal 8 3 4 3 2 2" xfId="14505"/>
    <cellStyle name="Normal 8 3 4 3 2 2 2" xfId="34183"/>
    <cellStyle name="Normal 8 3 4 3 2 3" xfId="20657"/>
    <cellStyle name="Normal 8 3 4 3 2 3 2" xfId="40335"/>
    <cellStyle name="Normal 8 3 4 3 2 4" xfId="28019"/>
    <cellStyle name="Normal 8 3 4 3 3" xfId="11439"/>
    <cellStyle name="Normal 8 3 4 3 3 2" xfId="31117"/>
    <cellStyle name="Normal 8 3 4 3 4" xfId="17591"/>
    <cellStyle name="Normal 8 3 4 3 4 2" xfId="37269"/>
    <cellStyle name="Normal 8 3 4 3 5" xfId="24953"/>
    <cellStyle name="Normal 8 3 4 4" xfId="6777"/>
    <cellStyle name="Normal 8 3 4 4 2" xfId="12971"/>
    <cellStyle name="Normal 8 3 4 4 2 2" xfId="32649"/>
    <cellStyle name="Normal 8 3 4 4 3" xfId="19123"/>
    <cellStyle name="Normal 8 3 4 4 3 2" xfId="38801"/>
    <cellStyle name="Normal 8 3 4 4 4" xfId="26485"/>
    <cellStyle name="Normal 8 3 4 5" xfId="9905"/>
    <cellStyle name="Normal 8 3 4 5 2" xfId="29583"/>
    <cellStyle name="Normal 8 3 4 6" xfId="16057"/>
    <cellStyle name="Normal 8 3 4 6 2" xfId="35735"/>
    <cellStyle name="Normal 8 3 4 7" xfId="23396"/>
    <cellStyle name="Normal 8 3 5" xfId="3195"/>
    <cellStyle name="Normal 8 3 5 2" xfId="4371"/>
    <cellStyle name="Normal 8 3 5 2 2" xfId="5996"/>
    <cellStyle name="Normal 8 3 5 2 2 2" xfId="9082"/>
    <cellStyle name="Normal 8 3 5 2 2 2 2" xfId="15275"/>
    <cellStyle name="Normal 8 3 5 2 2 2 2 2" xfId="34953"/>
    <cellStyle name="Normal 8 3 5 2 2 2 3" xfId="21427"/>
    <cellStyle name="Normal 8 3 5 2 2 2 3 2" xfId="41105"/>
    <cellStyle name="Normal 8 3 5 2 2 2 4" xfId="28789"/>
    <cellStyle name="Normal 8 3 5 2 2 3" xfId="12209"/>
    <cellStyle name="Normal 8 3 5 2 2 3 2" xfId="31887"/>
    <cellStyle name="Normal 8 3 5 2 2 4" xfId="18361"/>
    <cellStyle name="Normal 8 3 5 2 2 4 2" xfId="38039"/>
    <cellStyle name="Normal 8 3 5 2 2 5" xfId="25723"/>
    <cellStyle name="Normal 8 3 5 2 3" xfId="7547"/>
    <cellStyle name="Normal 8 3 5 2 3 2" xfId="13741"/>
    <cellStyle name="Normal 8 3 5 2 3 2 2" xfId="33419"/>
    <cellStyle name="Normal 8 3 5 2 3 3" xfId="19893"/>
    <cellStyle name="Normal 8 3 5 2 3 3 2" xfId="39571"/>
    <cellStyle name="Normal 8 3 5 2 3 4" xfId="27255"/>
    <cellStyle name="Normal 8 3 5 2 4" xfId="10675"/>
    <cellStyle name="Normal 8 3 5 2 4 2" xfId="30353"/>
    <cellStyle name="Normal 8 3 5 2 5" xfId="16827"/>
    <cellStyle name="Normal 8 3 5 2 5 2" xfId="36505"/>
    <cellStyle name="Normal 8 3 5 2 6" xfId="24189"/>
    <cellStyle name="Normal 8 3 5 3" xfId="5213"/>
    <cellStyle name="Normal 8 3 5 3 2" xfId="8313"/>
    <cellStyle name="Normal 8 3 5 3 2 2" xfId="14506"/>
    <cellStyle name="Normal 8 3 5 3 2 2 2" xfId="34184"/>
    <cellStyle name="Normal 8 3 5 3 2 3" xfId="20658"/>
    <cellStyle name="Normal 8 3 5 3 2 3 2" xfId="40336"/>
    <cellStyle name="Normal 8 3 5 3 2 4" xfId="28020"/>
    <cellStyle name="Normal 8 3 5 3 3" xfId="11440"/>
    <cellStyle name="Normal 8 3 5 3 3 2" xfId="31118"/>
    <cellStyle name="Normal 8 3 5 3 4" xfId="17592"/>
    <cellStyle name="Normal 8 3 5 3 4 2" xfId="37270"/>
    <cellStyle name="Normal 8 3 5 3 5" xfId="24954"/>
    <cellStyle name="Normal 8 3 5 4" xfId="6778"/>
    <cellStyle name="Normal 8 3 5 4 2" xfId="12972"/>
    <cellStyle name="Normal 8 3 5 4 2 2" xfId="32650"/>
    <cellStyle name="Normal 8 3 5 4 3" xfId="19124"/>
    <cellStyle name="Normal 8 3 5 4 3 2" xfId="38802"/>
    <cellStyle name="Normal 8 3 5 4 4" xfId="26486"/>
    <cellStyle name="Normal 8 3 5 5" xfId="9906"/>
    <cellStyle name="Normal 8 3 5 5 2" xfId="29584"/>
    <cellStyle name="Normal 8 3 5 6" xfId="16058"/>
    <cellStyle name="Normal 8 3 5 6 2" xfId="35736"/>
    <cellStyle name="Normal 8 3 5 7" xfId="23397"/>
    <cellStyle name="Normal 8 3 6" xfId="3191"/>
    <cellStyle name="Normal 8 3 6 2" xfId="4367"/>
    <cellStyle name="Normal 8 3 6 2 2" xfId="5992"/>
    <cellStyle name="Normal 8 3 6 2 2 2" xfId="9078"/>
    <cellStyle name="Normal 8 3 6 2 2 2 2" xfId="15271"/>
    <cellStyle name="Normal 8 3 6 2 2 2 2 2" xfId="34949"/>
    <cellStyle name="Normal 8 3 6 2 2 2 3" xfId="21423"/>
    <cellStyle name="Normal 8 3 6 2 2 2 3 2" xfId="41101"/>
    <cellStyle name="Normal 8 3 6 2 2 2 4" xfId="28785"/>
    <cellStyle name="Normal 8 3 6 2 2 3" xfId="12205"/>
    <cellStyle name="Normal 8 3 6 2 2 3 2" xfId="31883"/>
    <cellStyle name="Normal 8 3 6 2 2 4" xfId="18357"/>
    <cellStyle name="Normal 8 3 6 2 2 4 2" xfId="38035"/>
    <cellStyle name="Normal 8 3 6 2 2 5" xfId="25719"/>
    <cellStyle name="Normal 8 3 6 2 3" xfId="7543"/>
    <cellStyle name="Normal 8 3 6 2 3 2" xfId="13737"/>
    <cellStyle name="Normal 8 3 6 2 3 2 2" xfId="33415"/>
    <cellStyle name="Normal 8 3 6 2 3 3" xfId="19889"/>
    <cellStyle name="Normal 8 3 6 2 3 3 2" xfId="39567"/>
    <cellStyle name="Normal 8 3 6 2 3 4" xfId="27251"/>
    <cellStyle name="Normal 8 3 6 2 4" xfId="10671"/>
    <cellStyle name="Normal 8 3 6 2 4 2" xfId="30349"/>
    <cellStyle name="Normal 8 3 6 2 5" xfId="16823"/>
    <cellStyle name="Normal 8 3 6 2 5 2" xfId="36501"/>
    <cellStyle name="Normal 8 3 6 2 6" xfId="24185"/>
    <cellStyle name="Normal 8 3 6 3" xfId="5209"/>
    <cellStyle name="Normal 8 3 6 3 2" xfId="8309"/>
    <cellStyle name="Normal 8 3 6 3 2 2" xfId="14502"/>
    <cellStyle name="Normal 8 3 6 3 2 2 2" xfId="34180"/>
    <cellStyle name="Normal 8 3 6 3 2 3" xfId="20654"/>
    <cellStyle name="Normal 8 3 6 3 2 3 2" xfId="40332"/>
    <cellStyle name="Normal 8 3 6 3 2 4" xfId="28016"/>
    <cellStyle name="Normal 8 3 6 3 3" xfId="11436"/>
    <cellStyle name="Normal 8 3 6 3 3 2" xfId="31114"/>
    <cellStyle name="Normal 8 3 6 3 4" xfId="17588"/>
    <cellStyle name="Normal 8 3 6 3 4 2" xfId="37266"/>
    <cellStyle name="Normal 8 3 6 3 5" xfId="24950"/>
    <cellStyle name="Normal 8 3 6 4" xfId="6774"/>
    <cellStyle name="Normal 8 3 6 4 2" xfId="12968"/>
    <cellStyle name="Normal 8 3 6 4 2 2" xfId="32646"/>
    <cellStyle name="Normal 8 3 6 4 3" xfId="19120"/>
    <cellStyle name="Normal 8 3 6 4 3 2" xfId="38798"/>
    <cellStyle name="Normal 8 3 6 4 4" xfId="26482"/>
    <cellStyle name="Normal 8 3 6 5" xfId="9902"/>
    <cellStyle name="Normal 8 3 6 5 2" xfId="29580"/>
    <cellStyle name="Normal 8 3 6 6" xfId="16054"/>
    <cellStyle name="Normal 8 3 6 6 2" xfId="35732"/>
    <cellStyle name="Normal 8 3 6 7" xfId="23393"/>
    <cellStyle name="Normal 8 3 7" xfId="3817"/>
    <cellStyle name="Normal 8 3 7 2" xfId="5442"/>
    <cellStyle name="Normal 8 3 7 2 2" xfId="8528"/>
    <cellStyle name="Normal 8 3 7 2 2 2" xfId="14721"/>
    <cellStyle name="Normal 8 3 7 2 2 2 2" xfId="34399"/>
    <cellStyle name="Normal 8 3 7 2 2 3" xfId="20873"/>
    <cellStyle name="Normal 8 3 7 2 2 3 2" xfId="40551"/>
    <cellStyle name="Normal 8 3 7 2 2 4" xfId="28235"/>
    <cellStyle name="Normal 8 3 7 2 3" xfId="11655"/>
    <cellStyle name="Normal 8 3 7 2 3 2" xfId="31333"/>
    <cellStyle name="Normal 8 3 7 2 4" xfId="17807"/>
    <cellStyle name="Normal 8 3 7 2 4 2" xfId="37485"/>
    <cellStyle name="Normal 8 3 7 2 5" xfId="25169"/>
    <cellStyle name="Normal 8 3 7 3" xfId="6993"/>
    <cellStyle name="Normal 8 3 7 3 2" xfId="13187"/>
    <cellStyle name="Normal 8 3 7 3 2 2" xfId="32865"/>
    <cellStyle name="Normal 8 3 7 3 3" xfId="19339"/>
    <cellStyle name="Normal 8 3 7 3 3 2" xfId="39017"/>
    <cellStyle name="Normal 8 3 7 3 4" xfId="26701"/>
    <cellStyle name="Normal 8 3 7 4" xfId="10121"/>
    <cellStyle name="Normal 8 3 7 4 2" xfId="29799"/>
    <cellStyle name="Normal 8 3 7 5" xfId="16273"/>
    <cellStyle name="Normal 8 3 7 5 2" xfId="35951"/>
    <cellStyle name="Normal 8 3 7 6" xfId="23635"/>
    <cellStyle name="Normal 8 3 8" xfId="4656"/>
    <cellStyle name="Normal 8 3 8 2" xfId="7759"/>
    <cellStyle name="Normal 8 3 8 2 2" xfId="13952"/>
    <cellStyle name="Normal 8 3 8 2 2 2" xfId="33630"/>
    <cellStyle name="Normal 8 3 8 2 3" xfId="20104"/>
    <cellStyle name="Normal 8 3 8 2 3 2" xfId="39782"/>
    <cellStyle name="Normal 8 3 8 2 4" xfId="27466"/>
    <cellStyle name="Normal 8 3 8 3" xfId="10886"/>
    <cellStyle name="Normal 8 3 8 3 2" xfId="30564"/>
    <cellStyle name="Normal 8 3 8 4" xfId="17038"/>
    <cellStyle name="Normal 8 3 8 4 2" xfId="36716"/>
    <cellStyle name="Normal 8 3 8 5" xfId="24400"/>
    <cellStyle name="Normal 8 3 9" xfId="6224"/>
    <cellStyle name="Normal 8 3 9 2" xfId="12418"/>
    <cellStyle name="Normal 8 3 9 2 2" xfId="32096"/>
    <cellStyle name="Normal 8 3 9 3" xfId="18570"/>
    <cellStyle name="Normal 8 3 9 3 2" xfId="38248"/>
    <cellStyle name="Normal 8 3 9 4" xfId="25932"/>
    <cellStyle name="Normal 8 30" xfId="15493"/>
    <cellStyle name="Normal 8 30 2" xfId="35171"/>
    <cellStyle name="Normal 8 31" xfId="336"/>
    <cellStyle name="Normal 8 31 2" xfId="22735"/>
    <cellStyle name="Normal 8 32" xfId="21763"/>
    <cellStyle name="Normal 8 33" xfId="42034"/>
    <cellStyle name="Normal 8 34" xfId="42081"/>
    <cellStyle name="Normal 8 4" xfId="3196"/>
    <cellStyle name="Normal 8 4 2" xfId="4372"/>
    <cellStyle name="Normal 8 4 2 2" xfId="5997"/>
    <cellStyle name="Normal 8 4 2 2 2" xfId="9083"/>
    <cellStyle name="Normal 8 4 2 2 2 2" xfId="15276"/>
    <cellStyle name="Normal 8 4 2 2 2 2 2" xfId="34954"/>
    <cellStyle name="Normal 8 4 2 2 2 3" xfId="21428"/>
    <cellStyle name="Normal 8 4 2 2 2 3 2" xfId="41106"/>
    <cellStyle name="Normal 8 4 2 2 2 4" xfId="28790"/>
    <cellStyle name="Normal 8 4 2 2 3" xfId="12210"/>
    <cellStyle name="Normal 8 4 2 2 3 2" xfId="31888"/>
    <cellStyle name="Normal 8 4 2 2 4" xfId="18362"/>
    <cellStyle name="Normal 8 4 2 2 4 2" xfId="38040"/>
    <cellStyle name="Normal 8 4 2 2 5" xfId="25724"/>
    <cellStyle name="Normal 8 4 2 3" xfId="7548"/>
    <cellStyle name="Normal 8 4 2 3 2" xfId="13742"/>
    <cellStyle name="Normal 8 4 2 3 2 2" xfId="33420"/>
    <cellStyle name="Normal 8 4 2 3 3" xfId="19894"/>
    <cellStyle name="Normal 8 4 2 3 3 2" xfId="39572"/>
    <cellStyle name="Normal 8 4 2 3 4" xfId="27256"/>
    <cellStyle name="Normal 8 4 2 4" xfId="10676"/>
    <cellStyle name="Normal 8 4 2 4 2" xfId="30354"/>
    <cellStyle name="Normal 8 4 2 5" xfId="16828"/>
    <cellStyle name="Normal 8 4 2 5 2" xfId="36506"/>
    <cellStyle name="Normal 8 4 2 6" xfId="24190"/>
    <cellStyle name="Normal 8 4 3" xfId="5214"/>
    <cellStyle name="Normal 8 4 3 2" xfId="8314"/>
    <cellStyle name="Normal 8 4 3 2 2" xfId="14507"/>
    <cellStyle name="Normal 8 4 3 2 2 2" xfId="34185"/>
    <cellStyle name="Normal 8 4 3 2 3" xfId="20659"/>
    <cellStyle name="Normal 8 4 3 2 3 2" xfId="40337"/>
    <cellStyle name="Normal 8 4 3 2 4" xfId="28021"/>
    <cellStyle name="Normal 8 4 3 3" xfId="11441"/>
    <cellStyle name="Normal 8 4 3 3 2" xfId="31119"/>
    <cellStyle name="Normal 8 4 3 4" xfId="17593"/>
    <cellStyle name="Normal 8 4 3 4 2" xfId="37271"/>
    <cellStyle name="Normal 8 4 3 5" xfId="24955"/>
    <cellStyle name="Normal 8 4 4" xfId="6779"/>
    <cellStyle name="Normal 8 4 4 2" xfId="12973"/>
    <cellStyle name="Normal 8 4 4 2 2" xfId="32651"/>
    <cellStyle name="Normal 8 4 4 3" xfId="19125"/>
    <cellStyle name="Normal 8 4 4 3 2" xfId="38803"/>
    <cellStyle name="Normal 8 4 4 4" xfId="26487"/>
    <cellStyle name="Normal 8 4 5" xfId="9907"/>
    <cellStyle name="Normal 8 4 5 2" xfId="29585"/>
    <cellStyle name="Normal 8 4 6" xfId="16059"/>
    <cellStyle name="Normal 8 4 6 2" xfId="35737"/>
    <cellStyle name="Normal 8 4 7" xfId="42037"/>
    <cellStyle name="Normal 8 4 8" xfId="23398"/>
    <cellStyle name="Normal 8 5" xfId="3197"/>
    <cellStyle name="Normal 8 5 2" xfId="4373"/>
    <cellStyle name="Normal 8 5 2 2" xfId="5998"/>
    <cellStyle name="Normal 8 5 2 2 2" xfId="9084"/>
    <cellStyle name="Normal 8 5 2 2 2 2" xfId="15277"/>
    <cellStyle name="Normal 8 5 2 2 2 2 2" xfId="34955"/>
    <cellStyle name="Normal 8 5 2 2 2 3" xfId="21429"/>
    <cellStyle name="Normal 8 5 2 2 2 3 2" xfId="41107"/>
    <cellStyle name="Normal 8 5 2 2 2 4" xfId="28791"/>
    <cellStyle name="Normal 8 5 2 2 3" xfId="12211"/>
    <cellStyle name="Normal 8 5 2 2 3 2" xfId="31889"/>
    <cellStyle name="Normal 8 5 2 2 4" xfId="18363"/>
    <cellStyle name="Normal 8 5 2 2 4 2" xfId="38041"/>
    <cellStyle name="Normal 8 5 2 2 5" xfId="25725"/>
    <cellStyle name="Normal 8 5 2 3" xfId="7549"/>
    <cellStyle name="Normal 8 5 2 3 2" xfId="13743"/>
    <cellStyle name="Normal 8 5 2 3 2 2" xfId="33421"/>
    <cellStyle name="Normal 8 5 2 3 3" xfId="19895"/>
    <cellStyle name="Normal 8 5 2 3 3 2" xfId="39573"/>
    <cellStyle name="Normal 8 5 2 3 4" xfId="27257"/>
    <cellStyle name="Normal 8 5 2 4" xfId="10677"/>
    <cellStyle name="Normal 8 5 2 4 2" xfId="30355"/>
    <cellStyle name="Normal 8 5 2 5" xfId="16829"/>
    <cellStyle name="Normal 8 5 2 5 2" xfId="36507"/>
    <cellStyle name="Normal 8 5 2 6" xfId="24191"/>
    <cellStyle name="Normal 8 5 3" xfId="5215"/>
    <cellStyle name="Normal 8 5 3 2" xfId="8315"/>
    <cellStyle name="Normal 8 5 3 2 2" xfId="14508"/>
    <cellStyle name="Normal 8 5 3 2 2 2" xfId="34186"/>
    <cellStyle name="Normal 8 5 3 2 3" xfId="20660"/>
    <cellStyle name="Normal 8 5 3 2 3 2" xfId="40338"/>
    <cellStyle name="Normal 8 5 3 2 4" xfId="28022"/>
    <cellStyle name="Normal 8 5 3 3" xfId="11442"/>
    <cellStyle name="Normal 8 5 3 3 2" xfId="31120"/>
    <cellStyle name="Normal 8 5 3 4" xfId="17594"/>
    <cellStyle name="Normal 8 5 3 4 2" xfId="37272"/>
    <cellStyle name="Normal 8 5 3 5" xfId="24956"/>
    <cellStyle name="Normal 8 5 4" xfId="6780"/>
    <cellStyle name="Normal 8 5 4 2" xfId="12974"/>
    <cellStyle name="Normal 8 5 4 2 2" xfId="32652"/>
    <cellStyle name="Normal 8 5 4 3" xfId="19126"/>
    <cellStyle name="Normal 8 5 4 3 2" xfId="38804"/>
    <cellStyle name="Normal 8 5 4 4" xfId="26488"/>
    <cellStyle name="Normal 8 5 5" xfId="9908"/>
    <cellStyle name="Normal 8 5 5 2" xfId="29586"/>
    <cellStyle name="Normal 8 5 6" xfId="16060"/>
    <cellStyle name="Normal 8 5 6 2" xfId="35738"/>
    <cellStyle name="Normal 8 5 7" xfId="42038"/>
    <cellStyle name="Normal 8 5 8" xfId="23399"/>
    <cellStyle name="Normal 8 6" xfId="3198"/>
    <cellStyle name="Normal 8 6 2" xfId="4374"/>
    <cellStyle name="Normal 8 6 2 2" xfId="5999"/>
    <cellStyle name="Normal 8 6 2 2 2" xfId="9085"/>
    <cellStyle name="Normal 8 6 2 2 2 2" xfId="15278"/>
    <cellStyle name="Normal 8 6 2 2 2 2 2" xfId="34956"/>
    <cellStyle name="Normal 8 6 2 2 2 3" xfId="21430"/>
    <cellStyle name="Normal 8 6 2 2 2 3 2" xfId="41108"/>
    <cellStyle name="Normal 8 6 2 2 2 4" xfId="28792"/>
    <cellStyle name="Normal 8 6 2 2 3" xfId="12212"/>
    <cellStyle name="Normal 8 6 2 2 3 2" xfId="31890"/>
    <cellStyle name="Normal 8 6 2 2 4" xfId="18364"/>
    <cellStyle name="Normal 8 6 2 2 4 2" xfId="38042"/>
    <cellStyle name="Normal 8 6 2 2 5" xfId="25726"/>
    <cellStyle name="Normal 8 6 2 3" xfId="7550"/>
    <cellStyle name="Normal 8 6 2 3 2" xfId="13744"/>
    <cellStyle name="Normal 8 6 2 3 2 2" xfId="33422"/>
    <cellStyle name="Normal 8 6 2 3 3" xfId="19896"/>
    <cellStyle name="Normal 8 6 2 3 3 2" xfId="39574"/>
    <cellStyle name="Normal 8 6 2 3 4" xfId="27258"/>
    <cellStyle name="Normal 8 6 2 4" xfId="10678"/>
    <cellStyle name="Normal 8 6 2 4 2" xfId="30356"/>
    <cellStyle name="Normal 8 6 2 5" xfId="16830"/>
    <cellStyle name="Normal 8 6 2 5 2" xfId="36508"/>
    <cellStyle name="Normal 8 6 2 6" xfId="24192"/>
    <cellStyle name="Normal 8 6 3" xfId="5216"/>
    <cellStyle name="Normal 8 6 3 2" xfId="8316"/>
    <cellStyle name="Normal 8 6 3 2 2" xfId="14509"/>
    <cellStyle name="Normal 8 6 3 2 2 2" xfId="34187"/>
    <cellStyle name="Normal 8 6 3 2 3" xfId="20661"/>
    <cellStyle name="Normal 8 6 3 2 3 2" xfId="40339"/>
    <cellStyle name="Normal 8 6 3 2 4" xfId="28023"/>
    <cellStyle name="Normal 8 6 3 3" xfId="11443"/>
    <cellStyle name="Normal 8 6 3 3 2" xfId="31121"/>
    <cellStyle name="Normal 8 6 3 4" xfId="17595"/>
    <cellStyle name="Normal 8 6 3 4 2" xfId="37273"/>
    <cellStyle name="Normal 8 6 3 5" xfId="24957"/>
    <cellStyle name="Normal 8 6 4" xfId="6781"/>
    <cellStyle name="Normal 8 6 4 2" xfId="12975"/>
    <cellStyle name="Normal 8 6 4 2 2" xfId="32653"/>
    <cellStyle name="Normal 8 6 4 3" xfId="19127"/>
    <cellStyle name="Normal 8 6 4 3 2" xfId="38805"/>
    <cellStyle name="Normal 8 6 4 4" xfId="26489"/>
    <cellStyle name="Normal 8 6 5" xfId="9909"/>
    <cellStyle name="Normal 8 6 5 2" xfId="29587"/>
    <cellStyle name="Normal 8 6 6" xfId="16061"/>
    <cellStyle name="Normal 8 6 6 2" xfId="35739"/>
    <cellStyle name="Normal 8 6 7" xfId="23400"/>
    <cellStyle name="Normal 8 7" xfId="3199"/>
    <cellStyle name="Normal 8 7 2" xfId="4375"/>
    <cellStyle name="Normal 8 7 2 2" xfId="6000"/>
    <cellStyle name="Normal 8 7 2 2 2" xfId="9086"/>
    <cellStyle name="Normal 8 7 2 2 2 2" xfId="15279"/>
    <cellStyle name="Normal 8 7 2 2 2 2 2" xfId="34957"/>
    <cellStyle name="Normal 8 7 2 2 2 3" xfId="21431"/>
    <cellStyle name="Normal 8 7 2 2 2 3 2" xfId="41109"/>
    <cellStyle name="Normal 8 7 2 2 2 4" xfId="28793"/>
    <cellStyle name="Normal 8 7 2 2 3" xfId="12213"/>
    <cellStyle name="Normal 8 7 2 2 3 2" xfId="31891"/>
    <cellStyle name="Normal 8 7 2 2 4" xfId="18365"/>
    <cellStyle name="Normal 8 7 2 2 4 2" xfId="38043"/>
    <cellStyle name="Normal 8 7 2 2 5" xfId="25727"/>
    <cellStyle name="Normal 8 7 2 3" xfId="7551"/>
    <cellStyle name="Normal 8 7 2 3 2" xfId="13745"/>
    <cellStyle name="Normal 8 7 2 3 2 2" xfId="33423"/>
    <cellStyle name="Normal 8 7 2 3 3" xfId="19897"/>
    <cellStyle name="Normal 8 7 2 3 3 2" xfId="39575"/>
    <cellStyle name="Normal 8 7 2 3 4" xfId="27259"/>
    <cellStyle name="Normal 8 7 2 4" xfId="10679"/>
    <cellStyle name="Normal 8 7 2 4 2" xfId="30357"/>
    <cellStyle name="Normal 8 7 2 5" xfId="16831"/>
    <cellStyle name="Normal 8 7 2 5 2" xfId="36509"/>
    <cellStyle name="Normal 8 7 2 6" xfId="24193"/>
    <cellStyle name="Normal 8 7 3" xfId="5217"/>
    <cellStyle name="Normal 8 7 3 2" xfId="8317"/>
    <cellStyle name="Normal 8 7 3 2 2" xfId="14510"/>
    <cellStyle name="Normal 8 7 3 2 2 2" xfId="34188"/>
    <cellStyle name="Normal 8 7 3 2 3" xfId="20662"/>
    <cellStyle name="Normal 8 7 3 2 3 2" xfId="40340"/>
    <cellStyle name="Normal 8 7 3 2 4" xfId="28024"/>
    <cellStyle name="Normal 8 7 3 3" xfId="11444"/>
    <cellStyle name="Normal 8 7 3 3 2" xfId="31122"/>
    <cellStyle name="Normal 8 7 3 4" xfId="17596"/>
    <cellStyle name="Normal 8 7 3 4 2" xfId="37274"/>
    <cellStyle name="Normal 8 7 3 5" xfId="24958"/>
    <cellStyle name="Normal 8 7 4" xfId="6782"/>
    <cellStyle name="Normal 8 7 4 2" xfId="12976"/>
    <cellStyle name="Normal 8 7 4 2 2" xfId="32654"/>
    <cellStyle name="Normal 8 7 4 3" xfId="19128"/>
    <cellStyle name="Normal 8 7 4 3 2" xfId="38806"/>
    <cellStyle name="Normal 8 7 4 4" xfId="26490"/>
    <cellStyle name="Normal 8 7 5" xfId="9910"/>
    <cellStyle name="Normal 8 7 5 2" xfId="29588"/>
    <cellStyle name="Normal 8 7 6" xfId="16062"/>
    <cellStyle name="Normal 8 7 6 2" xfId="35740"/>
    <cellStyle name="Normal 8 7 7" xfId="23401"/>
    <cellStyle name="Normal 8 8" xfId="3200"/>
    <cellStyle name="Normal 8 8 2" xfId="4376"/>
    <cellStyle name="Normal 8 8 2 2" xfId="6001"/>
    <cellStyle name="Normal 8 8 2 2 2" xfId="9087"/>
    <cellStyle name="Normal 8 8 2 2 2 2" xfId="15280"/>
    <cellStyle name="Normal 8 8 2 2 2 2 2" xfId="34958"/>
    <cellStyle name="Normal 8 8 2 2 2 3" xfId="21432"/>
    <cellStyle name="Normal 8 8 2 2 2 3 2" xfId="41110"/>
    <cellStyle name="Normal 8 8 2 2 2 4" xfId="28794"/>
    <cellStyle name="Normal 8 8 2 2 3" xfId="12214"/>
    <cellStyle name="Normal 8 8 2 2 3 2" xfId="31892"/>
    <cellStyle name="Normal 8 8 2 2 4" xfId="18366"/>
    <cellStyle name="Normal 8 8 2 2 4 2" xfId="38044"/>
    <cellStyle name="Normal 8 8 2 2 5" xfId="25728"/>
    <cellStyle name="Normal 8 8 2 3" xfId="7552"/>
    <cellStyle name="Normal 8 8 2 3 2" xfId="13746"/>
    <cellStyle name="Normal 8 8 2 3 2 2" xfId="33424"/>
    <cellStyle name="Normal 8 8 2 3 3" xfId="19898"/>
    <cellStyle name="Normal 8 8 2 3 3 2" xfId="39576"/>
    <cellStyle name="Normal 8 8 2 3 4" xfId="27260"/>
    <cellStyle name="Normal 8 8 2 4" xfId="10680"/>
    <cellStyle name="Normal 8 8 2 4 2" xfId="30358"/>
    <cellStyle name="Normal 8 8 2 5" xfId="16832"/>
    <cellStyle name="Normal 8 8 2 5 2" xfId="36510"/>
    <cellStyle name="Normal 8 8 2 6" xfId="24194"/>
    <cellStyle name="Normal 8 8 3" xfId="5218"/>
    <cellStyle name="Normal 8 8 3 2" xfId="8318"/>
    <cellStyle name="Normal 8 8 3 2 2" xfId="14511"/>
    <cellStyle name="Normal 8 8 3 2 2 2" xfId="34189"/>
    <cellStyle name="Normal 8 8 3 2 3" xfId="20663"/>
    <cellStyle name="Normal 8 8 3 2 3 2" xfId="40341"/>
    <cellStyle name="Normal 8 8 3 2 4" xfId="28025"/>
    <cellStyle name="Normal 8 8 3 3" xfId="11445"/>
    <cellStyle name="Normal 8 8 3 3 2" xfId="31123"/>
    <cellStyle name="Normal 8 8 3 4" xfId="17597"/>
    <cellStyle name="Normal 8 8 3 4 2" xfId="37275"/>
    <cellStyle name="Normal 8 8 3 5" xfId="24959"/>
    <cellStyle name="Normal 8 8 4" xfId="6783"/>
    <cellStyle name="Normal 8 8 4 2" xfId="12977"/>
    <cellStyle name="Normal 8 8 4 2 2" xfId="32655"/>
    <cellStyle name="Normal 8 8 4 3" xfId="19129"/>
    <cellStyle name="Normal 8 8 4 3 2" xfId="38807"/>
    <cellStyle name="Normal 8 8 4 4" xfId="26491"/>
    <cellStyle name="Normal 8 8 5" xfId="9911"/>
    <cellStyle name="Normal 8 8 5 2" xfId="29589"/>
    <cellStyle name="Normal 8 8 6" xfId="16063"/>
    <cellStyle name="Normal 8 8 6 2" xfId="35741"/>
    <cellStyle name="Normal 8 8 7" xfId="23402"/>
    <cellStyle name="Normal 8 9" xfId="3201"/>
    <cellStyle name="Normal 8 9 2" xfId="4377"/>
    <cellStyle name="Normal 8 9 2 2" xfId="6002"/>
    <cellStyle name="Normal 8 9 2 2 2" xfId="9088"/>
    <cellStyle name="Normal 8 9 2 2 2 2" xfId="15281"/>
    <cellStyle name="Normal 8 9 2 2 2 2 2" xfId="34959"/>
    <cellStyle name="Normal 8 9 2 2 2 3" xfId="21433"/>
    <cellStyle name="Normal 8 9 2 2 2 3 2" xfId="41111"/>
    <cellStyle name="Normal 8 9 2 2 2 4" xfId="28795"/>
    <cellStyle name="Normal 8 9 2 2 3" xfId="12215"/>
    <cellStyle name="Normal 8 9 2 2 3 2" xfId="31893"/>
    <cellStyle name="Normal 8 9 2 2 4" xfId="18367"/>
    <cellStyle name="Normal 8 9 2 2 4 2" xfId="38045"/>
    <cellStyle name="Normal 8 9 2 2 5" xfId="25729"/>
    <cellStyle name="Normal 8 9 2 3" xfId="7553"/>
    <cellStyle name="Normal 8 9 2 3 2" xfId="13747"/>
    <cellStyle name="Normal 8 9 2 3 2 2" xfId="33425"/>
    <cellStyle name="Normal 8 9 2 3 3" xfId="19899"/>
    <cellStyle name="Normal 8 9 2 3 3 2" xfId="39577"/>
    <cellStyle name="Normal 8 9 2 3 4" xfId="27261"/>
    <cellStyle name="Normal 8 9 2 4" xfId="10681"/>
    <cellStyle name="Normal 8 9 2 4 2" xfId="30359"/>
    <cellStyle name="Normal 8 9 2 5" xfId="16833"/>
    <cellStyle name="Normal 8 9 2 5 2" xfId="36511"/>
    <cellStyle name="Normal 8 9 2 6" xfId="24195"/>
    <cellStyle name="Normal 8 9 3" xfId="5219"/>
    <cellStyle name="Normal 8 9 3 2" xfId="8319"/>
    <cellStyle name="Normal 8 9 3 2 2" xfId="14512"/>
    <cellStyle name="Normal 8 9 3 2 2 2" xfId="34190"/>
    <cellStyle name="Normal 8 9 3 2 3" xfId="20664"/>
    <cellStyle name="Normal 8 9 3 2 3 2" xfId="40342"/>
    <cellStyle name="Normal 8 9 3 2 4" xfId="28026"/>
    <cellStyle name="Normal 8 9 3 3" xfId="11446"/>
    <cellStyle name="Normal 8 9 3 3 2" xfId="31124"/>
    <cellStyle name="Normal 8 9 3 4" xfId="17598"/>
    <cellStyle name="Normal 8 9 3 4 2" xfId="37276"/>
    <cellStyle name="Normal 8 9 3 5" xfId="24960"/>
    <cellStyle name="Normal 8 9 4" xfId="6784"/>
    <cellStyle name="Normal 8 9 4 2" xfId="12978"/>
    <cellStyle name="Normal 8 9 4 2 2" xfId="32656"/>
    <cellStyle name="Normal 8 9 4 3" xfId="19130"/>
    <cellStyle name="Normal 8 9 4 3 2" xfId="38808"/>
    <cellStyle name="Normal 8 9 4 4" xfId="26492"/>
    <cellStyle name="Normal 8 9 5" xfId="9912"/>
    <cellStyle name="Normal 8 9 5 2" xfId="29590"/>
    <cellStyle name="Normal 8 9 6" xfId="16064"/>
    <cellStyle name="Normal 8 9 6 2" xfId="35742"/>
    <cellStyle name="Normal 8 9 7" xfId="23403"/>
    <cellStyle name="Normal 9" xfId="49"/>
    <cellStyle name="Normal 9 10" xfId="3203"/>
    <cellStyle name="Normal 9 10 2" xfId="4379"/>
    <cellStyle name="Normal 9 10 2 2" xfId="6004"/>
    <cellStyle name="Normal 9 10 2 2 2" xfId="9090"/>
    <cellStyle name="Normal 9 10 2 2 2 2" xfId="15283"/>
    <cellStyle name="Normal 9 10 2 2 2 2 2" xfId="34961"/>
    <cellStyle name="Normal 9 10 2 2 2 3" xfId="21435"/>
    <cellStyle name="Normal 9 10 2 2 2 3 2" xfId="41113"/>
    <cellStyle name="Normal 9 10 2 2 2 4" xfId="28797"/>
    <cellStyle name="Normal 9 10 2 2 3" xfId="12217"/>
    <cellStyle name="Normal 9 10 2 2 3 2" xfId="31895"/>
    <cellStyle name="Normal 9 10 2 2 4" xfId="18369"/>
    <cellStyle name="Normal 9 10 2 2 4 2" xfId="38047"/>
    <cellStyle name="Normal 9 10 2 2 5" xfId="25731"/>
    <cellStyle name="Normal 9 10 2 3" xfId="7555"/>
    <cellStyle name="Normal 9 10 2 3 2" xfId="13749"/>
    <cellStyle name="Normal 9 10 2 3 2 2" xfId="33427"/>
    <cellStyle name="Normal 9 10 2 3 3" xfId="19901"/>
    <cellStyle name="Normal 9 10 2 3 3 2" xfId="39579"/>
    <cellStyle name="Normal 9 10 2 3 4" xfId="27263"/>
    <cellStyle name="Normal 9 10 2 4" xfId="10683"/>
    <cellStyle name="Normal 9 10 2 4 2" xfId="30361"/>
    <cellStyle name="Normal 9 10 2 5" xfId="16835"/>
    <cellStyle name="Normal 9 10 2 5 2" xfId="36513"/>
    <cellStyle name="Normal 9 10 2 6" xfId="24197"/>
    <cellStyle name="Normal 9 10 3" xfId="5221"/>
    <cellStyle name="Normal 9 10 3 2" xfId="8321"/>
    <cellStyle name="Normal 9 10 3 2 2" xfId="14514"/>
    <cellStyle name="Normal 9 10 3 2 2 2" xfId="34192"/>
    <cellStyle name="Normal 9 10 3 2 3" xfId="20666"/>
    <cellStyle name="Normal 9 10 3 2 3 2" xfId="40344"/>
    <cellStyle name="Normal 9 10 3 2 4" xfId="28028"/>
    <cellStyle name="Normal 9 10 3 3" xfId="11448"/>
    <cellStyle name="Normal 9 10 3 3 2" xfId="31126"/>
    <cellStyle name="Normal 9 10 3 4" xfId="17600"/>
    <cellStyle name="Normal 9 10 3 4 2" xfId="37278"/>
    <cellStyle name="Normal 9 10 3 5" xfId="24962"/>
    <cellStyle name="Normal 9 10 4" xfId="6786"/>
    <cellStyle name="Normal 9 10 4 2" xfId="12980"/>
    <cellStyle name="Normal 9 10 4 2 2" xfId="32658"/>
    <cellStyle name="Normal 9 10 4 3" xfId="19132"/>
    <cellStyle name="Normal 9 10 4 3 2" xfId="38810"/>
    <cellStyle name="Normal 9 10 4 4" xfId="26494"/>
    <cellStyle name="Normal 9 10 5" xfId="9914"/>
    <cellStyle name="Normal 9 10 5 2" xfId="29592"/>
    <cellStyle name="Normal 9 10 6" xfId="16066"/>
    <cellStyle name="Normal 9 10 6 2" xfId="35744"/>
    <cellStyle name="Normal 9 10 7" xfId="23405"/>
    <cellStyle name="Normal 9 11" xfId="3204"/>
    <cellStyle name="Normal 9 11 2" xfId="4380"/>
    <cellStyle name="Normal 9 11 2 2" xfId="6005"/>
    <cellStyle name="Normal 9 11 2 2 2" xfId="9091"/>
    <cellStyle name="Normal 9 11 2 2 2 2" xfId="15284"/>
    <cellStyle name="Normal 9 11 2 2 2 2 2" xfId="34962"/>
    <cellStyle name="Normal 9 11 2 2 2 3" xfId="21436"/>
    <cellStyle name="Normal 9 11 2 2 2 3 2" xfId="41114"/>
    <cellStyle name="Normal 9 11 2 2 2 4" xfId="28798"/>
    <cellStyle name="Normal 9 11 2 2 3" xfId="12218"/>
    <cellStyle name="Normal 9 11 2 2 3 2" xfId="31896"/>
    <cellStyle name="Normal 9 11 2 2 4" xfId="18370"/>
    <cellStyle name="Normal 9 11 2 2 4 2" xfId="38048"/>
    <cellStyle name="Normal 9 11 2 2 5" xfId="25732"/>
    <cellStyle name="Normal 9 11 2 3" xfId="7556"/>
    <cellStyle name="Normal 9 11 2 3 2" xfId="13750"/>
    <cellStyle name="Normal 9 11 2 3 2 2" xfId="33428"/>
    <cellStyle name="Normal 9 11 2 3 3" xfId="19902"/>
    <cellStyle name="Normal 9 11 2 3 3 2" xfId="39580"/>
    <cellStyle name="Normal 9 11 2 3 4" xfId="27264"/>
    <cellStyle name="Normal 9 11 2 4" xfId="10684"/>
    <cellStyle name="Normal 9 11 2 4 2" xfId="30362"/>
    <cellStyle name="Normal 9 11 2 5" xfId="16836"/>
    <cellStyle name="Normal 9 11 2 5 2" xfId="36514"/>
    <cellStyle name="Normal 9 11 2 6" xfId="24198"/>
    <cellStyle name="Normal 9 11 3" xfId="5222"/>
    <cellStyle name="Normal 9 11 3 2" xfId="8322"/>
    <cellStyle name="Normal 9 11 3 2 2" xfId="14515"/>
    <cellStyle name="Normal 9 11 3 2 2 2" xfId="34193"/>
    <cellStyle name="Normal 9 11 3 2 3" xfId="20667"/>
    <cellStyle name="Normal 9 11 3 2 3 2" xfId="40345"/>
    <cellStyle name="Normal 9 11 3 2 4" xfId="28029"/>
    <cellStyle name="Normal 9 11 3 3" xfId="11449"/>
    <cellStyle name="Normal 9 11 3 3 2" xfId="31127"/>
    <cellStyle name="Normal 9 11 3 4" xfId="17601"/>
    <cellStyle name="Normal 9 11 3 4 2" xfId="37279"/>
    <cellStyle name="Normal 9 11 3 5" xfId="24963"/>
    <cellStyle name="Normal 9 11 4" xfId="6787"/>
    <cellStyle name="Normal 9 11 4 2" xfId="12981"/>
    <cellStyle name="Normal 9 11 4 2 2" xfId="32659"/>
    <cellStyle name="Normal 9 11 4 3" xfId="19133"/>
    <cellStyle name="Normal 9 11 4 3 2" xfId="38811"/>
    <cellStyle name="Normal 9 11 4 4" xfId="26495"/>
    <cellStyle name="Normal 9 11 5" xfId="9915"/>
    <cellStyle name="Normal 9 11 5 2" xfId="29593"/>
    <cellStyle name="Normal 9 11 6" xfId="16067"/>
    <cellStyle name="Normal 9 11 6 2" xfId="35745"/>
    <cellStyle name="Normal 9 11 7" xfId="23406"/>
    <cellStyle name="Normal 9 12" xfId="3205"/>
    <cellStyle name="Normal 9 12 2" xfId="4381"/>
    <cellStyle name="Normal 9 12 2 2" xfId="6006"/>
    <cellStyle name="Normal 9 12 2 2 2" xfId="9092"/>
    <cellStyle name="Normal 9 12 2 2 2 2" xfId="15285"/>
    <cellStyle name="Normal 9 12 2 2 2 2 2" xfId="34963"/>
    <cellStyle name="Normal 9 12 2 2 2 3" xfId="21437"/>
    <cellStyle name="Normal 9 12 2 2 2 3 2" xfId="41115"/>
    <cellStyle name="Normal 9 12 2 2 2 4" xfId="28799"/>
    <cellStyle name="Normal 9 12 2 2 3" xfId="12219"/>
    <cellStyle name="Normal 9 12 2 2 3 2" xfId="31897"/>
    <cellStyle name="Normal 9 12 2 2 4" xfId="18371"/>
    <cellStyle name="Normal 9 12 2 2 4 2" xfId="38049"/>
    <cellStyle name="Normal 9 12 2 2 5" xfId="25733"/>
    <cellStyle name="Normal 9 12 2 3" xfId="7557"/>
    <cellStyle name="Normal 9 12 2 3 2" xfId="13751"/>
    <cellStyle name="Normal 9 12 2 3 2 2" xfId="33429"/>
    <cellStyle name="Normal 9 12 2 3 3" xfId="19903"/>
    <cellStyle name="Normal 9 12 2 3 3 2" xfId="39581"/>
    <cellStyle name="Normal 9 12 2 3 4" xfId="27265"/>
    <cellStyle name="Normal 9 12 2 4" xfId="10685"/>
    <cellStyle name="Normal 9 12 2 4 2" xfId="30363"/>
    <cellStyle name="Normal 9 12 2 5" xfId="16837"/>
    <cellStyle name="Normal 9 12 2 5 2" xfId="36515"/>
    <cellStyle name="Normal 9 12 2 6" xfId="24199"/>
    <cellStyle name="Normal 9 12 3" xfId="5223"/>
    <cellStyle name="Normal 9 12 3 2" xfId="8323"/>
    <cellStyle name="Normal 9 12 3 2 2" xfId="14516"/>
    <cellStyle name="Normal 9 12 3 2 2 2" xfId="34194"/>
    <cellStyle name="Normal 9 12 3 2 3" xfId="20668"/>
    <cellStyle name="Normal 9 12 3 2 3 2" xfId="40346"/>
    <cellStyle name="Normal 9 12 3 2 4" xfId="28030"/>
    <cellStyle name="Normal 9 12 3 3" xfId="11450"/>
    <cellStyle name="Normal 9 12 3 3 2" xfId="31128"/>
    <cellStyle name="Normal 9 12 3 4" xfId="17602"/>
    <cellStyle name="Normal 9 12 3 4 2" xfId="37280"/>
    <cellStyle name="Normal 9 12 3 5" xfId="24964"/>
    <cellStyle name="Normal 9 12 4" xfId="6788"/>
    <cellStyle name="Normal 9 12 4 2" xfId="12982"/>
    <cellStyle name="Normal 9 12 4 2 2" xfId="32660"/>
    <cellStyle name="Normal 9 12 4 3" xfId="19134"/>
    <cellStyle name="Normal 9 12 4 3 2" xfId="38812"/>
    <cellStyle name="Normal 9 12 4 4" xfId="26496"/>
    <cellStyle name="Normal 9 12 5" xfId="9916"/>
    <cellStyle name="Normal 9 12 5 2" xfId="29594"/>
    <cellStyle name="Normal 9 12 6" xfId="16068"/>
    <cellStyle name="Normal 9 12 6 2" xfId="35746"/>
    <cellStyle name="Normal 9 12 7" xfId="23407"/>
    <cellStyle name="Normal 9 13" xfId="3206"/>
    <cellStyle name="Normal 9 13 2" xfId="4382"/>
    <cellStyle name="Normal 9 13 2 2" xfId="6007"/>
    <cellStyle name="Normal 9 13 2 2 2" xfId="9093"/>
    <cellStyle name="Normal 9 13 2 2 2 2" xfId="15286"/>
    <cellStyle name="Normal 9 13 2 2 2 2 2" xfId="34964"/>
    <cellStyle name="Normal 9 13 2 2 2 3" xfId="21438"/>
    <cellStyle name="Normal 9 13 2 2 2 3 2" xfId="41116"/>
    <cellStyle name="Normal 9 13 2 2 2 4" xfId="28800"/>
    <cellStyle name="Normal 9 13 2 2 3" xfId="12220"/>
    <cellStyle name="Normal 9 13 2 2 3 2" xfId="31898"/>
    <cellStyle name="Normal 9 13 2 2 4" xfId="18372"/>
    <cellStyle name="Normal 9 13 2 2 4 2" xfId="38050"/>
    <cellStyle name="Normal 9 13 2 2 5" xfId="25734"/>
    <cellStyle name="Normal 9 13 2 3" xfId="7558"/>
    <cellStyle name="Normal 9 13 2 3 2" xfId="13752"/>
    <cellStyle name="Normal 9 13 2 3 2 2" xfId="33430"/>
    <cellStyle name="Normal 9 13 2 3 3" xfId="19904"/>
    <cellStyle name="Normal 9 13 2 3 3 2" xfId="39582"/>
    <cellStyle name="Normal 9 13 2 3 4" xfId="27266"/>
    <cellStyle name="Normal 9 13 2 4" xfId="10686"/>
    <cellStyle name="Normal 9 13 2 4 2" xfId="30364"/>
    <cellStyle name="Normal 9 13 2 5" xfId="16838"/>
    <cellStyle name="Normal 9 13 2 5 2" xfId="36516"/>
    <cellStyle name="Normal 9 13 2 6" xfId="24200"/>
    <cellStyle name="Normal 9 13 3" xfId="5224"/>
    <cellStyle name="Normal 9 13 3 2" xfId="8324"/>
    <cellStyle name="Normal 9 13 3 2 2" xfId="14517"/>
    <cellStyle name="Normal 9 13 3 2 2 2" xfId="34195"/>
    <cellStyle name="Normal 9 13 3 2 3" xfId="20669"/>
    <cellStyle name="Normal 9 13 3 2 3 2" xfId="40347"/>
    <cellStyle name="Normal 9 13 3 2 4" xfId="28031"/>
    <cellStyle name="Normal 9 13 3 3" xfId="11451"/>
    <cellStyle name="Normal 9 13 3 3 2" xfId="31129"/>
    <cellStyle name="Normal 9 13 3 4" xfId="17603"/>
    <cellStyle name="Normal 9 13 3 4 2" xfId="37281"/>
    <cellStyle name="Normal 9 13 3 5" xfId="24965"/>
    <cellStyle name="Normal 9 13 4" xfId="6789"/>
    <cellStyle name="Normal 9 13 4 2" xfId="12983"/>
    <cellStyle name="Normal 9 13 4 2 2" xfId="32661"/>
    <cellStyle name="Normal 9 13 4 3" xfId="19135"/>
    <cellStyle name="Normal 9 13 4 3 2" xfId="38813"/>
    <cellStyle name="Normal 9 13 4 4" xfId="26497"/>
    <cellStyle name="Normal 9 13 5" xfId="9917"/>
    <cellStyle name="Normal 9 13 5 2" xfId="29595"/>
    <cellStyle name="Normal 9 13 6" xfId="16069"/>
    <cellStyle name="Normal 9 13 6 2" xfId="35747"/>
    <cellStyle name="Normal 9 13 7" xfId="23408"/>
    <cellStyle name="Normal 9 14" xfId="3207"/>
    <cellStyle name="Normal 9 14 2" xfId="4383"/>
    <cellStyle name="Normal 9 14 2 2" xfId="6008"/>
    <cellStyle name="Normal 9 14 2 2 2" xfId="9094"/>
    <cellStyle name="Normal 9 14 2 2 2 2" xfId="15287"/>
    <cellStyle name="Normal 9 14 2 2 2 2 2" xfId="34965"/>
    <cellStyle name="Normal 9 14 2 2 2 3" xfId="21439"/>
    <cellStyle name="Normal 9 14 2 2 2 3 2" xfId="41117"/>
    <cellStyle name="Normal 9 14 2 2 2 4" xfId="28801"/>
    <cellStyle name="Normal 9 14 2 2 3" xfId="12221"/>
    <cellStyle name="Normal 9 14 2 2 3 2" xfId="31899"/>
    <cellStyle name="Normal 9 14 2 2 4" xfId="18373"/>
    <cellStyle name="Normal 9 14 2 2 4 2" xfId="38051"/>
    <cellStyle name="Normal 9 14 2 2 5" xfId="25735"/>
    <cellStyle name="Normal 9 14 2 3" xfId="7559"/>
    <cellStyle name="Normal 9 14 2 3 2" xfId="13753"/>
    <cellStyle name="Normal 9 14 2 3 2 2" xfId="33431"/>
    <cellStyle name="Normal 9 14 2 3 3" xfId="19905"/>
    <cellStyle name="Normal 9 14 2 3 3 2" xfId="39583"/>
    <cellStyle name="Normal 9 14 2 3 4" xfId="27267"/>
    <cellStyle name="Normal 9 14 2 4" xfId="10687"/>
    <cellStyle name="Normal 9 14 2 4 2" xfId="30365"/>
    <cellStyle name="Normal 9 14 2 5" xfId="16839"/>
    <cellStyle name="Normal 9 14 2 5 2" xfId="36517"/>
    <cellStyle name="Normal 9 14 2 6" xfId="24201"/>
    <cellStyle name="Normal 9 14 3" xfId="5225"/>
    <cellStyle name="Normal 9 14 3 2" xfId="8325"/>
    <cellStyle name="Normal 9 14 3 2 2" xfId="14518"/>
    <cellStyle name="Normal 9 14 3 2 2 2" xfId="34196"/>
    <cellStyle name="Normal 9 14 3 2 3" xfId="20670"/>
    <cellStyle name="Normal 9 14 3 2 3 2" xfId="40348"/>
    <cellStyle name="Normal 9 14 3 2 4" xfId="28032"/>
    <cellStyle name="Normal 9 14 3 3" xfId="11452"/>
    <cellStyle name="Normal 9 14 3 3 2" xfId="31130"/>
    <cellStyle name="Normal 9 14 3 4" xfId="17604"/>
    <cellStyle name="Normal 9 14 3 4 2" xfId="37282"/>
    <cellStyle name="Normal 9 14 3 5" xfId="24966"/>
    <cellStyle name="Normal 9 14 4" xfId="6790"/>
    <cellStyle name="Normal 9 14 4 2" xfId="12984"/>
    <cellStyle name="Normal 9 14 4 2 2" xfId="32662"/>
    <cellStyle name="Normal 9 14 4 3" xfId="19136"/>
    <cellStyle name="Normal 9 14 4 3 2" xfId="38814"/>
    <cellStyle name="Normal 9 14 4 4" xfId="26498"/>
    <cellStyle name="Normal 9 14 5" xfId="9918"/>
    <cellStyle name="Normal 9 14 5 2" xfId="29596"/>
    <cellStyle name="Normal 9 14 6" xfId="16070"/>
    <cellStyle name="Normal 9 14 6 2" xfId="35748"/>
    <cellStyle name="Normal 9 14 7" xfId="23409"/>
    <cellStyle name="Normal 9 15" xfId="3208"/>
    <cellStyle name="Normal 9 15 2" xfId="4384"/>
    <cellStyle name="Normal 9 15 2 2" xfId="6009"/>
    <cellStyle name="Normal 9 15 2 2 2" xfId="9095"/>
    <cellStyle name="Normal 9 15 2 2 2 2" xfId="15288"/>
    <cellStyle name="Normal 9 15 2 2 2 2 2" xfId="34966"/>
    <cellStyle name="Normal 9 15 2 2 2 3" xfId="21440"/>
    <cellStyle name="Normal 9 15 2 2 2 3 2" xfId="41118"/>
    <cellStyle name="Normal 9 15 2 2 2 4" xfId="28802"/>
    <cellStyle name="Normal 9 15 2 2 3" xfId="12222"/>
    <cellStyle name="Normal 9 15 2 2 3 2" xfId="31900"/>
    <cellStyle name="Normal 9 15 2 2 4" xfId="18374"/>
    <cellStyle name="Normal 9 15 2 2 4 2" xfId="38052"/>
    <cellStyle name="Normal 9 15 2 2 5" xfId="25736"/>
    <cellStyle name="Normal 9 15 2 3" xfId="7560"/>
    <cellStyle name="Normal 9 15 2 3 2" xfId="13754"/>
    <cellStyle name="Normal 9 15 2 3 2 2" xfId="33432"/>
    <cellStyle name="Normal 9 15 2 3 3" xfId="19906"/>
    <cellStyle name="Normal 9 15 2 3 3 2" xfId="39584"/>
    <cellStyle name="Normal 9 15 2 3 4" xfId="27268"/>
    <cellStyle name="Normal 9 15 2 4" xfId="10688"/>
    <cellStyle name="Normal 9 15 2 4 2" xfId="30366"/>
    <cellStyle name="Normal 9 15 2 5" xfId="16840"/>
    <cellStyle name="Normal 9 15 2 5 2" xfId="36518"/>
    <cellStyle name="Normal 9 15 2 6" xfId="24202"/>
    <cellStyle name="Normal 9 15 3" xfId="5226"/>
    <cellStyle name="Normal 9 15 3 2" xfId="8326"/>
    <cellStyle name="Normal 9 15 3 2 2" xfId="14519"/>
    <cellStyle name="Normal 9 15 3 2 2 2" xfId="34197"/>
    <cellStyle name="Normal 9 15 3 2 3" xfId="20671"/>
    <cellStyle name="Normal 9 15 3 2 3 2" xfId="40349"/>
    <cellStyle name="Normal 9 15 3 2 4" xfId="28033"/>
    <cellStyle name="Normal 9 15 3 3" xfId="11453"/>
    <cellStyle name="Normal 9 15 3 3 2" xfId="31131"/>
    <cellStyle name="Normal 9 15 3 4" xfId="17605"/>
    <cellStyle name="Normal 9 15 3 4 2" xfId="37283"/>
    <cellStyle name="Normal 9 15 3 5" xfId="24967"/>
    <cellStyle name="Normal 9 15 4" xfId="6791"/>
    <cellStyle name="Normal 9 15 4 2" xfId="12985"/>
    <cellStyle name="Normal 9 15 4 2 2" xfId="32663"/>
    <cellStyle name="Normal 9 15 4 3" xfId="19137"/>
    <cellStyle name="Normal 9 15 4 3 2" xfId="38815"/>
    <cellStyle name="Normal 9 15 4 4" xfId="26499"/>
    <cellStyle name="Normal 9 15 5" xfId="9919"/>
    <cellStyle name="Normal 9 15 5 2" xfId="29597"/>
    <cellStyle name="Normal 9 15 6" xfId="16071"/>
    <cellStyle name="Normal 9 15 6 2" xfId="35749"/>
    <cellStyle name="Normal 9 15 7" xfId="23410"/>
    <cellStyle name="Normal 9 16" xfId="3209"/>
    <cellStyle name="Normal 9 16 2" xfId="4385"/>
    <cellStyle name="Normal 9 16 2 2" xfId="6010"/>
    <cellStyle name="Normal 9 16 2 2 2" xfId="9096"/>
    <cellStyle name="Normal 9 16 2 2 2 2" xfId="15289"/>
    <cellStyle name="Normal 9 16 2 2 2 2 2" xfId="34967"/>
    <cellStyle name="Normal 9 16 2 2 2 3" xfId="21441"/>
    <cellStyle name="Normal 9 16 2 2 2 3 2" xfId="41119"/>
    <cellStyle name="Normal 9 16 2 2 2 4" xfId="28803"/>
    <cellStyle name="Normal 9 16 2 2 3" xfId="12223"/>
    <cellStyle name="Normal 9 16 2 2 3 2" xfId="31901"/>
    <cellStyle name="Normal 9 16 2 2 4" xfId="18375"/>
    <cellStyle name="Normal 9 16 2 2 4 2" xfId="38053"/>
    <cellStyle name="Normal 9 16 2 2 5" xfId="25737"/>
    <cellStyle name="Normal 9 16 2 3" xfId="7561"/>
    <cellStyle name="Normal 9 16 2 3 2" xfId="13755"/>
    <cellStyle name="Normal 9 16 2 3 2 2" xfId="33433"/>
    <cellStyle name="Normal 9 16 2 3 3" xfId="19907"/>
    <cellStyle name="Normal 9 16 2 3 3 2" xfId="39585"/>
    <cellStyle name="Normal 9 16 2 3 4" xfId="27269"/>
    <cellStyle name="Normal 9 16 2 4" xfId="10689"/>
    <cellStyle name="Normal 9 16 2 4 2" xfId="30367"/>
    <cellStyle name="Normal 9 16 2 5" xfId="16841"/>
    <cellStyle name="Normal 9 16 2 5 2" xfId="36519"/>
    <cellStyle name="Normal 9 16 2 6" xfId="24203"/>
    <cellStyle name="Normal 9 16 3" xfId="5227"/>
    <cellStyle name="Normal 9 16 3 2" xfId="8327"/>
    <cellStyle name="Normal 9 16 3 2 2" xfId="14520"/>
    <cellStyle name="Normal 9 16 3 2 2 2" xfId="34198"/>
    <cellStyle name="Normal 9 16 3 2 3" xfId="20672"/>
    <cellStyle name="Normal 9 16 3 2 3 2" xfId="40350"/>
    <cellStyle name="Normal 9 16 3 2 4" xfId="28034"/>
    <cellStyle name="Normal 9 16 3 3" xfId="11454"/>
    <cellStyle name="Normal 9 16 3 3 2" xfId="31132"/>
    <cellStyle name="Normal 9 16 3 4" xfId="17606"/>
    <cellStyle name="Normal 9 16 3 4 2" xfId="37284"/>
    <cellStyle name="Normal 9 16 3 5" xfId="24968"/>
    <cellStyle name="Normal 9 16 4" xfId="6792"/>
    <cellStyle name="Normal 9 16 4 2" xfId="12986"/>
    <cellStyle name="Normal 9 16 4 2 2" xfId="32664"/>
    <cellStyle name="Normal 9 16 4 3" xfId="19138"/>
    <cellStyle name="Normal 9 16 4 3 2" xfId="38816"/>
    <cellStyle name="Normal 9 16 4 4" xfId="26500"/>
    <cellStyle name="Normal 9 16 5" xfId="9920"/>
    <cellStyle name="Normal 9 16 5 2" xfId="29598"/>
    <cellStyle name="Normal 9 16 6" xfId="16072"/>
    <cellStyle name="Normal 9 16 6 2" xfId="35750"/>
    <cellStyle name="Normal 9 16 7" xfId="23411"/>
    <cellStyle name="Normal 9 17" xfId="3210"/>
    <cellStyle name="Normal 9 17 2" xfId="4386"/>
    <cellStyle name="Normal 9 17 2 2" xfId="6011"/>
    <cellStyle name="Normal 9 17 2 2 2" xfId="9097"/>
    <cellStyle name="Normal 9 17 2 2 2 2" xfId="15290"/>
    <cellStyle name="Normal 9 17 2 2 2 2 2" xfId="34968"/>
    <cellStyle name="Normal 9 17 2 2 2 3" xfId="21442"/>
    <cellStyle name="Normal 9 17 2 2 2 3 2" xfId="41120"/>
    <cellStyle name="Normal 9 17 2 2 2 4" xfId="28804"/>
    <cellStyle name="Normal 9 17 2 2 3" xfId="12224"/>
    <cellStyle name="Normal 9 17 2 2 3 2" xfId="31902"/>
    <cellStyle name="Normal 9 17 2 2 4" xfId="18376"/>
    <cellStyle name="Normal 9 17 2 2 4 2" xfId="38054"/>
    <cellStyle name="Normal 9 17 2 2 5" xfId="25738"/>
    <cellStyle name="Normal 9 17 2 3" xfId="7562"/>
    <cellStyle name="Normal 9 17 2 3 2" xfId="13756"/>
    <cellStyle name="Normal 9 17 2 3 2 2" xfId="33434"/>
    <cellStyle name="Normal 9 17 2 3 3" xfId="19908"/>
    <cellStyle name="Normal 9 17 2 3 3 2" xfId="39586"/>
    <cellStyle name="Normal 9 17 2 3 4" xfId="27270"/>
    <cellStyle name="Normal 9 17 2 4" xfId="10690"/>
    <cellStyle name="Normal 9 17 2 4 2" xfId="30368"/>
    <cellStyle name="Normal 9 17 2 5" xfId="16842"/>
    <cellStyle name="Normal 9 17 2 5 2" xfId="36520"/>
    <cellStyle name="Normal 9 17 2 6" xfId="24204"/>
    <cellStyle name="Normal 9 17 3" xfId="5228"/>
    <cellStyle name="Normal 9 17 3 2" xfId="8328"/>
    <cellStyle name="Normal 9 17 3 2 2" xfId="14521"/>
    <cellStyle name="Normal 9 17 3 2 2 2" xfId="34199"/>
    <cellStyle name="Normal 9 17 3 2 3" xfId="20673"/>
    <cellStyle name="Normal 9 17 3 2 3 2" xfId="40351"/>
    <cellStyle name="Normal 9 17 3 2 4" xfId="28035"/>
    <cellStyle name="Normal 9 17 3 3" xfId="11455"/>
    <cellStyle name="Normal 9 17 3 3 2" xfId="31133"/>
    <cellStyle name="Normal 9 17 3 4" xfId="17607"/>
    <cellStyle name="Normal 9 17 3 4 2" xfId="37285"/>
    <cellStyle name="Normal 9 17 3 5" xfId="24969"/>
    <cellStyle name="Normal 9 17 4" xfId="6793"/>
    <cellStyle name="Normal 9 17 4 2" xfId="12987"/>
    <cellStyle name="Normal 9 17 4 2 2" xfId="32665"/>
    <cellStyle name="Normal 9 17 4 3" xfId="19139"/>
    <cellStyle name="Normal 9 17 4 3 2" xfId="38817"/>
    <cellStyle name="Normal 9 17 4 4" xfId="26501"/>
    <cellStyle name="Normal 9 17 5" xfId="9921"/>
    <cellStyle name="Normal 9 17 5 2" xfId="29599"/>
    <cellStyle name="Normal 9 17 6" xfId="16073"/>
    <cellStyle name="Normal 9 17 6 2" xfId="35751"/>
    <cellStyle name="Normal 9 17 7" xfId="23412"/>
    <cellStyle name="Normal 9 18" xfId="3211"/>
    <cellStyle name="Normal 9 18 2" xfId="4387"/>
    <cellStyle name="Normal 9 18 2 2" xfId="6012"/>
    <cellStyle name="Normal 9 18 2 2 2" xfId="9098"/>
    <cellStyle name="Normal 9 18 2 2 2 2" xfId="15291"/>
    <cellStyle name="Normal 9 18 2 2 2 2 2" xfId="34969"/>
    <cellStyle name="Normal 9 18 2 2 2 3" xfId="21443"/>
    <cellStyle name="Normal 9 18 2 2 2 3 2" xfId="41121"/>
    <cellStyle name="Normal 9 18 2 2 2 4" xfId="28805"/>
    <cellStyle name="Normal 9 18 2 2 3" xfId="12225"/>
    <cellStyle name="Normal 9 18 2 2 3 2" xfId="31903"/>
    <cellStyle name="Normal 9 18 2 2 4" xfId="18377"/>
    <cellStyle name="Normal 9 18 2 2 4 2" xfId="38055"/>
    <cellStyle name="Normal 9 18 2 2 5" xfId="25739"/>
    <cellStyle name="Normal 9 18 2 3" xfId="7563"/>
    <cellStyle name="Normal 9 18 2 3 2" xfId="13757"/>
    <cellStyle name="Normal 9 18 2 3 2 2" xfId="33435"/>
    <cellStyle name="Normal 9 18 2 3 3" xfId="19909"/>
    <cellStyle name="Normal 9 18 2 3 3 2" xfId="39587"/>
    <cellStyle name="Normal 9 18 2 3 4" xfId="27271"/>
    <cellStyle name="Normal 9 18 2 4" xfId="10691"/>
    <cellStyle name="Normal 9 18 2 4 2" xfId="30369"/>
    <cellStyle name="Normal 9 18 2 5" xfId="16843"/>
    <cellStyle name="Normal 9 18 2 5 2" xfId="36521"/>
    <cellStyle name="Normal 9 18 2 6" xfId="24205"/>
    <cellStyle name="Normal 9 18 3" xfId="5229"/>
    <cellStyle name="Normal 9 18 3 2" xfId="8329"/>
    <cellStyle name="Normal 9 18 3 2 2" xfId="14522"/>
    <cellStyle name="Normal 9 18 3 2 2 2" xfId="34200"/>
    <cellStyle name="Normal 9 18 3 2 3" xfId="20674"/>
    <cellStyle name="Normal 9 18 3 2 3 2" xfId="40352"/>
    <cellStyle name="Normal 9 18 3 2 4" xfId="28036"/>
    <cellStyle name="Normal 9 18 3 3" xfId="11456"/>
    <cellStyle name="Normal 9 18 3 3 2" xfId="31134"/>
    <cellStyle name="Normal 9 18 3 4" xfId="17608"/>
    <cellStyle name="Normal 9 18 3 4 2" xfId="37286"/>
    <cellStyle name="Normal 9 18 3 5" xfId="24970"/>
    <cellStyle name="Normal 9 18 4" xfId="6794"/>
    <cellStyle name="Normal 9 18 4 2" xfId="12988"/>
    <cellStyle name="Normal 9 18 4 2 2" xfId="32666"/>
    <cellStyle name="Normal 9 18 4 3" xfId="19140"/>
    <cellStyle name="Normal 9 18 4 3 2" xfId="38818"/>
    <cellStyle name="Normal 9 18 4 4" xfId="26502"/>
    <cellStyle name="Normal 9 18 5" xfId="9922"/>
    <cellStyle name="Normal 9 18 5 2" xfId="29600"/>
    <cellStyle name="Normal 9 18 6" xfId="16074"/>
    <cellStyle name="Normal 9 18 6 2" xfId="35752"/>
    <cellStyle name="Normal 9 18 7" xfId="23413"/>
    <cellStyle name="Normal 9 19" xfId="3212"/>
    <cellStyle name="Normal 9 19 2" xfId="4388"/>
    <cellStyle name="Normal 9 19 2 2" xfId="6013"/>
    <cellStyle name="Normal 9 19 2 2 2" xfId="9099"/>
    <cellStyle name="Normal 9 19 2 2 2 2" xfId="15292"/>
    <cellStyle name="Normal 9 19 2 2 2 2 2" xfId="34970"/>
    <cellStyle name="Normal 9 19 2 2 2 3" xfId="21444"/>
    <cellStyle name="Normal 9 19 2 2 2 3 2" xfId="41122"/>
    <cellStyle name="Normal 9 19 2 2 2 4" xfId="28806"/>
    <cellStyle name="Normal 9 19 2 2 3" xfId="12226"/>
    <cellStyle name="Normal 9 19 2 2 3 2" xfId="31904"/>
    <cellStyle name="Normal 9 19 2 2 4" xfId="18378"/>
    <cellStyle name="Normal 9 19 2 2 4 2" xfId="38056"/>
    <cellStyle name="Normal 9 19 2 2 5" xfId="25740"/>
    <cellStyle name="Normal 9 19 2 3" xfId="7564"/>
    <cellStyle name="Normal 9 19 2 3 2" xfId="13758"/>
    <cellStyle name="Normal 9 19 2 3 2 2" xfId="33436"/>
    <cellStyle name="Normal 9 19 2 3 3" xfId="19910"/>
    <cellStyle name="Normal 9 19 2 3 3 2" xfId="39588"/>
    <cellStyle name="Normal 9 19 2 3 4" xfId="27272"/>
    <cellStyle name="Normal 9 19 2 4" xfId="10692"/>
    <cellStyle name="Normal 9 19 2 4 2" xfId="30370"/>
    <cellStyle name="Normal 9 19 2 5" xfId="16844"/>
    <cellStyle name="Normal 9 19 2 5 2" xfId="36522"/>
    <cellStyle name="Normal 9 19 2 6" xfId="24206"/>
    <cellStyle name="Normal 9 19 3" xfId="5230"/>
    <cellStyle name="Normal 9 19 3 2" xfId="8330"/>
    <cellStyle name="Normal 9 19 3 2 2" xfId="14523"/>
    <cellStyle name="Normal 9 19 3 2 2 2" xfId="34201"/>
    <cellStyle name="Normal 9 19 3 2 3" xfId="20675"/>
    <cellStyle name="Normal 9 19 3 2 3 2" xfId="40353"/>
    <cellStyle name="Normal 9 19 3 2 4" xfId="28037"/>
    <cellStyle name="Normal 9 19 3 3" xfId="11457"/>
    <cellStyle name="Normal 9 19 3 3 2" xfId="31135"/>
    <cellStyle name="Normal 9 19 3 4" xfId="17609"/>
    <cellStyle name="Normal 9 19 3 4 2" xfId="37287"/>
    <cellStyle name="Normal 9 19 3 5" xfId="24971"/>
    <cellStyle name="Normal 9 19 4" xfId="6795"/>
    <cellStyle name="Normal 9 19 4 2" xfId="12989"/>
    <cellStyle name="Normal 9 19 4 2 2" xfId="32667"/>
    <cellStyle name="Normal 9 19 4 3" xfId="19141"/>
    <cellStyle name="Normal 9 19 4 3 2" xfId="38819"/>
    <cellStyle name="Normal 9 19 4 4" xfId="26503"/>
    <cellStyle name="Normal 9 19 5" xfId="9923"/>
    <cellStyle name="Normal 9 19 5 2" xfId="29601"/>
    <cellStyle name="Normal 9 19 6" xfId="16075"/>
    <cellStyle name="Normal 9 19 6 2" xfId="35753"/>
    <cellStyle name="Normal 9 19 7" xfId="23414"/>
    <cellStyle name="Normal 9 2" xfId="115"/>
    <cellStyle name="Normal 9 2 10" xfId="9924"/>
    <cellStyle name="Normal 9 2 10 2" xfId="29602"/>
    <cellStyle name="Normal 9 2 11" xfId="16076"/>
    <cellStyle name="Normal 9 2 11 2" xfId="35754"/>
    <cellStyle name="Normal 9 2 12" xfId="3213"/>
    <cellStyle name="Normal 9 2 12 2" xfId="23415"/>
    <cellStyle name="Normal 9 2 13" xfId="42040"/>
    <cellStyle name="Normal 9 2 14" xfId="21706"/>
    <cellStyle name="Normal 9 2 2" xfId="144"/>
    <cellStyle name="Normal 9 2 2 2" xfId="208"/>
    <cellStyle name="Normal 9 2 2 2 2" xfId="6015"/>
    <cellStyle name="Normal 9 2 2 2 2 2" xfId="9101"/>
    <cellStyle name="Normal 9 2 2 2 2 2 2" xfId="15294"/>
    <cellStyle name="Normal 9 2 2 2 2 2 2 2" xfId="34972"/>
    <cellStyle name="Normal 9 2 2 2 2 2 3" xfId="21446"/>
    <cellStyle name="Normal 9 2 2 2 2 2 3 2" xfId="41124"/>
    <cellStyle name="Normal 9 2 2 2 2 2 4" xfId="28808"/>
    <cellStyle name="Normal 9 2 2 2 2 3" xfId="12228"/>
    <cellStyle name="Normal 9 2 2 2 2 3 2" xfId="31906"/>
    <cellStyle name="Normal 9 2 2 2 2 4" xfId="18380"/>
    <cellStyle name="Normal 9 2 2 2 2 4 2" xfId="38058"/>
    <cellStyle name="Normal 9 2 2 2 2 5" xfId="25742"/>
    <cellStyle name="Normal 9 2 2 2 3" xfId="7566"/>
    <cellStyle name="Normal 9 2 2 2 3 2" xfId="13760"/>
    <cellStyle name="Normal 9 2 2 2 3 2 2" xfId="33438"/>
    <cellStyle name="Normal 9 2 2 2 3 3" xfId="19912"/>
    <cellStyle name="Normal 9 2 2 2 3 3 2" xfId="39590"/>
    <cellStyle name="Normal 9 2 2 2 3 4" xfId="27274"/>
    <cellStyle name="Normal 9 2 2 2 4" xfId="10694"/>
    <cellStyle name="Normal 9 2 2 2 4 2" xfId="30372"/>
    <cellStyle name="Normal 9 2 2 2 5" xfId="16846"/>
    <cellStyle name="Normal 9 2 2 2 5 2" xfId="36524"/>
    <cellStyle name="Normal 9 2 2 2 6" xfId="4390"/>
    <cellStyle name="Normal 9 2 2 2 7" xfId="24208"/>
    <cellStyle name="Normal 9 2 2 3" xfId="5232"/>
    <cellStyle name="Normal 9 2 2 3 2" xfId="8332"/>
    <cellStyle name="Normal 9 2 2 3 2 2" xfId="14525"/>
    <cellStyle name="Normal 9 2 2 3 2 2 2" xfId="34203"/>
    <cellStyle name="Normal 9 2 2 3 2 3" xfId="20677"/>
    <cellStyle name="Normal 9 2 2 3 2 3 2" xfId="40355"/>
    <cellStyle name="Normal 9 2 2 3 2 4" xfId="28039"/>
    <cellStyle name="Normal 9 2 2 3 3" xfId="11459"/>
    <cellStyle name="Normal 9 2 2 3 3 2" xfId="31137"/>
    <cellStyle name="Normal 9 2 2 3 4" xfId="17611"/>
    <cellStyle name="Normal 9 2 2 3 4 2" xfId="37289"/>
    <cellStyle name="Normal 9 2 2 3 5" xfId="24973"/>
    <cellStyle name="Normal 9 2 2 4" xfId="6797"/>
    <cellStyle name="Normal 9 2 2 4 2" xfId="12991"/>
    <cellStyle name="Normal 9 2 2 4 2 2" xfId="32669"/>
    <cellStyle name="Normal 9 2 2 4 3" xfId="19143"/>
    <cellStyle name="Normal 9 2 2 4 3 2" xfId="38821"/>
    <cellStyle name="Normal 9 2 2 4 4" xfId="26505"/>
    <cellStyle name="Normal 9 2 2 5" xfId="9925"/>
    <cellStyle name="Normal 9 2 2 5 2" xfId="29603"/>
    <cellStyle name="Normal 9 2 2 6" xfId="16077"/>
    <cellStyle name="Normal 9 2 2 6 2" xfId="35755"/>
    <cellStyle name="Normal 9 2 2 7" xfId="3214"/>
    <cellStyle name="Normal 9 2 2 7 2" xfId="23416"/>
    <cellStyle name="Normal 9 2 2 8" xfId="21744"/>
    <cellStyle name="Normal 9 2 3" xfId="170"/>
    <cellStyle name="Normal 9 2 3 2" xfId="4391"/>
    <cellStyle name="Normal 9 2 3 2 2" xfId="6016"/>
    <cellStyle name="Normal 9 2 3 2 2 2" xfId="9102"/>
    <cellStyle name="Normal 9 2 3 2 2 2 2" xfId="15295"/>
    <cellStyle name="Normal 9 2 3 2 2 2 2 2" xfId="34973"/>
    <cellStyle name="Normal 9 2 3 2 2 2 3" xfId="21447"/>
    <cellStyle name="Normal 9 2 3 2 2 2 3 2" xfId="41125"/>
    <cellStyle name="Normal 9 2 3 2 2 2 4" xfId="28809"/>
    <cellStyle name="Normal 9 2 3 2 2 3" xfId="12229"/>
    <cellStyle name="Normal 9 2 3 2 2 3 2" xfId="31907"/>
    <cellStyle name="Normal 9 2 3 2 2 4" xfId="18381"/>
    <cellStyle name="Normal 9 2 3 2 2 4 2" xfId="38059"/>
    <cellStyle name="Normal 9 2 3 2 2 5" xfId="25743"/>
    <cellStyle name="Normal 9 2 3 2 3" xfId="7567"/>
    <cellStyle name="Normal 9 2 3 2 3 2" xfId="13761"/>
    <cellStyle name="Normal 9 2 3 2 3 2 2" xfId="33439"/>
    <cellStyle name="Normal 9 2 3 2 3 3" xfId="19913"/>
    <cellStyle name="Normal 9 2 3 2 3 3 2" xfId="39591"/>
    <cellStyle name="Normal 9 2 3 2 3 4" xfId="27275"/>
    <cellStyle name="Normal 9 2 3 2 4" xfId="10695"/>
    <cellStyle name="Normal 9 2 3 2 4 2" xfId="30373"/>
    <cellStyle name="Normal 9 2 3 2 5" xfId="16847"/>
    <cellStyle name="Normal 9 2 3 2 5 2" xfId="36525"/>
    <cellStyle name="Normal 9 2 3 2 6" xfId="24209"/>
    <cellStyle name="Normal 9 2 3 3" xfId="5233"/>
    <cellStyle name="Normal 9 2 3 3 2" xfId="8333"/>
    <cellStyle name="Normal 9 2 3 3 2 2" xfId="14526"/>
    <cellStyle name="Normal 9 2 3 3 2 2 2" xfId="34204"/>
    <cellStyle name="Normal 9 2 3 3 2 3" xfId="20678"/>
    <cellStyle name="Normal 9 2 3 3 2 3 2" xfId="40356"/>
    <cellStyle name="Normal 9 2 3 3 2 4" xfId="28040"/>
    <cellStyle name="Normal 9 2 3 3 3" xfId="11460"/>
    <cellStyle name="Normal 9 2 3 3 3 2" xfId="31138"/>
    <cellStyle name="Normal 9 2 3 3 4" xfId="17612"/>
    <cellStyle name="Normal 9 2 3 3 4 2" xfId="37290"/>
    <cellStyle name="Normal 9 2 3 3 5" xfId="24974"/>
    <cellStyle name="Normal 9 2 3 4" xfId="6798"/>
    <cellStyle name="Normal 9 2 3 4 2" xfId="12992"/>
    <cellStyle name="Normal 9 2 3 4 2 2" xfId="32670"/>
    <cellStyle name="Normal 9 2 3 4 3" xfId="19144"/>
    <cellStyle name="Normal 9 2 3 4 3 2" xfId="38822"/>
    <cellStyle name="Normal 9 2 3 4 4" xfId="26506"/>
    <cellStyle name="Normal 9 2 3 5" xfId="9926"/>
    <cellStyle name="Normal 9 2 3 5 2" xfId="29604"/>
    <cellStyle name="Normal 9 2 3 6" xfId="16078"/>
    <cellStyle name="Normal 9 2 3 6 2" xfId="35756"/>
    <cellStyle name="Normal 9 2 3 7" xfId="3215"/>
    <cellStyle name="Normal 9 2 3 8" xfId="23417"/>
    <cellStyle name="Normal 9 2 4" xfId="3216"/>
    <cellStyle name="Normal 9 2 4 2" xfId="4392"/>
    <cellStyle name="Normal 9 2 4 2 2" xfId="6017"/>
    <cellStyle name="Normal 9 2 4 2 2 2" xfId="9103"/>
    <cellStyle name="Normal 9 2 4 2 2 2 2" xfId="15296"/>
    <cellStyle name="Normal 9 2 4 2 2 2 2 2" xfId="34974"/>
    <cellStyle name="Normal 9 2 4 2 2 2 3" xfId="21448"/>
    <cellStyle name="Normal 9 2 4 2 2 2 3 2" xfId="41126"/>
    <cellStyle name="Normal 9 2 4 2 2 2 4" xfId="28810"/>
    <cellStyle name="Normal 9 2 4 2 2 3" xfId="12230"/>
    <cellStyle name="Normal 9 2 4 2 2 3 2" xfId="31908"/>
    <cellStyle name="Normal 9 2 4 2 2 4" xfId="18382"/>
    <cellStyle name="Normal 9 2 4 2 2 4 2" xfId="38060"/>
    <cellStyle name="Normal 9 2 4 2 2 5" xfId="25744"/>
    <cellStyle name="Normal 9 2 4 2 3" xfId="7568"/>
    <cellStyle name="Normal 9 2 4 2 3 2" xfId="13762"/>
    <cellStyle name="Normal 9 2 4 2 3 2 2" xfId="33440"/>
    <cellStyle name="Normal 9 2 4 2 3 3" xfId="19914"/>
    <cellStyle name="Normal 9 2 4 2 3 3 2" xfId="39592"/>
    <cellStyle name="Normal 9 2 4 2 3 4" xfId="27276"/>
    <cellStyle name="Normal 9 2 4 2 4" xfId="10696"/>
    <cellStyle name="Normal 9 2 4 2 4 2" xfId="30374"/>
    <cellStyle name="Normal 9 2 4 2 5" xfId="16848"/>
    <cellStyle name="Normal 9 2 4 2 5 2" xfId="36526"/>
    <cellStyle name="Normal 9 2 4 2 6" xfId="24210"/>
    <cellStyle name="Normal 9 2 4 3" xfId="5234"/>
    <cellStyle name="Normal 9 2 4 3 2" xfId="8334"/>
    <cellStyle name="Normal 9 2 4 3 2 2" xfId="14527"/>
    <cellStyle name="Normal 9 2 4 3 2 2 2" xfId="34205"/>
    <cellStyle name="Normal 9 2 4 3 2 3" xfId="20679"/>
    <cellStyle name="Normal 9 2 4 3 2 3 2" xfId="40357"/>
    <cellStyle name="Normal 9 2 4 3 2 4" xfId="28041"/>
    <cellStyle name="Normal 9 2 4 3 3" xfId="11461"/>
    <cellStyle name="Normal 9 2 4 3 3 2" xfId="31139"/>
    <cellStyle name="Normal 9 2 4 3 4" xfId="17613"/>
    <cellStyle name="Normal 9 2 4 3 4 2" xfId="37291"/>
    <cellStyle name="Normal 9 2 4 3 5" xfId="24975"/>
    <cellStyle name="Normal 9 2 4 4" xfId="6799"/>
    <cellStyle name="Normal 9 2 4 4 2" xfId="12993"/>
    <cellStyle name="Normal 9 2 4 4 2 2" xfId="32671"/>
    <cellStyle name="Normal 9 2 4 4 3" xfId="19145"/>
    <cellStyle name="Normal 9 2 4 4 3 2" xfId="38823"/>
    <cellStyle name="Normal 9 2 4 4 4" xfId="26507"/>
    <cellStyle name="Normal 9 2 4 5" xfId="9927"/>
    <cellStyle name="Normal 9 2 4 5 2" xfId="29605"/>
    <cellStyle name="Normal 9 2 4 6" xfId="16079"/>
    <cellStyle name="Normal 9 2 4 6 2" xfId="35757"/>
    <cellStyle name="Normal 9 2 4 7" xfId="23418"/>
    <cellStyle name="Normal 9 2 5" xfId="3217"/>
    <cellStyle name="Normal 9 2 5 2" xfId="4393"/>
    <cellStyle name="Normal 9 2 5 2 2" xfId="6018"/>
    <cellStyle name="Normal 9 2 5 2 2 2" xfId="9104"/>
    <cellStyle name="Normal 9 2 5 2 2 2 2" xfId="15297"/>
    <cellStyle name="Normal 9 2 5 2 2 2 2 2" xfId="34975"/>
    <cellStyle name="Normal 9 2 5 2 2 2 3" xfId="21449"/>
    <cellStyle name="Normal 9 2 5 2 2 2 3 2" xfId="41127"/>
    <cellStyle name="Normal 9 2 5 2 2 2 4" xfId="28811"/>
    <cellStyle name="Normal 9 2 5 2 2 3" xfId="12231"/>
    <cellStyle name="Normal 9 2 5 2 2 3 2" xfId="31909"/>
    <cellStyle name="Normal 9 2 5 2 2 4" xfId="18383"/>
    <cellStyle name="Normal 9 2 5 2 2 4 2" xfId="38061"/>
    <cellStyle name="Normal 9 2 5 2 2 5" xfId="25745"/>
    <cellStyle name="Normal 9 2 5 2 3" xfId="7569"/>
    <cellStyle name="Normal 9 2 5 2 3 2" xfId="13763"/>
    <cellStyle name="Normal 9 2 5 2 3 2 2" xfId="33441"/>
    <cellStyle name="Normal 9 2 5 2 3 3" xfId="19915"/>
    <cellStyle name="Normal 9 2 5 2 3 3 2" xfId="39593"/>
    <cellStyle name="Normal 9 2 5 2 3 4" xfId="27277"/>
    <cellStyle name="Normal 9 2 5 2 4" xfId="10697"/>
    <cellStyle name="Normal 9 2 5 2 4 2" xfId="30375"/>
    <cellStyle name="Normal 9 2 5 2 5" xfId="16849"/>
    <cellStyle name="Normal 9 2 5 2 5 2" xfId="36527"/>
    <cellStyle name="Normal 9 2 5 2 6" xfId="24211"/>
    <cellStyle name="Normal 9 2 5 3" xfId="5235"/>
    <cellStyle name="Normal 9 2 5 3 2" xfId="8335"/>
    <cellStyle name="Normal 9 2 5 3 2 2" xfId="14528"/>
    <cellStyle name="Normal 9 2 5 3 2 2 2" xfId="34206"/>
    <cellStyle name="Normal 9 2 5 3 2 3" xfId="20680"/>
    <cellStyle name="Normal 9 2 5 3 2 3 2" xfId="40358"/>
    <cellStyle name="Normal 9 2 5 3 2 4" xfId="28042"/>
    <cellStyle name="Normal 9 2 5 3 3" xfId="11462"/>
    <cellStyle name="Normal 9 2 5 3 3 2" xfId="31140"/>
    <cellStyle name="Normal 9 2 5 3 4" xfId="17614"/>
    <cellStyle name="Normal 9 2 5 3 4 2" xfId="37292"/>
    <cellStyle name="Normal 9 2 5 3 5" xfId="24976"/>
    <cellStyle name="Normal 9 2 5 4" xfId="6800"/>
    <cellStyle name="Normal 9 2 5 4 2" xfId="12994"/>
    <cellStyle name="Normal 9 2 5 4 2 2" xfId="32672"/>
    <cellStyle name="Normal 9 2 5 4 3" xfId="19146"/>
    <cellStyle name="Normal 9 2 5 4 3 2" xfId="38824"/>
    <cellStyle name="Normal 9 2 5 4 4" xfId="26508"/>
    <cellStyle name="Normal 9 2 5 5" xfId="9928"/>
    <cellStyle name="Normal 9 2 5 5 2" xfId="29606"/>
    <cellStyle name="Normal 9 2 5 6" xfId="16080"/>
    <cellStyle name="Normal 9 2 5 6 2" xfId="35758"/>
    <cellStyle name="Normal 9 2 5 7" xfId="23419"/>
    <cellStyle name="Normal 9 2 6" xfId="4389"/>
    <cellStyle name="Normal 9 2 6 2" xfId="6014"/>
    <cellStyle name="Normal 9 2 6 2 2" xfId="9100"/>
    <cellStyle name="Normal 9 2 6 2 2 2" xfId="15293"/>
    <cellStyle name="Normal 9 2 6 2 2 2 2" xfId="34971"/>
    <cellStyle name="Normal 9 2 6 2 2 3" xfId="21445"/>
    <cellStyle name="Normal 9 2 6 2 2 3 2" xfId="41123"/>
    <cellStyle name="Normal 9 2 6 2 2 4" xfId="28807"/>
    <cellStyle name="Normal 9 2 6 2 3" xfId="12227"/>
    <cellStyle name="Normal 9 2 6 2 3 2" xfId="31905"/>
    <cellStyle name="Normal 9 2 6 2 4" xfId="18379"/>
    <cellStyle name="Normal 9 2 6 2 4 2" xfId="38057"/>
    <cellStyle name="Normal 9 2 6 2 5" xfId="25741"/>
    <cellStyle name="Normal 9 2 6 3" xfId="7565"/>
    <cellStyle name="Normal 9 2 6 3 2" xfId="13759"/>
    <cellStyle name="Normal 9 2 6 3 2 2" xfId="33437"/>
    <cellStyle name="Normal 9 2 6 3 3" xfId="19911"/>
    <cellStyle name="Normal 9 2 6 3 3 2" xfId="39589"/>
    <cellStyle name="Normal 9 2 6 3 4" xfId="27273"/>
    <cellStyle name="Normal 9 2 6 4" xfId="10693"/>
    <cellStyle name="Normal 9 2 6 4 2" xfId="30371"/>
    <cellStyle name="Normal 9 2 6 5" xfId="16845"/>
    <cellStyle name="Normal 9 2 6 5 2" xfId="36523"/>
    <cellStyle name="Normal 9 2 6 6" xfId="24207"/>
    <cellStyle name="Normal 9 2 7" xfId="5231"/>
    <cellStyle name="Normal 9 2 7 2" xfId="8331"/>
    <cellStyle name="Normal 9 2 7 2 2" xfId="14524"/>
    <cellStyle name="Normal 9 2 7 2 2 2" xfId="34202"/>
    <cellStyle name="Normal 9 2 7 2 3" xfId="20676"/>
    <cellStyle name="Normal 9 2 7 2 3 2" xfId="40354"/>
    <cellStyle name="Normal 9 2 7 2 4" xfId="28038"/>
    <cellStyle name="Normal 9 2 7 3" xfId="11458"/>
    <cellStyle name="Normal 9 2 7 3 2" xfId="31136"/>
    <cellStyle name="Normal 9 2 7 4" xfId="17610"/>
    <cellStyle name="Normal 9 2 7 4 2" xfId="37288"/>
    <cellStyle name="Normal 9 2 7 5" xfId="24972"/>
    <cellStyle name="Normal 9 2 8" xfId="6796"/>
    <cellStyle name="Normal 9 2 8 2" xfId="12990"/>
    <cellStyle name="Normal 9 2 8 2 2" xfId="32668"/>
    <cellStyle name="Normal 9 2 8 3" xfId="19142"/>
    <cellStyle name="Normal 9 2 8 3 2" xfId="38820"/>
    <cellStyle name="Normal 9 2 8 4" xfId="26504"/>
    <cellStyle name="Normal 9 2 9" xfId="9317"/>
    <cellStyle name="Normal 9 20" xfId="3218"/>
    <cellStyle name="Normal 9 20 2" xfId="4394"/>
    <cellStyle name="Normal 9 20 2 2" xfId="6019"/>
    <cellStyle name="Normal 9 20 2 2 2" xfId="9105"/>
    <cellStyle name="Normal 9 20 2 2 2 2" xfId="15298"/>
    <cellStyle name="Normal 9 20 2 2 2 2 2" xfId="34976"/>
    <cellStyle name="Normal 9 20 2 2 2 3" xfId="21450"/>
    <cellStyle name="Normal 9 20 2 2 2 3 2" xfId="41128"/>
    <cellStyle name="Normal 9 20 2 2 2 4" xfId="28812"/>
    <cellStyle name="Normal 9 20 2 2 3" xfId="12232"/>
    <cellStyle name="Normal 9 20 2 2 3 2" xfId="31910"/>
    <cellStyle name="Normal 9 20 2 2 4" xfId="18384"/>
    <cellStyle name="Normal 9 20 2 2 4 2" xfId="38062"/>
    <cellStyle name="Normal 9 20 2 2 5" xfId="25746"/>
    <cellStyle name="Normal 9 20 2 3" xfId="7570"/>
    <cellStyle name="Normal 9 20 2 3 2" xfId="13764"/>
    <cellStyle name="Normal 9 20 2 3 2 2" xfId="33442"/>
    <cellStyle name="Normal 9 20 2 3 3" xfId="19916"/>
    <cellStyle name="Normal 9 20 2 3 3 2" xfId="39594"/>
    <cellStyle name="Normal 9 20 2 3 4" xfId="27278"/>
    <cellStyle name="Normal 9 20 2 4" xfId="10698"/>
    <cellStyle name="Normal 9 20 2 4 2" xfId="30376"/>
    <cellStyle name="Normal 9 20 2 5" xfId="16850"/>
    <cellStyle name="Normal 9 20 2 5 2" xfId="36528"/>
    <cellStyle name="Normal 9 20 2 6" xfId="24212"/>
    <cellStyle name="Normal 9 20 3" xfId="5236"/>
    <cellStyle name="Normal 9 20 3 2" xfId="8336"/>
    <cellStyle name="Normal 9 20 3 2 2" xfId="14529"/>
    <cellStyle name="Normal 9 20 3 2 2 2" xfId="34207"/>
    <cellStyle name="Normal 9 20 3 2 3" xfId="20681"/>
    <cellStyle name="Normal 9 20 3 2 3 2" xfId="40359"/>
    <cellStyle name="Normal 9 20 3 2 4" xfId="28043"/>
    <cellStyle name="Normal 9 20 3 3" xfId="11463"/>
    <cellStyle name="Normal 9 20 3 3 2" xfId="31141"/>
    <cellStyle name="Normal 9 20 3 4" xfId="17615"/>
    <cellStyle name="Normal 9 20 3 4 2" xfId="37293"/>
    <cellStyle name="Normal 9 20 3 5" xfId="24977"/>
    <cellStyle name="Normal 9 20 4" xfId="6801"/>
    <cellStyle name="Normal 9 20 4 2" xfId="12995"/>
    <cellStyle name="Normal 9 20 4 2 2" xfId="32673"/>
    <cellStyle name="Normal 9 20 4 3" xfId="19147"/>
    <cellStyle name="Normal 9 20 4 3 2" xfId="38825"/>
    <cellStyle name="Normal 9 20 4 4" xfId="26509"/>
    <cellStyle name="Normal 9 20 5" xfId="9929"/>
    <cellStyle name="Normal 9 20 5 2" xfId="29607"/>
    <cellStyle name="Normal 9 20 6" xfId="16081"/>
    <cellStyle name="Normal 9 20 6 2" xfId="35759"/>
    <cellStyle name="Normal 9 20 7" xfId="23420"/>
    <cellStyle name="Normal 9 21" xfId="3219"/>
    <cellStyle name="Normal 9 22" xfId="3220"/>
    <cellStyle name="Normal 9 22 2" xfId="4395"/>
    <cellStyle name="Normal 9 22 2 2" xfId="6020"/>
    <cellStyle name="Normal 9 22 2 2 2" xfId="9106"/>
    <cellStyle name="Normal 9 22 2 2 2 2" xfId="15299"/>
    <cellStyle name="Normal 9 22 2 2 2 2 2" xfId="34977"/>
    <cellStyle name="Normal 9 22 2 2 2 3" xfId="21451"/>
    <cellStyle name="Normal 9 22 2 2 2 3 2" xfId="41129"/>
    <cellStyle name="Normal 9 22 2 2 2 4" xfId="28813"/>
    <cellStyle name="Normal 9 22 2 2 3" xfId="12233"/>
    <cellStyle name="Normal 9 22 2 2 3 2" xfId="31911"/>
    <cellStyle name="Normal 9 22 2 2 4" xfId="18385"/>
    <cellStyle name="Normal 9 22 2 2 4 2" xfId="38063"/>
    <cellStyle name="Normal 9 22 2 2 5" xfId="25747"/>
    <cellStyle name="Normal 9 22 2 3" xfId="7571"/>
    <cellStyle name="Normal 9 22 2 3 2" xfId="13765"/>
    <cellStyle name="Normal 9 22 2 3 2 2" xfId="33443"/>
    <cellStyle name="Normal 9 22 2 3 3" xfId="19917"/>
    <cellStyle name="Normal 9 22 2 3 3 2" xfId="39595"/>
    <cellStyle name="Normal 9 22 2 3 4" xfId="27279"/>
    <cellStyle name="Normal 9 22 2 4" xfId="10699"/>
    <cellStyle name="Normal 9 22 2 4 2" xfId="30377"/>
    <cellStyle name="Normal 9 22 2 5" xfId="16851"/>
    <cellStyle name="Normal 9 22 2 5 2" xfId="36529"/>
    <cellStyle name="Normal 9 22 2 6" xfId="24213"/>
    <cellStyle name="Normal 9 22 3" xfId="5237"/>
    <cellStyle name="Normal 9 22 3 2" xfId="8337"/>
    <cellStyle name="Normal 9 22 3 2 2" xfId="14530"/>
    <cellStyle name="Normal 9 22 3 2 2 2" xfId="34208"/>
    <cellStyle name="Normal 9 22 3 2 3" xfId="20682"/>
    <cellStyle name="Normal 9 22 3 2 3 2" xfId="40360"/>
    <cellStyle name="Normal 9 22 3 2 4" xfId="28044"/>
    <cellStyle name="Normal 9 22 3 3" xfId="11464"/>
    <cellStyle name="Normal 9 22 3 3 2" xfId="31142"/>
    <cellStyle name="Normal 9 22 3 4" xfId="17616"/>
    <cellStyle name="Normal 9 22 3 4 2" xfId="37294"/>
    <cellStyle name="Normal 9 22 3 5" xfId="24978"/>
    <cellStyle name="Normal 9 22 4" xfId="6802"/>
    <cellStyle name="Normal 9 22 4 2" xfId="12996"/>
    <cellStyle name="Normal 9 22 4 2 2" xfId="32674"/>
    <cellStyle name="Normal 9 22 4 3" xfId="19148"/>
    <cellStyle name="Normal 9 22 4 3 2" xfId="38826"/>
    <cellStyle name="Normal 9 22 4 4" xfId="26510"/>
    <cellStyle name="Normal 9 22 5" xfId="9930"/>
    <cellStyle name="Normal 9 22 5 2" xfId="29608"/>
    <cellStyle name="Normal 9 22 6" xfId="16082"/>
    <cellStyle name="Normal 9 22 6 2" xfId="35760"/>
    <cellStyle name="Normal 9 22 7" xfId="23421"/>
    <cellStyle name="Normal 9 23" xfId="3221"/>
    <cellStyle name="Normal 9 23 2" xfId="3222"/>
    <cellStyle name="Normal 9 24" xfId="3223"/>
    <cellStyle name="Normal 9 24 2" xfId="3224"/>
    <cellStyle name="Normal 9 25" xfId="3202"/>
    <cellStyle name="Normal 9 25 2" xfId="4378"/>
    <cellStyle name="Normal 9 25 2 2" xfId="6003"/>
    <cellStyle name="Normal 9 25 2 2 2" xfId="9089"/>
    <cellStyle name="Normal 9 25 2 2 2 2" xfId="15282"/>
    <cellStyle name="Normal 9 25 2 2 2 2 2" xfId="34960"/>
    <cellStyle name="Normal 9 25 2 2 2 3" xfId="21434"/>
    <cellStyle name="Normal 9 25 2 2 2 3 2" xfId="41112"/>
    <cellStyle name="Normal 9 25 2 2 2 4" xfId="28796"/>
    <cellStyle name="Normal 9 25 2 2 3" xfId="12216"/>
    <cellStyle name="Normal 9 25 2 2 3 2" xfId="31894"/>
    <cellStyle name="Normal 9 25 2 2 4" xfId="18368"/>
    <cellStyle name="Normal 9 25 2 2 4 2" xfId="38046"/>
    <cellStyle name="Normal 9 25 2 2 5" xfId="25730"/>
    <cellStyle name="Normal 9 25 2 3" xfId="7554"/>
    <cellStyle name="Normal 9 25 2 3 2" xfId="13748"/>
    <cellStyle name="Normal 9 25 2 3 2 2" xfId="33426"/>
    <cellStyle name="Normal 9 25 2 3 3" xfId="19900"/>
    <cellStyle name="Normal 9 25 2 3 3 2" xfId="39578"/>
    <cellStyle name="Normal 9 25 2 3 4" xfId="27262"/>
    <cellStyle name="Normal 9 25 2 4" xfId="10682"/>
    <cellStyle name="Normal 9 25 2 4 2" xfId="30360"/>
    <cellStyle name="Normal 9 25 2 5" xfId="16834"/>
    <cellStyle name="Normal 9 25 2 5 2" xfId="36512"/>
    <cellStyle name="Normal 9 25 2 6" xfId="24196"/>
    <cellStyle name="Normal 9 25 3" xfId="5220"/>
    <cellStyle name="Normal 9 25 3 2" xfId="8320"/>
    <cellStyle name="Normal 9 25 3 2 2" xfId="14513"/>
    <cellStyle name="Normal 9 25 3 2 2 2" xfId="34191"/>
    <cellStyle name="Normal 9 25 3 2 3" xfId="20665"/>
    <cellStyle name="Normal 9 25 3 2 3 2" xfId="40343"/>
    <cellStyle name="Normal 9 25 3 2 4" xfId="28027"/>
    <cellStyle name="Normal 9 25 3 3" xfId="11447"/>
    <cellStyle name="Normal 9 25 3 3 2" xfId="31125"/>
    <cellStyle name="Normal 9 25 3 4" xfId="17599"/>
    <cellStyle name="Normal 9 25 3 4 2" xfId="37277"/>
    <cellStyle name="Normal 9 25 3 5" xfId="24961"/>
    <cellStyle name="Normal 9 25 4" xfId="6785"/>
    <cellStyle name="Normal 9 25 4 2" xfId="12979"/>
    <cellStyle name="Normal 9 25 4 2 2" xfId="32657"/>
    <cellStyle name="Normal 9 25 4 3" xfId="19131"/>
    <cellStyle name="Normal 9 25 4 3 2" xfId="38809"/>
    <cellStyle name="Normal 9 25 4 4" xfId="26493"/>
    <cellStyle name="Normal 9 25 5" xfId="9913"/>
    <cellStyle name="Normal 9 25 5 2" xfId="29591"/>
    <cellStyle name="Normal 9 25 6" xfId="16065"/>
    <cellStyle name="Normal 9 25 6 2" xfId="35743"/>
    <cellStyle name="Normal 9 25 7" xfId="23404"/>
    <cellStyle name="Normal 9 26" xfId="343"/>
    <cellStyle name="Normal 9 27" xfId="21764"/>
    <cellStyle name="Normal 9 28" xfId="42039"/>
    <cellStyle name="Normal 9 29" xfId="21692"/>
    <cellStyle name="Normal 9 3" xfId="89"/>
    <cellStyle name="Normal 9 3 10" xfId="16083"/>
    <cellStyle name="Normal 9 3 10 2" xfId="35761"/>
    <cellStyle name="Normal 9 3 11" xfId="3225"/>
    <cellStyle name="Normal 9 3 11 2" xfId="23422"/>
    <cellStyle name="Normal 9 3 12" xfId="42041"/>
    <cellStyle name="Normal 9 3 13" xfId="21731"/>
    <cellStyle name="Normal 9 3 2" xfId="195"/>
    <cellStyle name="Normal 9 3 2 2" xfId="4397"/>
    <cellStyle name="Normal 9 3 2 2 2" xfId="6022"/>
    <cellStyle name="Normal 9 3 2 2 2 2" xfId="9108"/>
    <cellStyle name="Normal 9 3 2 2 2 2 2" xfId="15301"/>
    <cellStyle name="Normal 9 3 2 2 2 2 2 2" xfId="34979"/>
    <cellStyle name="Normal 9 3 2 2 2 2 3" xfId="21453"/>
    <cellStyle name="Normal 9 3 2 2 2 2 3 2" xfId="41131"/>
    <cellStyle name="Normal 9 3 2 2 2 2 4" xfId="28815"/>
    <cellStyle name="Normal 9 3 2 2 2 3" xfId="12235"/>
    <cellStyle name="Normal 9 3 2 2 2 3 2" xfId="31913"/>
    <cellStyle name="Normal 9 3 2 2 2 4" xfId="18387"/>
    <cellStyle name="Normal 9 3 2 2 2 4 2" xfId="38065"/>
    <cellStyle name="Normal 9 3 2 2 2 5" xfId="25749"/>
    <cellStyle name="Normal 9 3 2 2 3" xfId="7573"/>
    <cellStyle name="Normal 9 3 2 2 3 2" xfId="13767"/>
    <cellStyle name="Normal 9 3 2 2 3 2 2" xfId="33445"/>
    <cellStyle name="Normal 9 3 2 2 3 3" xfId="19919"/>
    <cellStyle name="Normal 9 3 2 2 3 3 2" xfId="39597"/>
    <cellStyle name="Normal 9 3 2 2 3 4" xfId="27281"/>
    <cellStyle name="Normal 9 3 2 2 4" xfId="10701"/>
    <cellStyle name="Normal 9 3 2 2 4 2" xfId="30379"/>
    <cellStyle name="Normal 9 3 2 2 5" xfId="16853"/>
    <cellStyle name="Normal 9 3 2 2 5 2" xfId="36531"/>
    <cellStyle name="Normal 9 3 2 2 6" xfId="24215"/>
    <cellStyle name="Normal 9 3 2 3" xfId="5239"/>
    <cellStyle name="Normal 9 3 2 3 2" xfId="8339"/>
    <cellStyle name="Normal 9 3 2 3 2 2" xfId="14532"/>
    <cellStyle name="Normal 9 3 2 3 2 2 2" xfId="34210"/>
    <cellStyle name="Normal 9 3 2 3 2 3" xfId="20684"/>
    <cellStyle name="Normal 9 3 2 3 2 3 2" xfId="40362"/>
    <cellStyle name="Normal 9 3 2 3 2 4" xfId="28046"/>
    <cellStyle name="Normal 9 3 2 3 3" xfId="11466"/>
    <cellStyle name="Normal 9 3 2 3 3 2" xfId="31144"/>
    <cellStyle name="Normal 9 3 2 3 4" xfId="17618"/>
    <cellStyle name="Normal 9 3 2 3 4 2" xfId="37296"/>
    <cellStyle name="Normal 9 3 2 3 5" xfId="24980"/>
    <cellStyle name="Normal 9 3 2 4" xfId="6804"/>
    <cellStyle name="Normal 9 3 2 4 2" xfId="12998"/>
    <cellStyle name="Normal 9 3 2 4 2 2" xfId="32676"/>
    <cellStyle name="Normal 9 3 2 4 3" xfId="19150"/>
    <cellStyle name="Normal 9 3 2 4 3 2" xfId="38828"/>
    <cellStyle name="Normal 9 3 2 4 4" xfId="26512"/>
    <cellStyle name="Normal 9 3 2 5" xfId="9932"/>
    <cellStyle name="Normal 9 3 2 5 2" xfId="29610"/>
    <cellStyle name="Normal 9 3 2 6" xfId="16084"/>
    <cellStyle name="Normal 9 3 2 6 2" xfId="35762"/>
    <cellStyle name="Normal 9 3 2 7" xfId="3226"/>
    <cellStyle name="Normal 9 3 2 8" xfId="23423"/>
    <cellStyle name="Normal 9 3 3" xfId="3227"/>
    <cellStyle name="Normal 9 3 3 2" xfId="4398"/>
    <cellStyle name="Normal 9 3 3 2 2" xfId="6023"/>
    <cellStyle name="Normal 9 3 3 2 2 2" xfId="9109"/>
    <cellStyle name="Normal 9 3 3 2 2 2 2" xfId="15302"/>
    <cellStyle name="Normal 9 3 3 2 2 2 2 2" xfId="34980"/>
    <cellStyle name="Normal 9 3 3 2 2 2 3" xfId="21454"/>
    <cellStyle name="Normal 9 3 3 2 2 2 3 2" xfId="41132"/>
    <cellStyle name="Normal 9 3 3 2 2 2 4" xfId="28816"/>
    <cellStyle name="Normal 9 3 3 2 2 3" xfId="12236"/>
    <cellStyle name="Normal 9 3 3 2 2 3 2" xfId="31914"/>
    <cellStyle name="Normal 9 3 3 2 2 4" xfId="18388"/>
    <cellStyle name="Normal 9 3 3 2 2 4 2" xfId="38066"/>
    <cellStyle name="Normal 9 3 3 2 2 5" xfId="25750"/>
    <cellStyle name="Normal 9 3 3 2 3" xfId="7574"/>
    <cellStyle name="Normal 9 3 3 2 3 2" xfId="13768"/>
    <cellStyle name="Normal 9 3 3 2 3 2 2" xfId="33446"/>
    <cellStyle name="Normal 9 3 3 2 3 3" xfId="19920"/>
    <cellStyle name="Normal 9 3 3 2 3 3 2" xfId="39598"/>
    <cellStyle name="Normal 9 3 3 2 3 4" xfId="27282"/>
    <cellStyle name="Normal 9 3 3 2 4" xfId="10702"/>
    <cellStyle name="Normal 9 3 3 2 4 2" xfId="30380"/>
    <cellStyle name="Normal 9 3 3 2 5" xfId="16854"/>
    <cellStyle name="Normal 9 3 3 2 5 2" xfId="36532"/>
    <cellStyle name="Normal 9 3 3 2 6" xfId="24216"/>
    <cellStyle name="Normal 9 3 3 3" xfId="5240"/>
    <cellStyle name="Normal 9 3 3 3 2" xfId="8340"/>
    <cellStyle name="Normal 9 3 3 3 2 2" xfId="14533"/>
    <cellStyle name="Normal 9 3 3 3 2 2 2" xfId="34211"/>
    <cellStyle name="Normal 9 3 3 3 2 3" xfId="20685"/>
    <cellStyle name="Normal 9 3 3 3 2 3 2" xfId="40363"/>
    <cellStyle name="Normal 9 3 3 3 2 4" xfId="28047"/>
    <cellStyle name="Normal 9 3 3 3 3" xfId="11467"/>
    <cellStyle name="Normal 9 3 3 3 3 2" xfId="31145"/>
    <cellStyle name="Normal 9 3 3 3 4" xfId="17619"/>
    <cellStyle name="Normal 9 3 3 3 4 2" xfId="37297"/>
    <cellStyle name="Normal 9 3 3 3 5" xfId="24981"/>
    <cellStyle name="Normal 9 3 3 4" xfId="6805"/>
    <cellStyle name="Normal 9 3 3 4 2" xfId="12999"/>
    <cellStyle name="Normal 9 3 3 4 2 2" xfId="32677"/>
    <cellStyle name="Normal 9 3 3 4 3" xfId="19151"/>
    <cellStyle name="Normal 9 3 3 4 3 2" xfId="38829"/>
    <cellStyle name="Normal 9 3 3 4 4" xfId="26513"/>
    <cellStyle name="Normal 9 3 3 5" xfId="9933"/>
    <cellStyle name="Normal 9 3 3 5 2" xfId="29611"/>
    <cellStyle name="Normal 9 3 3 6" xfId="16085"/>
    <cellStyle name="Normal 9 3 3 6 2" xfId="35763"/>
    <cellStyle name="Normal 9 3 3 7" xfId="23424"/>
    <cellStyle name="Normal 9 3 4" xfId="3228"/>
    <cellStyle name="Normal 9 3 4 2" xfId="4399"/>
    <cellStyle name="Normal 9 3 4 2 2" xfId="6024"/>
    <cellStyle name="Normal 9 3 4 2 2 2" xfId="9110"/>
    <cellStyle name="Normal 9 3 4 2 2 2 2" xfId="15303"/>
    <cellStyle name="Normal 9 3 4 2 2 2 2 2" xfId="34981"/>
    <cellStyle name="Normal 9 3 4 2 2 2 3" xfId="21455"/>
    <cellStyle name="Normal 9 3 4 2 2 2 3 2" xfId="41133"/>
    <cellStyle name="Normal 9 3 4 2 2 2 4" xfId="28817"/>
    <cellStyle name="Normal 9 3 4 2 2 3" xfId="12237"/>
    <cellStyle name="Normal 9 3 4 2 2 3 2" xfId="31915"/>
    <cellStyle name="Normal 9 3 4 2 2 4" xfId="18389"/>
    <cellStyle name="Normal 9 3 4 2 2 4 2" xfId="38067"/>
    <cellStyle name="Normal 9 3 4 2 2 5" xfId="25751"/>
    <cellStyle name="Normal 9 3 4 2 3" xfId="7575"/>
    <cellStyle name="Normal 9 3 4 2 3 2" xfId="13769"/>
    <cellStyle name="Normal 9 3 4 2 3 2 2" xfId="33447"/>
    <cellStyle name="Normal 9 3 4 2 3 3" xfId="19921"/>
    <cellStyle name="Normal 9 3 4 2 3 3 2" xfId="39599"/>
    <cellStyle name="Normal 9 3 4 2 3 4" xfId="27283"/>
    <cellStyle name="Normal 9 3 4 2 4" xfId="10703"/>
    <cellStyle name="Normal 9 3 4 2 4 2" xfId="30381"/>
    <cellStyle name="Normal 9 3 4 2 5" xfId="16855"/>
    <cellStyle name="Normal 9 3 4 2 5 2" xfId="36533"/>
    <cellStyle name="Normal 9 3 4 2 6" xfId="24217"/>
    <cellStyle name="Normal 9 3 4 3" xfId="5241"/>
    <cellStyle name="Normal 9 3 4 3 2" xfId="8341"/>
    <cellStyle name="Normal 9 3 4 3 2 2" xfId="14534"/>
    <cellStyle name="Normal 9 3 4 3 2 2 2" xfId="34212"/>
    <cellStyle name="Normal 9 3 4 3 2 3" xfId="20686"/>
    <cellStyle name="Normal 9 3 4 3 2 3 2" xfId="40364"/>
    <cellStyle name="Normal 9 3 4 3 2 4" xfId="28048"/>
    <cellStyle name="Normal 9 3 4 3 3" xfId="11468"/>
    <cellStyle name="Normal 9 3 4 3 3 2" xfId="31146"/>
    <cellStyle name="Normal 9 3 4 3 4" xfId="17620"/>
    <cellStyle name="Normal 9 3 4 3 4 2" xfId="37298"/>
    <cellStyle name="Normal 9 3 4 3 5" xfId="24982"/>
    <cellStyle name="Normal 9 3 4 4" xfId="6806"/>
    <cellStyle name="Normal 9 3 4 4 2" xfId="13000"/>
    <cellStyle name="Normal 9 3 4 4 2 2" xfId="32678"/>
    <cellStyle name="Normal 9 3 4 4 3" xfId="19152"/>
    <cellStyle name="Normal 9 3 4 4 3 2" xfId="38830"/>
    <cellStyle name="Normal 9 3 4 4 4" xfId="26514"/>
    <cellStyle name="Normal 9 3 4 5" xfId="9934"/>
    <cellStyle name="Normal 9 3 4 5 2" xfId="29612"/>
    <cellStyle name="Normal 9 3 4 6" xfId="16086"/>
    <cellStyle name="Normal 9 3 4 6 2" xfId="35764"/>
    <cellStyle name="Normal 9 3 4 7" xfId="23425"/>
    <cellStyle name="Normal 9 3 5" xfId="3229"/>
    <cellStyle name="Normal 9 3 5 2" xfId="4400"/>
    <cellStyle name="Normal 9 3 5 2 2" xfId="6025"/>
    <cellStyle name="Normal 9 3 5 2 2 2" xfId="9111"/>
    <cellStyle name="Normal 9 3 5 2 2 2 2" xfId="15304"/>
    <cellStyle name="Normal 9 3 5 2 2 2 2 2" xfId="34982"/>
    <cellStyle name="Normal 9 3 5 2 2 2 3" xfId="21456"/>
    <cellStyle name="Normal 9 3 5 2 2 2 3 2" xfId="41134"/>
    <cellStyle name="Normal 9 3 5 2 2 2 4" xfId="28818"/>
    <cellStyle name="Normal 9 3 5 2 2 3" xfId="12238"/>
    <cellStyle name="Normal 9 3 5 2 2 3 2" xfId="31916"/>
    <cellStyle name="Normal 9 3 5 2 2 4" xfId="18390"/>
    <cellStyle name="Normal 9 3 5 2 2 4 2" xfId="38068"/>
    <cellStyle name="Normal 9 3 5 2 2 5" xfId="25752"/>
    <cellStyle name="Normal 9 3 5 2 3" xfId="7576"/>
    <cellStyle name="Normal 9 3 5 2 3 2" xfId="13770"/>
    <cellStyle name="Normal 9 3 5 2 3 2 2" xfId="33448"/>
    <cellStyle name="Normal 9 3 5 2 3 3" xfId="19922"/>
    <cellStyle name="Normal 9 3 5 2 3 3 2" xfId="39600"/>
    <cellStyle name="Normal 9 3 5 2 3 4" xfId="27284"/>
    <cellStyle name="Normal 9 3 5 2 4" xfId="10704"/>
    <cellStyle name="Normal 9 3 5 2 4 2" xfId="30382"/>
    <cellStyle name="Normal 9 3 5 2 5" xfId="16856"/>
    <cellStyle name="Normal 9 3 5 2 5 2" xfId="36534"/>
    <cellStyle name="Normal 9 3 5 2 6" xfId="24218"/>
    <cellStyle name="Normal 9 3 5 3" xfId="5242"/>
    <cellStyle name="Normal 9 3 5 3 2" xfId="8342"/>
    <cellStyle name="Normal 9 3 5 3 2 2" xfId="14535"/>
    <cellStyle name="Normal 9 3 5 3 2 2 2" xfId="34213"/>
    <cellStyle name="Normal 9 3 5 3 2 3" xfId="20687"/>
    <cellStyle name="Normal 9 3 5 3 2 3 2" xfId="40365"/>
    <cellStyle name="Normal 9 3 5 3 2 4" xfId="28049"/>
    <cellStyle name="Normal 9 3 5 3 3" xfId="11469"/>
    <cellStyle name="Normal 9 3 5 3 3 2" xfId="31147"/>
    <cellStyle name="Normal 9 3 5 3 4" xfId="17621"/>
    <cellStyle name="Normal 9 3 5 3 4 2" xfId="37299"/>
    <cellStyle name="Normal 9 3 5 3 5" xfId="24983"/>
    <cellStyle name="Normal 9 3 5 4" xfId="6807"/>
    <cellStyle name="Normal 9 3 5 4 2" xfId="13001"/>
    <cellStyle name="Normal 9 3 5 4 2 2" xfId="32679"/>
    <cellStyle name="Normal 9 3 5 4 3" xfId="19153"/>
    <cellStyle name="Normal 9 3 5 4 3 2" xfId="38831"/>
    <cellStyle name="Normal 9 3 5 4 4" xfId="26515"/>
    <cellStyle name="Normal 9 3 5 5" xfId="9935"/>
    <cellStyle name="Normal 9 3 5 5 2" xfId="29613"/>
    <cellStyle name="Normal 9 3 5 6" xfId="16087"/>
    <cellStyle name="Normal 9 3 5 6 2" xfId="35765"/>
    <cellStyle name="Normal 9 3 5 7" xfId="23426"/>
    <cellStyle name="Normal 9 3 6" xfId="4396"/>
    <cellStyle name="Normal 9 3 6 2" xfId="6021"/>
    <cellStyle name="Normal 9 3 6 2 2" xfId="9107"/>
    <cellStyle name="Normal 9 3 6 2 2 2" xfId="15300"/>
    <cellStyle name="Normal 9 3 6 2 2 2 2" xfId="34978"/>
    <cellStyle name="Normal 9 3 6 2 2 3" xfId="21452"/>
    <cellStyle name="Normal 9 3 6 2 2 3 2" xfId="41130"/>
    <cellStyle name="Normal 9 3 6 2 2 4" xfId="28814"/>
    <cellStyle name="Normal 9 3 6 2 3" xfId="12234"/>
    <cellStyle name="Normal 9 3 6 2 3 2" xfId="31912"/>
    <cellStyle name="Normal 9 3 6 2 4" xfId="18386"/>
    <cellStyle name="Normal 9 3 6 2 4 2" xfId="38064"/>
    <cellStyle name="Normal 9 3 6 2 5" xfId="25748"/>
    <cellStyle name="Normal 9 3 6 3" xfId="7572"/>
    <cellStyle name="Normal 9 3 6 3 2" xfId="13766"/>
    <cellStyle name="Normal 9 3 6 3 2 2" xfId="33444"/>
    <cellStyle name="Normal 9 3 6 3 3" xfId="19918"/>
    <cellStyle name="Normal 9 3 6 3 3 2" xfId="39596"/>
    <cellStyle name="Normal 9 3 6 3 4" xfId="27280"/>
    <cellStyle name="Normal 9 3 6 4" xfId="10700"/>
    <cellStyle name="Normal 9 3 6 4 2" xfId="30378"/>
    <cellStyle name="Normal 9 3 6 5" xfId="16852"/>
    <cellStyle name="Normal 9 3 6 5 2" xfId="36530"/>
    <cellStyle name="Normal 9 3 6 6" xfId="24214"/>
    <cellStyle name="Normal 9 3 7" xfId="5238"/>
    <cellStyle name="Normal 9 3 7 2" xfId="8338"/>
    <cellStyle name="Normal 9 3 7 2 2" xfId="14531"/>
    <cellStyle name="Normal 9 3 7 2 2 2" xfId="34209"/>
    <cellStyle name="Normal 9 3 7 2 3" xfId="20683"/>
    <cellStyle name="Normal 9 3 7 2 3 2" xfId="40361"/>
    <cellStyle name="Normal 9 3 7 2 4" xfId="28045"/>
    <cellStyle name="Normal 9 3 7 3" xfId="11465"/>
    <cellStyle name="Normal 9 3 7 3 2" xfId="31143"/>
    <cellStyle name="Normal 9 3 7 4" xfId="17617"/>
    <cellStyle name="Normal 9 3 7 4 2" xfId="37295"/>
    <cellStyle name="Normal 9 3 7 5" xfId="24979"/>
    <cellStyle name="Normal 9 3 8" xfId="6803"/>
    <cellStyle name="Normal 9 3 8 2" xfId="12997"/>
    <cellStyle name="Normal 9 3 8 2 2" xfId="32675"/>
    <cellStyle name="Normal 9 3 8 3" xfId="19149"/>
    <cellStyle name="Normal 9 3 8 3 2" xfId="38827"/>
    <cellStyle name="Normal 9 3 8 4" xfId="26511"/>
    <cellStyle name="Normal 9 3 9" xfId="9931"/>
    <cellStyle name="Normal 9 3 9 2" xfId="29609"/>
    <cellStyle name="Normal 9 30" xfId="42082"/>
    <cellStyle name="Normal 9 4" xfId="133"/>
    <cellStyle name="Normal 9 4 2" xfId="183"/>
    <cellStyle name="Normal 9 4 2 2" xfId="6026"/>
    <cellStyle name="Normal 9 4 2 2 2" xfId="9112"/>
    <cellStyle name="Normal 9 4 2 2 2 2" xfId="15305"/>
    <cellStyle name="Normal 9 4 2 2 2 2 2" xfId="34983"/>
    <cellStyle name="Normal 9 4 2 2 2 3" xfId="21457"/>
    <cellStyle name="Normal 9 4 2 2 2 3 2" xfId="41135"/>
    <cellStyle name="Normal 9 4 2 2 2 4" xfId="28819"/>
    <cellStyle name="Normal 9 4 2 2 3" xfId="12239"/>
    <cellStyle name="Normal 9 4 2 2 3 2" xfId="31917"/>
    <cellStyle name="Normal 9 4 2 2 4" xfId="18391"/>
    <cellStyle name="Normal 9 4 2 2 4 2" xfId="38069"/>
    <cellStyle name="Normal 9 4 2 2 5" xfId="25753"/>
    <cellStyle name="Normal 9 4 2 3" xfId="7577"/>
    <cellStyle name="Normal 9 4 2 3 2" xfId="13771"/>
    <cellStyle name="Normal 9 4 2 3 2 2" xfId="33449"/>
    <cellStyle name="Normal 9 4 2 3 3" xfId="19923"/>
    <cellStyle name="Normal 9 4 2 3 3 2" xfId="39601"/>
    <cellStyle name="Normal 9 4 2 3 4" xfId="27285"/>
    <cellStyle name="Normal 9 4 2 4" xfId="10705"/>
    <cellStyle name="Normal 9 4 2 4 2" xfId="30383"/>
    <cellStyle name="Normal 9 4 2 5" xfId="16857"/>
    <cellStyle name="Normal 9 4 2 5 2" xfId="36535"/>
    <cellStyle name="Normal 9 4 2 6" xfId="4401"/>
    <cellStyle name="Normal 9 4 2 7" xfId="24219"/>
    <cellStyle name="Normal 9 4 3" xfId="5243"/>
    <cellStyle name="Normal 9 4 3 2" xfId="8343"/>
    <cellStyle name="Normal 9 4 3 2 2" xfId="14536"/>
    <cellStyle name="Normal 9 4 3 2 2 2" xfId="34214"/>
    <cellStyle name="Normal 9 4 3 2 3" xfId="20688"/>
    <cellStyle name="Normal 9 4 3 2 3 2" xfId="40366"/>
    <cellStyle name="Normal 9 4 3 2 4" xfId="28050"/>
    <cellStyle name="Normal 9 4 3 3" xfId="11470"/>
    <cellStyle name="Normal 9 4 3 3 2" xfId="31148"/>
    <cellStyle name="Normal 9 4 3 4" xfId="17622"/>
    <cellStyle name="Normal 9 4 3 4 2" xfId="37300"/>
    <cellStyle name="Normal 9 4 3 5" xfId="24984"/>
    <cellStyle name="Normal 9 4 4" xfId="6808"/>
    <cellStyle name="Normal 9 4 4 2" xfId="13002"/>
    <cellStyle name="Normal 9 4 4 2 2" xfId="32680"/>
    <cellStyle name="Normal 9 4 4 3" xfId="19154"/>
    <cellStyle name="Normal 9 4 4 3 2" xfId="38832"/>
    <cellStyle name="Normal 9 4 4 4" xfId="26516"/>
    <cellStyle name="Normal 9 4 5" xfId="9936"/>
    <cellStyle name="Normal 9 4 5 2" xfId="29614"/>
    <cellStyle name="Normal 9 4 6" xfId="16088"/>
    <cellStyle name="Normal 9 4 6 2" xfId="35766"/>
    <cellStyle name="Normal 9 4 7" xfId="3230"/>
    <cellStyle name="Normal 9 4 7 2" xfId="23427"/>
    <cellStyle name="Normal 9 4 8" xfId="42042"/>
    <cellStyle name="Normal 9 4 9" xfId="21719"/>
    <cellStyle name="Normal 9 5" xfId="157"/>
    <cellStyle name="Normal 9 5 2" xfId="4402"/>
    <cellStyle name="Normal 9 5 2 2" xfId="6027"/>
    <cellStyle name="Normal 9 5 2 2 2" xfId="9113"/>
    <cellStyle name="Normal 9 5 2 2 2 2" xfId="15306"/>
    <cellStyle name="Normal 9 5 2 2 2 2 2" xfId="34984"/>
    <cellStyle name="Normal 9 5 2 2 2 3" xfId="21458"/>
    <cellStyle name="Normal 9 5 2 2 2 3 2" xfId="41136"/>
    <cellStyle name="Normal 9 5 2 2 2 4" xfId="28820"/>
    <cellStyle name="Normal 9 5 2 2 3" xfId="12240"/>
    <cellStyle name="Normal 9 5 2 2 3 2" xfId="31918"/>
    <cellStyle name="Normal 9 5 2 2 4" xfId="18392"/>
    <cellStyle name="Normal 9 5 2 2 4 2" xfId="38070"/>
    <cellStyle name="Normal 9 5 2 2 5" xfId="25754"/>
    <cellStyle name="Normal 9 5 2 3" xfId="7578"/>
    <cellStyle name="Normal 9 5 2 3 2" xfId="13772"/>
    <cellStyle name="Normal 9 5 2 3 2 2" xfId="33450"/>
    <cellStyle name="Normal 9 5 2 3 3" xfId="19924"/>
    <cellStyle name="Normal 9 5 2 3 3 2" xfId="39602"/>
    <cellStyle name="Normal 9 5 2 3 4" xfId="27286"/>
    <cellStyle name="Normal 9 5 2 4" xfId="10706"/>
    <cellStyle name="Normal 9 5 2 4 2" xfId="30384"/>
    <cellStyle name="Normal 9 5 2 5" xfId="16858"/>
    <cellStyle name="Normal 9 5 2 5 2" xfId="36536"/>
    <cellStyle name="Normal 9 5 2 6" xfId="24220"/>
    <cellStyle name="Normal 9 5 3" xfId="5244"/>
    <cellStyle name="Normal 9 5 3 2" xfId="8344"/>
    <cellStyle name="Normal 9 5 3 2 2" xfId="14537"/>
    <cellStyle name="Normal 9 5 3 2 2 2" xfId="34215"/>
    <cellStyle name="Normal 9 5 3 2 3" xfId="20689"/>
    <cellStyle name="Normal 9 5 3 2 3 2" xfId="40367"/>
    <cellStyle name="Normal 9 5 3 2 4" xfId="28051"/>
    <cellStyle name="Normal 9 5 3 3" xfId="11471"/>
    <cellStyle name="Normal 9 5 3 3 2" xfId="31149"/>
    <cellStyle name="Normal 9 5 3 4" xfId="17623"/>
    <cellStyle name="Normal 9 5 3 4 2" xfId="37301"/>
    <cellStyle name="Normal 9 5 3 5" xfId="24985"/>
    <cellStyle name="Normal 9 5 4" xfId="6809"/>
    <cellStyle name="Normal 9 5 4 2" xfId="13003"/>
    <cellStyle name="Normal 9 5 4 2 2" xfId="32681"/>
    <cellStyle name="Normal 9 5 4 3" xfId="19155"/>
    <cellStyle name="Normal 9 5 4 3 2" xfId="38833"/>
    <cellStyle name="Normal 9 5 4 4" xfId="26517"/>
    <cellStyle name="Normal 9 5 5" xfId="9937"/>
    <cellStyle name="Normal 9 5 5 2" xfId="29615"/>
    <cellStyle name="Normal 9 5 6" xfId="16089"/>
    <cellStyle name="Normal 9 5 6 2" xfId="35767"/>
    <cellStyle name="Normal 9 5 7" xfId="3231"/>
    <cellStyle name="Normal 9 5 7 2" xfId="42043"/>
    <cellStyle name="Normal 9 5 8" xfId="23428"/>
    <cellStyle name="Normal 9 6" xfId="3232"/>
    <cellStyle name="Normal 9 6 2" xfId="4403"/>
    <cellStyle name="Normal 9 6 2 2" xfId="6028"/>
    <cellStyle name="Normal 9 6 2 2 2" xfId="9114"/>
    <cellStyle name="Normal 9 6 2 2 2 2" xfId="15307"/>
    <cellStyle name="Normal 9 6 2 2 2 2 2" xfId="34985"/>
    <cellStyle name="Normal 9 6 2 2 2 3" xfId="21459"/>
    <cellStyle name="Normal 9 6 2 2 2 3 2" xfId="41137"/>
    <cellStyle name="Normal 9 6 2 2 2 4" xfId="28821"/>
    <cellStyle name="Normal 9 6 2 2 3" xfId="12241"/>
    <cellStyle name="Normal 9 6 2 2 3 2" xfId="31919"/>
    <cellStyle name="Normal 9 6 2 2 4" xfId="18393"/>
    <cellStyle name="Normal 9 6 2 2 4 2" xfId="38071"/>
    <cellStyle name="Normal 9 6 2 2 5" xfId="25755"/>
    <cellStyle name="Normal 9 6 2 3" xfId="7579"/>
    <cellStyle name="Normal 9 6 2 3 2" xfId="13773"/>
    <cellStyle name="Normal 9 6 2 3 2 2" xfId="33451"/>
    <cellStyle name="Normal 9 6 2 3 3" xfId="19925"/>
    <cellStyle name="Normal 9 6 2 3 3 2" xfId="39603"/>
    <cellStyle name="Normal 9 6 2 3 4" xfId="27287"/>
    <cellStyle name="Normal 9 6 2 4" xfId="10707"/>
    <cellStyle name="Normal 9 6 2 4 2" xfId="30385"/>
    <cellStyle name="Normal 9 6 2 5" xfId="16859"/>
    <cellStyle name="Normal 9 6 2 5 2" xfId="36537"/>
    <cellStyle name="Normal 9 6 2 6" xfId="24221"/>
    <cellStyle name="Normal 9 6 3" xfId="5245"/>
    <cellStyle name="Normal 9 6 3 2" xfId="8345"/>
    <cellStyle name="Normal 9 6 3 2 2" xfId="14538"/>
    <cellStyle name="Normal 9 6 3 2 2 2" xfId="34216"/>
    <cellStyle name="Normal 9 6 3 2 3" xfId="20690"/>
    <cellStyle name="Normal 9 6 3 2 3 2" xfId="40368"/>
    <cellStyle name="Normal 9 6 3 2 4" xfId="28052"/>
    <cellStyle name="Normal 9 6 3 3" xfId="11472"/>
    <cellStyle name="Normal 9 6 3 3 2" xfId="31150"/>
    <cellStyle name="Normal 9 6 3 4" xfId="17624"/>
    <cellStyle name="Normal 9 6 3 4 2" xfId="37302"/>
    <cellStyle name="Normal 9 6 3 5" xfId="24986"/>
    <cellStyle name="Normal 9 6 4" xfId="6810"/>
    <cellStyle name="Normal 9 6 4 2" xfId="13004"/>
    <cellStyle name="Normal 9 6 4 2 2" xfId="32682"/>
    <cellStyle name="Normal 9 6 4 3" xfId="19156"/>
    <cellStyle name="Normal 9 6 4 3 2" xfId="38834"/>
    <cellStyle name="Normal 9 6 4 4" xfId="26518"/>
    <cellStyle name="Normal 9 6 5" xfId="9938"/>
    <cellStyle name="Normal 9 6 5 2" xfId="29616"/>
    <cellStyle name="Normal 9 6 6" xfId="16090"/>
    <cellStyle name="Normal 9 6 6 2" xfId="35768"/>
    <cellStyle name="Normal 9 6 7" xfId="23429"/>
    <cellStyle name="Normal 9 7" xfId="3233"/>
    <cellStyle name="Normal 9 7 2" xfId="4404"/>
    <cellStyle name="Normal 9 7 2 2" xfId="6029"/>
    <cellStyle name="Normal 9 7 2 2 2" xfId="9115"/>
    <cellStyle name="Normal 9 7 2 2 2 2" xfId="15308"/>
    <cellStyle name="Normal 9 7 2 2 2 2 2" xfId="34986"/>
    <cellStyle name="Normal 9 7 2 2 2 3" xfId="21460"/>
    <cellStyle name="Normal 9 7 2 2 2 3 2" xfId="41138"/>
    <cellStyle name="Normal 9 7 2 2 2 4" xfId="28822"/>
    <cellStyle name="Normal 9 7 2 2 3" xfId="12242"/>
    <cellStyle name="Normal 9 7 2 2 3 2" xfId="31920"/>
    <cellStyle name="Normal 9 7 2 2 4" xfId="18394"/>
    <cellStyle name="Normal 9 7 2 2 4 2" xfId="38072"/>
    <cellStyle name="Normal 9 7 2 2 5" xfId="25756"/>
    <cellStyle name="Normal 9 7 2 3" xfId="7580"/>
    <cellStyle name="Normal 9 7 2 3 2" xfId="13774"/>
    <cellStyle name="Normal 9 7 2 3 2 2" xfId="33452"/>
    <cellStyle name="Normal 9 7 2 3 3" xfId="19926"/>
    <cellStyle name="Normal 9 7 2 3 3 2" xfId="39604"/>
    <cellStyle name="Normal 9 7 2 3 4" xfId="27288"/>
    <cellStyle name="Normal 9 7 2 4" xfId="10708"/>
    <cellStyle name="Normal 9 7 2 4 2" xfId="30386"/>
    <cellStyle name="Normal 9 7 2 5" xfId="16860"/>
    <cellStyle name="Normal 9 7 2 5 2" xfId="36538"/>
    <cellStyle name="Normal 9 7 2 6" xfId="24222"/>
    <cellStyle name="Normal 9 7 3" xfId="5246"/>
    <cellStyle name="Normal 9 7 3 2" xfId="8346"/>
    <cellStyle name="Normal 9 7 3 2 2" xfId="14539"/>
    <cellStyle name="Normal 9 7 3 2 2 2" xfId="34217"/>
    <cellStyle name="Normal 9 7 3 2 3" xfId="20691"/>
    <cellStyle name="Normal 9 7 3 2 3 2" xfId="40369"/>
    <cellStyle name="Normal 9 7 3 2 4" xfId="28053"/>
    <cellStyle name="Normal 9 7 3 3" xfId="11473"/>
    <cellStyle name="Normal 9 7 3 3 2" xfId="31151"/>
    <cellStyle name="Normal 9 7 3 4" xfId="17625"/>
    <cellStyle name="Normal 9 7 3 4 2" xfId="37303"/>
    <cellStyle name="Normal 9 7 3 5" xfId="24987"/>
    <cellStyle name="Normal 9 7 4" xfId="6811"/>
    <cellStyle name="Normal 9 7 4 2" xfId="13005"/>
    <cellStyle name="Normal 9 7 4 2 2" xfId="32683"/>
    <cellStyle name="Normal 9 7 4 3" xfId="19157"/>
    <cellStyle name="Normal 9 7 4 3 2" xfId="38835"/>
    <cellStyle name="Normal 9 7 4 4" xfId="26519"/>
    <cellStyle name="Normal 9 7 5" xfId="9939"/>
    <cellStyle name="Normal 9 7 5 2" xfId="29617"/>
    <cellStyle name="Normal 9 7 6" xfId="16091"/>
    <cellStyle name="Normal 9 7 6 2" xfId="35769"/>
    <cellStyle name="Normal 9 7 7" xfId="23430"/>
    <cellStyle name="Normal 9 8" xfId="3234"/>
    <cellStyle name="Normal 9 8 2" xfId="4405"/>
    <cellStyle name="Normal 9 8 2 2" xfId="6030"/>
    <cellStyle name="Normal 9 8 2 2 2" xfId="9116"/>
    <cellStyle name="Normal 9 8 2 2 2 2" xfId="15309"/>
    <cellStyle name="Normal 9 8 2 2 2 2 2" xfId="34987"/>
    <cellStyle name="Normal 9 8 2 2 2 3" xfId="21461"/>
    <cellStyle name="Normal 9 8 2 2 2 3 2" xfId="41139"/>
    <cellStyle name="Normal 9 8 2 2 2 4" xfId="28823"/>
    <cellStyle name="Normal 9 8 2 2 3" xfId="12243"/>
    <cellStyle name="Normal 9 8 2 2 3 2" xfId="31921"/>
    <cellStyle name="Normal 9 8 2 2 4" xfId="18395"/>
    <cellStyle name="Normal 9 8 2 2 4 2" xfId="38073"/>
    <cellStyle name="Normal 9 8 2 2 5" xfId="25757"/>
    <cellStyle name="Normal 9 8 2 3" xfId="7581"/>
    <cellStyle name="Normal 9 8 2 3 2" xfId="13775"/>
    <cellStyle name="Normal 9 8 2 3 2 2" xfId="33453"/>
    <cellStyle name="Normal 9 8 2 3 3" xfId="19927"/>
    <cellStyle name="Normal 9 8 2 3 3 2" xfId="39605"/>
    <cellStyle name="Normal 9 8 2 3 4" xfId="27289"/>
    <cellStyle name="Normal 9 8 2 4" xfId="10709"/>
    <cellStyle name="Normal 9 8 2 4 2" xfId="30387"/>
    <cellStyle name="Normal 9 8 2 5" xfId="16861"/>
    <cellStyle name="Normal 9 8 2 5 2" xfId="36539"/>
    <cellStyle name="Normal 9 8 2 6" xfId="24223"/>
    <cellStyle name="Normal 9 8 3" xfId="5247"/>
    <cellStyle name="Normal 9 8 3 2" xfId="8347"/>
    <cellStyle name="Normal 9 8 3 2 2" xfId="14540"/>
    <cellStyle name="Normal 9 8 3 2 2 2" xfId="34218"/>
    <cellStyle name="Normal 9 8 3 2 3" xfId="20692"/>
    <cellStyle name="Normal 9 8 3 2 3 2" xfId="40370"/>
    <cellStyle name="Normal 9 8 3 2 4" xfId="28054"/>
    <cellStyle name="Normal 9 8 3 3" xfId="11474"/>
    <cellStyle name="Normal 9 8 3 3 2" xfId="31152"/>
    <cellStyle name="Normal 9 8 3 4" xfId="17626"/>
    <cellStyle name="Normal 9 8 3 4 2" xfId="37304"/>
    <cellStyle name="Normal 9 8 3 5" xfId="24988"/>
    <cellStyle name="Normal 9 8 4" xfId="6812"/>
    <cellStyle name="Normal 9 8 4 2" xfId="13006"/>
    <cellStyle name="Normal 9 8 4 2 2" xfId="32684"/>
    <cellStyle name="Normal 9 8 4 3" xfId="19158"/>
    <cellStyle name="Normal 9 8 4 3 2" xfId="38836"/>
    <cellStyle name="Normal 9 8 4 4" xfId="26520"/>
    <cellStyle name="Normal 9 8 5" xfId="9940"/>
    <cellStyle name="Normal 9 8 5 2" xfId="29618"/>
    <cellStyle name="Normal 9 8 6" xfId="16092"/>
    <cellStyle name="Normal 9 8 6 2" xfId="35770"/>
    <cellStyle name="Normal 9 8 7" xfId="23431"/>
    <cellStyle name="Normal 9 9" xfId="3235"/>
    <cellStyle name="Normal 9 9 2" xfId="4406"/>
    <cellStyle name="Normal 9 9 2 2" xfId="6031"/>
    <cellStyle name="Normal 9 9 2 2 2" xfId="9117"/>
    <cellStyle name="Normal 9 9 2 2 2 2" xfId="15310"/>
    <cellStyle name="Normal 9 9 2 2 2 2 2" xfId="34988"/>
    <cellStyle name="Normal 9 9 2 2 2 3" xfId="21462"/>
    <cellStyle name="Normal 9 9 2 2 2 3 2" xfId="41140"/>
    <cellStyle name="Normal 9 9 2 2 2 4" xfId="28824"/>
    <cellStyle name="Normal 9 9 2 2 3" xfId="12244"/>
    <cellStyle name="Normal 9 9 2 2 3 2" xfId="31922"/>
    <cellStyle name="Normal 9 9 2 2 4" xfId="18396"/>
    <cellStyle name="Normal 9 9 2 2 4 2" xfId="38074"/>
    <cellStyle name="Normal 9 9 2 2 5" xfId="25758"/>
    <cellStyle name="Normal 9 9 2 3" xfId="7582"/>
    <cellStyle name="Normal 9 9 2 3 2" xfId="13776"/>
    <cellStyle name="Normal 9 9 2 3 2 2" xfId="33454"/>
    <cellStyle name="Normal 9 9 2 3 3" xfId="19928"/>
    <cellStyle name="Normal 9 9 2 3 3 2" xfId="39606"/>
    <cellStyle name="Normal 9 9 2 3 4" xfId="27290"/>
    <cellStyle name="Normal 9 9 2 4" xfId="10710"/>
    <cellStyle name="Normal 9 9 2 4 2" xfId="30388"/>
    <cellStyle name="Normal 9 9 2 5" xfId="16862"/>
    <cellStyle name="Normal 9 9 2 5 2" xfId="36540"/>
    <cellStyle name="Normal 9 9 2 6" xfId="24224"/>
    <cellStyle name="Normal 9 9 3" xfId="5248"/>
    <cellStyle name="Normal 9 9 3 2" xfId="8348"/>
    <cellStyle name="Normal 9 9 3 2 2" xfId="14541"/>
    <cellStyle name="Normal 9 9 3 2 2 2" xfId="34219"/>
    <cellStyle name="Normal 9 9 3 2 3" xfId="20693"/>
    <cellStyle name="Normal 9 9 3 2 3 2" xfId="40371"/>
    <cellStyle name="Normal 9 9 3 2 4" xfId="28055"/>
    <cellStyle name="Normal 9 9 3 3" xfId="11475"/>
    <cellStyle name="Normal 9 9 3 3 2" xfId="31153"/>
    <cellStyle name="Normal 9 9 3 4" xfId="17627"/>
    <cellStyle name="Normal 9 9 3 4 2" xfId="37305"/>
    <cellStyle name="Normal 9 9 3 5" xfId="24989"/>
    <cellStyle name="Normal 9 9 4" xfId="6813"/>
    <cellStyle name="Normal 9 9 4 2" xfId="13007"/>
    <cellStyle name="Normal 9 9 4 2 2" xfId="32685"/>
    <cellStyle name="Normal 9 9 4 3" xfId="19159"/>
    <cellStyle name="Normal 9 9 4 3 2" xfId="38837"/>
    <cellStyle name="Normal 9 9 4 4" xfId="26521"/>
    <cellStyle name="Normal 9 9 5" xfId="9941"/>
    <cellStyle name="Normal 9 9 5 2" xfId="29619"/>
    <cellStyle name="Normal 9 9 6" xfId="16093"/>
    <cellStyle name="Normal 9 9 6 2" xfId="35771"/>
    <cellStyle name="Normal 9 9 7" xfId="23432"/>
    <cellStyle name="Normal_WAElec6_97" xfId="1"/>
    <cellStyle name="Normal_WAGas6_97" xfId="2"/>
    <cellStyle name="Normal_WAGas6_97 2" xfId="20"/>
    <cellStyle name="Note 2" xfId="3236"/>
    <cellStyle name="Note 2 10" xfId="22262"/>
    <cellStyle name="Note 2 10 2" xfId="22593"/>
    <cellStyle name="Note 2 10 3" xfId="41452"/>
    <cellStyle name="Note 2 10 4" xfId="41777"/>
    <cellStyle name="Note 2 11" xfId="22288"/>
    <cellStyle name="Note 2 11 2" xfId="22609"/>
    <cellStyle name="Note 2 11 3" xfId="41469"/>
    <cellStyle name="Note 2 11 4" xfId="41793"/>
    <cellStyle name="Note 2 12" xfId="22312"/>
    <cellStyle name="Note 2 12 2" xfId="22625"/>
    <cellStyle name="Note 2 12 3" xfId="41377"/>
    <cellStyle name="Note 2 12 4" xfId="41809"/>
    <cellStyle name="Note 2 13" xfId="22335"/>
    <cellStyle name="Note 2 13 2" xfId="22641"/>
    <cellStyle name="Note 2 13 3" xfId="41435"/>
    <cellStyle name="Note 2 13 4" xfId="41825"/>
    <cellStyle name="Note 2 14" xfId="22351"/>
    <cellStyle name="Note 2 14 2" xfId="22657"/>
    <cellStyle name="Note 2 14 3" xfId="41336"/>
    <cellStyle name="Note 2 14 4" xfId="41841"/>
    <cellStyle name="Note 2 15" xfId="22367"/>
    <cellStyle name="Note 2 15 2" xfId="22673"/>
    <cellStyle name="Note 2 15 3" xfId="41541"/>
    <cellStyle name="Note 2 15 4" xfId="41857"/>
    <cellStyle name="Note 2 16" xfId="22413"/>
    <cellStyle name="Note 2 17" xfId="23433"/>
    <cellStyle name="Note 2 18" xfId="41597"/>
    <cellStyle name="Note 2 19" xfId="21847"/>
    <cellStyle name="Note 2 2" xfId="4407"/>
    <cellStyle name="Note 2 2 2" xfId="6032"/>
    <cellStyle name="Note 2 2 2 2" xfId="9118"/>
    <cellStyle name="Note 2 2 2 2 2" xfId="15311"/>
    <cellStyle name="Note 2 2 2 2 2 2" xfId="34989"/>
    <cellStyle name="Note 2 2 2 2 3" xfId="21463"/>
    <cellStyle name="Note 2 2 2 2 3 2" xfId="41141"/>
    <cellStyle name="Note 2 2 2 2 4" xfId="28825"/>
    <cellStyle name="Note 2 2 2 3" xfId="12245"/>
    <cellStyle name="Note 2 2 2 3 2" xfId="31923"/>
    <cellStyle name="Note 2 2 2 4" xfId="18397"/>
    <cellStyle name="Note 2 2 2 4 2" xfId="38075"/>
    <cellStyle name="Note 2 2 2 5" xfId="25759"/>
    <cellStyle name="Note 2 2 2 6" xfId="22465"/>
    <cellStyle name="Note 2 2 3" xfId="7583"/>
    <cellStyle name="Note 2 2 3 2" xfId="13777"/>
    <cellStyle name="Note 2 2 3 2 2" xfId="33455"/>
    <cellStyle name="Note 2 2 3 3" xfId="19929"/>
    <cellStyle name="Note 2 2 3 3 2" xfId="39607"/>
    <cellStyle name="Note 2 2 3 4" xfId="27291"/>
    <cellStyle name="Note 2 2 4" xfId="10711"/>
    <cellStyle name="Note 2 2 4 2" xfId="30389"/>
    <cellStyle name="Note 2 2 5" xfId="16863"/>
    <cellStyle name="Note 2 2 5 2" xfId="36541"/>
    <cellStyle name="Note 2 2 6" xfId="24225"/>
    <cellStyle name="Note 2 2 7" xfId="41649"/>
    <cellStyle name="Note 2 2 8" xfId="22039"/>
    <cellStyle name="Note 2 3" xfId="5249"/>
    <cellStyle name="Note 2 3 2" xfId="8349"/>
    <cellStyle name="Note 2 3 2 2" xfId="14542"/>
    <cellStyle name="Note 2 3 2 2 2" xfId="34220"/>
    <cellStyle name="Note 2 3 2 3" xfId="20694"/>
    <cellStyle name="Note 2 3 2 3 2" xfId="40372"/>
    <cellStyle name="Note 2 3 2 4" xfId="28056"/>
    <cellStyle name="Note 2 3 2 5" xfId="22481"/>
    <cellStyle name="Note 2 3 3" xfId="11476"/>
    <cellStyle name="Note 2 3 3 2" xfId="31154"/>
    <cellStyle name="Note 2 3 4" xfId="17628"/>
    <cellStyle name="Note 2 3 4 2" xfId="37306"/>
    <cellStyle name="Note 2 3 5" xfId="24990"/>
    <cellStyle name="Note 2 3 6" xfId="41665"/>
    <cellStyle name="Note 2 3 7" xfId="22069"/>
    <cellStyle name="Note 2 4" xfId="6814"/>
    <cellStyle name="Note 2 4 2" xfId="13008"/>
    <cellStyle name="Note 2 4 2 2" xfId="32686"/>
    <cellStyle name="Note 2 4 2 3" xfId="22497"/>
    <cellStyle name="Note 2 4 3" xfId="19160"/>
    <cellStyle name="Note 2 4 3 2" xfId="38838"/>
    <cellStyle name="Note 2 4 4" xfId="26522"/>
    <cellStyle name="Note 2 4 5" xfId="41681"/>
    <cellStyle name="Note 2 4 6" xfId="22096"/>
    <cellStyle name="Note 2 5" xfId="9942"/>
    <cellStyle name="Note 2 5 2" xfId="22513"/>
    <cellStyle name="Note 2 5 3" xfId="29620"/>
    <cellStyle name="Note 2 5 4" xfId="41697"/>
    <cellStyle name="Note 2 5 5" xfId="22122"/>
    <cellStyle name="Note 2 6" xfId="16094"/>
    <cellStyle name="Note 2 6 2" xfId="22529"/>
    <cellStyle name="Note 2 6 3" xfId="35772"/>
    <cellStyle name="Note 2 6 4" xfId="41713"/>
    <cellStyle name="Note 2 6 5" xfId="22147"/>
    <cellStyle name="Note 2 7" xfId="22169"/>
    <cellStyle name="Note 2 7 2" xfId="22545"/>
    <cellStyle name="Note 2 7 3" xfId="41354"/>
    <cellStyle name="Note 2 7 4" xfId="41729"/>
    <cellStyle name="Note 2 8" xfId="22194"/>
    <cellStyle name="Note 2 8 2" xfId="22561"/>
    <cellStyle name="Note 2 8 3" xfId="41476"/>
    <cellStyle name="Note 2 8 4" xfId="41745"/>
    <cellStyle name="Note 2 9" xfId="22234"/>
    <cellStyle name="Note 2 9 2" xfId="22577"/>
    <cellStyle name="Note 2 9 3" xfId="41379"/>
    <cellStyle name="Note 2 9 4" xfId="41761"/>
    <cellStyle name="Note 3" xfId="3237"/>
    <cellStyle name="Note 3 2" xfId="4408"/>
    <cellStyle name="Note 3 2 2" xfId="6033"/>
    <cellStyle name="Note 3 2 2 2" xfId="9119"/>
    <cellStyle name="Note 3 2 2 2 2" xfId="15312"/>
    <cellStyle name="Note 3 2 2 2 2 2" xfId="34990"/>
    <cellStyle name="Note 3 2 2 2 3" xfId="21464"/>
    <cellStyle name="Note 3 2 2 2 3 2" xfId="41142"/>
    <cellStyle name="Note 3 2 2 2 4" xfId="28826"/>
    <cellStyle name="Note 3 2 2 3" xfId="12246"/>
    <cellStyle name="Note 3 2 2 3 2" xfId="31924"/>
    <cellStyle name="Note 3 2 2 4" xfId="18398"/>
    <cellStyle name="Note 3 2 2 4 2" xfId="38076"/>
    <cellStyle name="Note 3 2 2 5" xfId="25760"/>
    <cellStyle name="Note 3 2 3" xfId="7584"/>
    <cellStyle name="Note 3 2 3 2" xfId="13778"/>
    <cellStyle name="Note 3 2 3 2 2" xfId="33456"/>
    <cellStyle name="Note 3 2 3 3" xfId="19930"/>
    <cellStyle name="Note 3 2 3 3 2" xfId="39608"/>
    <cellStyle name="Note 3 2 3 4" xfId="27292"/>
    <cellStyle name="Note 3 2 4" xfId="10712"/>
    <cellStyle name="Note 3 2 4 2" xfId="30390"/>
    <cellStyle name="Note 3 2 5" xfId="16864"/>
    <cellStyle name="Note 3 2 5 2" xfId="36542"/>
    <cellStyle name="Note 3 2 6" xfId="24226"/>
    <cellStyle name="Note 3 3" xfId="5250"/>
    <cellStyle name="Note 3 3 2" xfId="8350"/>
    <cellStyle name="Note 3 3 2 2" xfId="14543"/>
    <cellStyle name="Note 3 3 2 2 2" xfId="34221"/>
    <cellStyle name="Note 3 3 2 3" xfId="20695"/>
    <cellStyle name="Note 3 3 2 3 2" xfId="40373"/>
    <cellStyle name="Note 3 3 2 4" xfId="28057"/>
    <cellStyle name="Note 3 3 3" xfId="11477"/>
    <cellStyle name="Note 3 3 3 2" xfId="31155"/>
    <cellStyle name="Note 3 3 4" xfId="17629"/>
    <cellStyle name="Note 3 3 4 2" xfId="37307"/>
    <cellStyle name="Note 3 3 5" xfId="24991"/>
    <cellStyle name="Note 3 4" xfId="6815"/>
    <cellStyle name="Note 3 4 2" xfId="13009"/>
    <cellStyle name="Note 3 4 2 2" xfId="32687"/>
    <cellStyle name="Note 3 4 3" xfId="19161"/>
    <cellStyle name="Note 3 4 3 2" xfId="38839"/>
    <cellStyle name="Note 3 4 4" xfId="26523"/>
    <cellStyle name="Note 3 5" xfId="9943"/>
    <cellStyle name="Note 3 5 2" xfId="29621"/>
    <cellStyle name="Note 3 6" xfId="16095"/>
    <cellStyle name="Note 3 6 2" xfId="35773"/>
    <cellStyle name="Note 3 7" xfId="23434"/>
    <cellStyle name="Note 4" xfId="3238"/>
    <cellStyle name="Note 4 2" xfId="4409"/>
    <cellStyle name="Note 4 2 2" xfId="6034"/>
    <cellStyle name="Note 4 2 2 2" xfId="9120"/>
    <cellStyle name="Note 4 2 2 2 2" xfId="15313"/>
    <cellStyle name="Note 4 2 2 2 2 2" xfId="34991"/>
    <cellStyle name="Note 4 2 2 2 3" xfId="21465"/>
    <cellStyle name="Note 4 2 2 2 3 2" xfId="41143"/>
    <cellStyle name="Note 4 2 2 2 4" xfId="28827"/>
    <cellStyle name="Note 4 2 2 3" xfId="12247"/>
    <cellStyle name="Note 4 2 2 3 2" xfId="31925"/>
    <cellStyle name="Note 4 2 2 4" xfId="18399"/>
    <cellStyle name="Note 4 2 2 4 2" xfId="38077"/>
    <cellStyle name="Note 4 2 2 5" xfId="25761"/>
    <cellStyle name="Note 4 2 3" xfId="7585"/>
    <cellStyle name="Note 4 2 3 2" xfId="13779"/>
    <cellStyle name="Note 4 2 3 2 2" xfId="33457"/>
    <cellStyle name="Note 4 2 3 3" xfId="19931"/>
    <cellStyle name="Note 4 2 3 3 2" xfId="39609"/>
    <cellStyle name="Note 4 2 3 4" xfId="27293"/>
    <cellStyle name="Note 4 2 4" xfId="10713"/>
    <cellStyle name="Note 4 2 4 2" xfId="30391"/>
    <cellStyle name="Note 4 2 5" xfId="16865"/>
    <cellStyle name="Note 4 2 5 2" xfId="36543"/>
    <cellStyle name="Note 4 2 6" xfId="24227"/>
    <cellStyle name="Note 4 3" xfId="5251"/>
    <cellStyle name="Note 4 3 2" xfId="8351"/>
    <cellStyle name="Note 4 3 2 2" xfId="14544"/>
    <cellStyle name="Note 4 3 2 2 2" xfId="34222"/>
    <cellStyle name="Note 4 3 2 3" xfId="20696"/>
    <cellStyle name="Note 4 3 2 3 2" xfId="40374"/>
    <cellStyle name="Note 4 3 2 4" xfId="28058"/>
    <cellStyle name="Note 4 3 3" xfId="11478"/>
    <cellStyle name="Note 4 3 3 2" xfId="31156"/>
    <cellStyle name="Note 4 3 4" xfId="17630"/>
    <cellStyle name="Note 4 3 4 2" xfId="37308"/>
    <cellStyle name="Note 4 3 5" xfId="24992"/>
    <cellStyle name="Note 4 4" xfId="6816"/>
    <cellStyle name="Note 4 4 2" xfId="13010"/>
    <cellStyle name="Note 4 4 2 2" xfId="32688"/>
    <cellStyle name="Note 4 4 3" xfId="19162"/>
    <cellStyle name="Note 4 4 3 2" xfId="38840"/>
    <cellStyle name="Note 4 4 4" xfId="26524"/>
    <cellStyle name="Note 4 5" xfId="9944"/>
    <cellStyle name="Note 4 5 2" xfId="29622"/>
    <cellStyle name="Note 4 6" xfId="16096"/>
    <cellStyle name="Note 4 6 2" xfId="35774"/>
    <cellStyle name="Note 4 7" xfId="23435"/>
    <cellStyle name="Note 5" xfId="3239"/>
    <cellStyle name="Note 6" xfId="3240"/>
    <cellStyle name="Note 6 2" xfId="4618"/>
    <cellStyle name="Note 6 2 2" xfId="5331"/>
    <cellStyle name="Note 6 3" xfId="4607"/>
    <cellStyle name="Note 6 3 2" xfId="5297"/>
    <cellStyle name="Note 6 4" xfId="4602"/>
    <cellStyle name="Note 6 4 2" xfId="5287"/>
    <cellStyle name="Note 6 5" xfId="4580"/>
    <cellStyle name="Note 6 5 2" xfId="5406"/>
    <cellStyle name="Note 6 6" xfId="4786"/>
    <cellStyle name="Note 7" xfId="3241"/>
    <cellStyle name="Note 7 2" xfId="4410"/>
    <cellStyle name="Note 7 2 2" xfId="6035"/>
    <cellStyle name="Note 7 2 2 2" xfId="9121"/>
    <cellStyle name="Note 7 2 2 2 2" xfId="15314"/>
    <cellStyle name="Note 7 2 2 2 2 2" xfId="34992"/>
    <cellStyle name="Note 7 2 2 2 3" xfId="21466"/>
    <cellStyle name="Note 7 2 2 2 3 2" xfId="41144"/>
    <cellStyle name="Note 7 2 2 2 4" xfId="28828"/>
    <cellStyle name="Note 7 2 2 3" xfId="12248"/>
    <cellStyle name="Note 7 2 2 3 2" xfId="31926"/>
    <cellStyle name="Note 7 2 2 4" xfId="18400"/>
    <cellStyle name="Note 7 2 2 4 2" xfId="38078"/>
    <cellStyle name="Note 7 2 2 5" xfId="25762"/>
    <cellStyle name="Note 7 2 3" xfId="7586"/>
    <cellStyle name="Note 7 2 3 2" xfId="13780"/>
    <cellStyle name="Note 7 2 3 2 2" xfId="33458"/>
    <cellStyle name="Note 7 2 3 3" xfId="19932"/>
    <cellStyle name="Note 7 2 3 3 2" xfId="39610"/>
    <cellStyle name="Note 7 2 3 4" xfId="27294"/>
    <cellStyle name="Note 7 2 4" xfId="10714"/>
    <cellStyle name="Note 7 2 4 2" xfId="30392"/>
    <cellStyle name="Note 7 2 5" xfId="16866"/>
    <cellStyle name="Note 7 2 5 2" xfId="36544"/>
    <cellStyle name="Note 7 2 6" xfId="24228"/>
    <cellStyle name="Note 7 3" xfId="5252"/>
    <cellStyle name="Note 7 3 2" xfId="8352"/>
    <cellStyle name="Note 7 3 2 2" xfId="14545"/>
    <cellStyle name="Note 7 3 2 2 2" xfId="34223"/>
    <cellStyle name="Note 7 3 2 3" xfId="20697"/>
    <cellStyle name="Note 7 3 2 3 2" xfId="40375"/>
    <cellStyle name="Note 7 3 2 4" xfId="28059"/>
    <cellStyle name="Note 7 3 3" xfId="11479"/>
    <cellStyle name="Note 7 3 3 2" xfId="31157"/>
    <cellStyle name="Note 7 3 4" xfId="17631"/>
    <cellStyle name="Note 7 3 4 2" xfId="37309"/>
    <cellStyle name="Note 7 3 5" xfId="24993"/>
    <cellStyle name="Note 7 4" xfId="6817"/>
    <cellStyle name="Note 7 4 2" xfId="13011"/>
    <cellStyle name="Note 7 4 2 2" xfId="32689"/>
    <cellStyle name="Note 7 4 3" xfId="19163"/>
    <cellStyle name="Note 7 4 3 2" xfId="38841"/>
    <cellStyle name="Note 7 4 4" xfId="26525"/>
    <cellStyle name="Note 7 5" xfId="9945"/>
    <cellStyle name="Note 7 5 2" xfId="29623"/>
    <cellStyle name="Note 7 6" xfId="16097"/>
    <cellStyle name="Note 7 6 2" xfId="35775"/>
    <cellStyle name="Note 7 7" xfId="23436"/>
    <cellStyle name="Output" xfId="21653" builtinId="21" customBuiltin="1"/>
    <cellStyle name="Output 2" xfId="3242"/>
    <cellStyle name="Output 3" xfId="3243"/>
    <cellStyle name="Output 4" xfId="3244"/>
    <cellStyle name="Output 5" xfId="3245"/>
    <cellStyle name="Output 6" xfId="3246"/>
    <cellStyle name="Output 6 2" xfId="4619"/>
    <cellStyle name="Output 6 2 2" xfId="6194"/>
    <cellStyle name="Output 6 3" xfId="4608"/>
    <cellStyle name="Output 6 3 2" xfId="6197"/>
    <cellStyle name="Output 6 4" xfId="4571"/>
    <cellStyle name="Output 6 4 2" xfId="6201"/>
    <cellStyle name="Output 6 5" xfId="4622"/>
    <cellStyle name="Output 6 5 2" xfId="6193"/>
    <cellStyle name="Output 6 6" xfId="4787"/>
    <cellStyle name="Output Amounts" xfId="300"/>
    <cellStyle name="OUTPUT AMOUNTS 2" xfId="42044"/>
    <cellStyle name="Output Column Headings" xfId="228"/>
    <cellStyle name="Output highlight" xfId="3247"/>
    <cellStyle name="Output highlight 2" xfId="3248"/>
    <cellStyle name="Output Line Items" xfId="229"/>
    <cellStyle name="OUTPUT LINE ITEMS 2" xfId="42045"/>
    <cellStyle name="Output Report Heading" xfId="227"/>
    <cellStyle name="Output Report Title" xfId="226"/>
    <cellStyle name="Percent" xfId="16" builtinId="5"/>
    <cellStyle name="Percent %" xfId="3249"/>
    <cellStyle name="Percent % Long Underline" xfId="3250"/>
    <cellStyle name="Percent 0.0%" xfId="3251"/>
    <cellStyle name="Percent 0.0% Long Underline" xfId="3252"/>
    <cellStyle name="Percent 0.00%" xfId="3253"/>
    <cellStyle name="Percent 0.00% Long Underline" xfId="3254"/>
    <cellStyle name="Percent 0.000%" xfId="3255"/>
    <cellStyle name="Percent 0.000% Long Underline" xfId="3256"/>
    <cellStyle name="Percent 0.0000%" xfId="3257"/>
    <cellStyle name="Percent 0.0000% Long Underline" xfId="3258"/>
    <cellStyle name="Percent 10" xfId="3259"/>
    <cellStyle name="Percent 10 2" xfId="3260"/>
    <cellStyle name="Percent 10 2 2" xfId="3261"/>
    <cellStyle name="Percent 10 2 3" xfId="3262"/>
    <cellStyle name="Percent 10 3" xfId="9330"/>
    <cellStyle name="Percent 100" xfId="3263"/>
    <cellStyle name="Percent 101" xfId="3264"/>
    <cellStyle name="Percent 102" xfId="3265"/>
    <cellStyle name="Percent 103" xfId="3266"/>
    <cellStyle name="Percent 104" xfId="3267"/>
    <cellStyle name="Percent 105" xfId="3268"/>
    <cellStyle name="Percent 106" xfId="3269"/>
    <cellStyle name="Percent 107" xfId="3270"/>
    <cellStyle name="Percent 108" xfId="3271"/>
    <cellStyle name="Percent 109" xfId="3272"/>
    <cellStyle name="Percent 11" xfId="3273"/>
    <cellStyle name="Percent 11 2" xfId="3274"/>
    <cellStyle name="Percent 11 2 2" xfId="3275"/>
    <cellStyle name="Percent 11 2 3" xfId="3276"/>
    <cellStyle name="Percent 110" xfId="3277"/>
    <cellStyle name="Percent 111" xfId="3278"/>
    <cellStyle name="Percent 112" xfId="3279"/>
    <cellStyle name="Percent 113" xfId="3280"/>
    <cellStyle name="Percent 114" xfId="3281"/>
    <cellStyle name="Percent 115" xfId="3282"/>
    <cellStyle name="Percent 116" xfId="3283"/>
    <cellStyle name="Percent 117" xfId="3284"/>
    <cellStyle name="Percent 118" xfId="3285"/>
    <cellStyle name="Percent 119" xfId="3286"/>
    <cellStyle name="Percent 12" xfId="3287"/>
    <cellStyle name="Percent 12 2" xfId="3288"/>
    <cellStyle name="Percent 12 2 2" xfId="3289"/>
    <cellStyle name="Percent 12 2 3" xfId="3290"/>
    <cellStyle name="Percent 120" xfId="3291"/>
    <cellStyle name="Percent 120 2" xfId="4411"/>
    <cellStyle name="Percent 120 2 2" xfId="6036"/>
    <cellStyle name="Percent 120 2 2 2" xfId="9122"/>
    <cellStyle name="Percent 120 2 2 2 2" xfId="15315"/>
    <cellStyle name="Percent 120 2 2 2 2 2" xfId="34993"/>
    <cellStyle name="Percent 120 2 2 2 3" xfId="21467"/>
    <cellStyle name="Percent 120 2 2 2 3 2" xfId="41145"/>
    <cellStyle name="Percent 120 2 2 2 4" xfId="28829"/>
    <cellStyle name="Percent 120 2 2 3" xfId="12249"/>
    <cellStyle name="Percent 120 2 2 3 2" xfId="31927"/>
    <cellStyle name="Percent 120 2 2 4" xfId="18401"/>
    <cellStyle name="Percent 120 2 2 4 2" xfId="38079"/>
    <cellStyle name="Percent 120 2 2 5" xfId="25763"/>
    <cellStyle name="Percent 120 2 3" xfId="7587"/>
    <cellStyle name="Percent 120 2 3 2" xfId="13781"/>
    <cellStyle name="Percent 120 2 3 2 2" xfId="33459"/>
    <cellStyle name="Percent 120 2 3 3" xfId="19933"/>
    <cellStyle name="Percent 120 2 3 3 2" xfId="39611"/>
    <cellStyle name="Percent 120 2 3 4" xfId="27295"/>
    <cellStyle name="Percent 120 2 4" xfId="10715"/>
    <cellStyle name="Percent 120 2 4 2" xfId="30393"/>
    <cellStyle name="Percent 120 2 5" xfId="16867"/>
    <cellStyle name="Percent 120 2 5 2" xfId="36545"/>
    <cellStyle name="Percent 120 2 6" xfId="24229"/>
    <cellStyle name="Percent 120 3" xfId="5253"/>
    <cellStyle name="Percent 120 3 2" xfId="8353"/>
    <cellStyle name="Percent 120 3 2 2" xfId="14546"/>
    <cellStyle name="Percent 120 3 2 2 2" xfId="34224"/>
    <cellStyle name="Percent 120 3 2 3" xfId="20698"/>
    <cellStyle name="Percent 120 3 2 3 2" xfId="40376"/>
    <cellStyle name="Percent 120 3 2 4" xfId="28060"/>
    <cellStyle name="Percent 120 3 3" xfId="11480"/>
    <cellStyle name="Percent 120 3 3 2" xfId="31158"/>
    <cellStyle name="Percent 120 3 4" xfId="17632"/>
    <cellStyle name="Percent 120 3 4 2" xfId="37310"/>
    <cellStyle name="Percent 120 3 5" xfId="24994"/>
    <cellStyle name="Percent 120 4" xfId="6818"/>
    <cellStyle name="Percent 120 4 2" xfId="13012"/>
    <cellStyle name="Percent 120 4 2 2" xfId="32690"/>
    <cellStyle name="Percent 120 4 3" xfId="19164"/>
    <cellStyle name="Percent 120 4 3 2" xfId="38842"/>
    <cellStyle name="Percent 120 4 4" xfId="26526"/>
    <cellStyle name="Percent 120 5" xfId="9946"/>
    <cellStyle name="Percent 120 5 2" xfId="29624"/>
    <cellStyle name="Percent 120 6" xfId="16098"/>
    <cellStyle name="Percent 120 6 2" xfId="35776"/>
    <cellStyle name="Percent 120 7" xfId="23437"/>
    <cellStyle name="Percent 121" xfId="3292"/>
    <cellStyle name="Percent 121 2" xfId="4412"/>
    <cellStyle name="Percent 121 2 2" xfId="6037"/>
    <cellStyle name="Percent 121 2 2 2" xfId="9123"/>
    <cellStyle name="Percent 121 2 2 2 2" xfId="15316"/>
    <cellStyle name="Percent 121 2 2 2 2 2" xfId="34994"/>
    <cellStyle name="Percent 121 2 2 2 3" xfId="21468"/>
    <cellStyle name="Percent 121 2 2 2 3 2" xfId="41146"/>
    <cellStyle name="Percent 121 2 2 2 4" xfId="28830"/>
    <cellStyle name="Percent 121 2 2 3" xfId="12250"/>
    <cellStyle name="Percent 121 2 2 3 2" xfId="31928"/>
    <cellStyle name="Percent 121 2 2 4" xfId="18402"/>
    <cellStyle name="Percent 121 2 2 4 2" xfId="38080"/>
    <cellStyle name="Percent 121 2 2 5" xfId="25764"/>
    <cellStyle name="Percent 121 2 3" xfId="7588"/>
    <cellStyle name="Percent 121 2 3 2" xfId="13782"/>
    <cellStyle name="Percent 121 2 3 2 2" xfId="33460"/>
    <cellStyle name="Percent 121 2 3 3" xfId="19934"/>
    <cellStyle name="Percent 121 2 3 3 2" xfId="39612"/>
    <cellStyle name="Percent 121 2 3 4" xfId="27296"/>
    <cellStyle name="Percent 121 2 4" xfId="10716"/>
    <cellStyle name="Percent 121 2 4 2" xfId="30394"/>
    <cellStyle name="Percent 121 2 5" xfId="16868"/>
    <cellStyle name="Percent 121 2 5 2" xfId="36546"/>
    <cellStyle name="Percent 121 2 6" xfId="24230"/>
    <cellStyle name="Percent 121 3" xfId="5254"/>
    <cellStyle name="Percent 121 3 2" xfId="8354"/>
    <cellStyle name="Percent 121 3 2 2" xfId="14547"/>
    <cellStyle name="Percent 121 3 2 2 2" xfId="34225"/>
    <cellStyle name="Percent 121 3 2 3" xfId="20699"/>
    <cellStyle name="Percent 121 3 2 3 2" xfId="40377"/>
    <cellStyle name="Percent 121 3 2 4" xfId="28061"/>
    <cellStyle name="Percent 121 3 3" xfId="11481"/>
    <cellStyle name="Percent 121 3 3 2" xfId="31159"/>
    <cellStyle name="Percent 121 3 4" xfId="17633"/>
    <cellStyle name="Percent 121 3 4 2" xfId="37311"/>
    <cellStyle name="Percent 121 3 5" xfId="24995"/>
    <cellStyle name="Percent 121 4" xfId="6819"/>
    <cellStyle name="Percent 121 4 2" xfId="13013"/>
    <cellStyle name="Percent 121 4 2 2" xfId="32691"/>
    <cellStyle name="Percent 121 4 3" xfId="19165"/>
    <cellStyle name="Percent 121 4 3 2" xfId="38843"/>
    <cellStyle name="Percent 121 4 4" xfId="26527"/>
    <cellStyle name="Percent 121 5" xfId="9947"/>
    <cellStyle name="Percent 121 5 2" xfId="29625"/>
    <cellStyle name="Percent 121 6" xfId="16099"/>
    <cellStyle name="Percent 121 6 2" xfId="35777"/>
    <cellStyle name="Percent 121 7" xfId="23438"/>
    <cellStyle name="Percent 122" xfId="3293"/>
    <cellStyle name="Percent 122 2" xfId="4413"/>
    <cellStyle name="Percent 122 2 2" xfId="6038"/>
    <cellStyle name="Percent 122 2 2 2" xfId="9124"/>
    <cellStyle name="Percent 122 2 2 2 2" xfId="15317"/>
    <cellStyle name="Percent 122 2 2 2 2 2" xfId="34995"/>
    <cellStyle name="Percent 122 2 2 2 3" xfId="21469"/>
    <cellStyle name="Percent 122 2 2 2 3 2" xfId="41147"/>
    <cellStyle name="Percent 122 2 2 2 4" xfId="28831"/>
    <cellStyle name="Percent 122 2 2 3" xfId="12251"/>
    <cellStyle name="Percent 122 2 2 3 2" xfId="31929"/>
    <cellStyle name="Percent 122 2 2 4" xfId="18403"/>
    <cellStyle name="Percent 122 2 2 4 2" xfId="38081"/>
    <cellStyle name="Percent 122 2 2 5" xfId="25765"/>
    <cellStyle name="Percent 122 2 3" xfId="7589"/>
    <cellStyle name="Percent 122 2 3 2" xfId="13783"/>
    <cellStyle name="Percent 122 2 3 2 2" xfId="33461"/>
    <cellStyle name="Percent 122 2 3 3" xfId="19935"/>
    <cellStyle name="Percent 122 2 3 3 2" xfId="39613"/>
    <cellStyle name="Percent 122 2 3 4" xfId="27297"/>
    <cellStyle name="Percent 122 2 4" xfId="10717"/>
    <cellStyle name="Percent 122 2 4 2" xfId="30395"/>
    <cellStyle name="Percent 122 2 5" xfId="16869"/>
    <cellStyle name="Percent 122 2 5 2" xfId="36547"/>
    <cellStyle name="Percent 122 2 6" xfId="24231"/>
    <cellStyle name="Percent 122 3" xfId="5255"/>
    <cellStyle name="Percent 122 3 2" xfId="8355"/>
    <cellStyle name="Percent 122 3 2 2" xfId="14548"/>
    <cellStyle name="Percent 122 3 2 2 2" xfId="34226"/>
    <cellStyle name="Percent 122 3 2 3" xfId="20700"/>
    <cellStyle name="Percent 122 3 2 3 2" xfId="40378"/>
    <cellStyle name="Percent 122 3 2 4" xfId="28062"/>
    <cellStyle name="Percent 122 3 3" xfId="11482"/>
    <cellStyle name="Percent 122 3 3 2" xfId="31160"/>
    <cellStyle name="Percent 122 3 4" xfId="17634"/>
    <cellStyle name="Percent 122 3 4 2" xfId="37312"/>
    <cellStyle name="Percent 122 3 5" xfId="24996"/>
    <cellStyle name="Percent 122 4" xfId="6820"/>
    <cellStyle name="Percent 122 4 2" xfId="13014"/>
    <cellStyle name="Percent 122 4 2 2" xfId="32692"/>
    <cellStyle name="Percent 122 4 3" xfId="19166"/>
    <cellStyle name="Percent 122 4 3 2" xfId="38844"/>
    <cellStyle name="Percent 122 4 4" xfId="26528"/>
    <cellStyle name="Percent 122 5" xfId="9948"/>
    <cellStyle name="Percent 122 5 2" xfId="29626"/>
    <cellStyle name="Percent 122 6" xfId="16100"/>
    <cellStyle name="Percent 122 6 2" xfId="35778"/>
    <cellStyle name="Percent 122 7" xfId="23439"/>
    <cellStyle name="Percent 123" xfId="3294"/>
    <cellStyle name="Percent 123 2" xfId="4414"/>
    <cellStyle name="Percent 123 2 2" xfId="6039"/>
    <cellStyle name="Percent 123 2 2 2" xfId="9125"/>
    <cellStyle name="Percent 123 2 2 2 2" xfId="15318"/>
    <cellStyle name="Percent 123 2 2 2 2 2" xfId="34996"/>
    <cellStyle name="Percent 123 2 2 2 3" xfId="21470"/>
    <cellStyle name="Percent 123 2 2 2 3 2" xfId="41148"/>
    <cellStyle name="Percent 123 2 2 2 4" xfId="28832"/>
    <cellStyle name="Percent 123 2 2 3" xfId="12252"/>
    <cellStyle name="Percent 123 2 2 3 2" xfId="31930"/>
    <cellStyle name="Percent 123 2 2 4" xfId="18404"/>
    <cellStyle name="Percent 123 2 2 4 2" xfId="38082"/>
    <cellStyle name="Percent 123 2 2 5" xfId="25766"/>
    <cellStyle name="Percent 123 2 3" xfId="7590"/>
    <cellStyle name="Percent 123 2 3 2" xfId="13784"/>
    <cellStyle name="Percent 123 2 3 2 2" xfId="33462"/>
    <cellStyle name="Percent 123 2 3 3" xfId="19936"/>
    <cellStyle name="Percent 123 2 3 3 2" xfId="39614"/>
    <cellStyle name="Percent 123 2 3 4" xfId="27298"/>
    <cellStyle name="Percent 123 2 4" xfId="10718"/>
    <cellStyle name="Percent 123 2 4 2" xfId="30396"/>
    <cellStyle name="Percent 123 2 5" xfId="16870"/>
    <cellStyle name="Percent 123 2 5 2" xfId="36548"/>
    <cellStyle name="Percent 123 2 6" xfId="24232"/>
    <cellStyle name="Percent 123 3" xfId="5256"/>
    <cellStyle name="Percent 123 3 2" xfId="8356"/>
    <cellStyle name="Percent 123 3 2 2" xfId="14549"/>
    <cellStyle name="Percent 123 3 2 2 2" xfId="34227"/>
    <cellStyle name="Percent 123 3 2 3" xfId="20701"/>
    <cellStyle name="Percent 123 3 2 3 2" xfId="40379"/>
    <cellStyle name="Percent 123 3 2 4" xfId="28063"/>
    <cellStyle name="Percent 123 3 3" xfId="11483"/>
    <cellStyle name="Percent 123 3 3 2" xfId="31161"/>
    <cellStyle name="Percent 123 3 4" xfId="17635"/>
    <cellStyle name="Percent 123 3 4 2" xfId="37313"/>
    <cellStyle name="Percent 123 3 5" xfId="24997"/>
    <cellStyle name="Percent 123 4" xfId="6821"/>
    <cellStyle name="Percent 123 4 2" xfId="13015"/>
    <cellStyle name="Percent 123 4 2 2" xfId="32693"/>
    <cellStyle name="Percent 123 4 3" xfId="19167"/>
    <cellStyle name="Percent 123 4 3 2" xfId="38845"/>
    <cellStyle name="Percent 123 4 4" xfId="26529"/>
    <cellStyle name="Percent 123 5" xfId="9949"/>
    <cellStyle name="Percent 123 5 2" xfId="29627"/>
    <cellStyle name="Percent 123 6" xfId="16101"/>
    <cellStyle name="Percent 123 6 2" xfId="35779"/>
    <cellStyle name="Percent 123 7" xfId="23440"/>
    <cellStyle name="Percent 124" xfId="3295"/>
    <cellStyle name="Percent 124 2" xfId="4415"/>
    <cellStyle name="Percent 124 2 2" xfId="6040"/>
    <cellStyle name="Percent 124 2 2 2" xfId="9126"/>
    <cellStyle name="Percent 124 2 2 2 2" xfId="15319"/>
    <cellStyle name="Percent 124 2 2 2 2 2" xfId="34997"/>
    <cellStyle name="Percent 124 2 2 2 3" xfId="21471"/>
    <cellStyle name="Percent 124 2 2 2 3 2" xfId="41149"/>
    <cellStyle name="Percent 124 2 2 2 4" xfId="28833"/>
    <cellStyle name="Percent 124 2 2 3" xfId="12253"/>
    <cellStyle name="Percent 124 2 2 3 2" xfId="31931"/>
    <cellStyle name="Percent 124 2 2 4" xfId="18405"/>
    <cellStyle name="Percent 124 2 2 4 2" xfId="38083"/>
    <cellStyle name="Percent 124 2 2 5" xfId="25767"/>
    <cellStyle name="Percent 124 2 3" xfId="7591"/>
    <cellStyle name="Percent 124 2 3 2" xfId="13785"/>
    <cellStyle name="Percent 124 2 3 2 2" xfId="33463"/>
    <cellStyle name="Percent 124 2 3 3" xfId="19937"/>
    <cellStyle name="Percent 124 2 3 3 2" xfId="39615"/>
    <cellStyle name="Percent 124 2 3 4" xfId="27299"/>
    <cellStyle name="Percent 124 2 4" xfId="10719"/>
    <cellStyle name="Percent 124 2 4 2" xfId="30397"/>
    <cellStyle name="Percent 124 2 5" xfId="16871"/>
    <cellStyle name="Percent 124 2 5 2" xfId="36549"/>
    <cellStyle name="Percent 124 2 6" xfId="24233"/>
    <cellStyle name="Percent 124 3" xfId="5257"/>
    <cellStyle name="Percent 124 3 2" xfId="8357"/>
    <cellStyle name="Percent 124 3 2 2" xfId="14550"/>
    <cellStyle name="Percent 124 3 2 2 2" xfId="34228"/>
    <cellStyle name="Percent 124 3 2 3" xfId="20702"/>
    <cellStyle name="Percent 124 3 2 3 2" xfId="40380"/>
    <cellStyle name="Percent 124 3 2 4" xfId="28064"/>
    <cellStyle name="Percent 124 3 3" xfId="11484"/>
    <cellStyle name="Percent 124 3 3 2" xfId="31162"/>
    <cellStyle name="Percent 124 3 4" xfId="17636"/>
    <cellStyle name="Percent 124 3 4 2" xfId="37314"/>
    <cellStyle name="Percent 124 3 5" xfId="24998"/>
    <cellStyle name="Percent 124 4" xfId="6822"/>
    <cellStyle name="Percent 124 4 2" xfId="13016"/>
    <cellStyle name="Percent 124 4 2 2" xfId="32694"/>
    <cellStyle name="Percent 124 4 3" xfId="19168"/>
    <cellStyle name="Percent 124 4 3 2" xfId="38846"/>
    <cellStyle name="Percent 124 4 4" xfId="26530"/>
    <cellStyle name="Percent 124 5" xfId="9950"/>
    <cellStyle name="Percent 124 5 2" xfId="29628"/>
    <cellStyle name="Percent 124 6" xfId="16102"/>
    <cellStyle name="Percent 124 6 2" xfId="35780"/>
    <cellStyle name="Percent 124 7" xfId="23441"/>
    <cellStyle name="Percent 125" xfId="3296"/>
    <cellStyle name="Percent 125 2" xfId="4416"/>
    <cellStyle name="Percent 125 2 2" xfId="6041"/>
    <cellStyle name="Percent 125 2 2 2" xfId="9127"/>
    <cellStyle name="Percent 125 2 2 2 2" xfId="15320"/>
    <cellStyle name="Percent 125 2 2 2 2 2" xfId="34998"/>
    <cellStyle name="Percent 125 2 2 2 3" xfId="21472"/>
    <cellStyle name="Percent 125 2 2 2 3 2" xfId="41150"/>
    <cellStyle name="Percent 125 2 2 2 4" xfId="28834"/>
    <cellStyle name="Percent 125 2 2 3" xfId="12254"/>
    <cellStyle name="Percent 125 2 2 3 2" xfId="31932"/>
    <cellStyle name="Percent 125 2 2 4" xfId="18406"/>
    <cellStyle name="Percent 125 2 2 4 2" xfId="38084"/>
    <cellStyle name="Percent 125 2 2 5" xfId="25768"/>
    <cellStyle name="Percent 125 2 3" xfId="7592"/>
    <cellStyle name="Percent 125 2 3 2" xfId="13786"/>
    <cellStyle name="Percent 125 2 3 2 2" xfId="33464"/>
    <cellStyle name="Percent 125 2 3 3" xfId="19938"/>
    <cellStyle name="Percent 125 2 3 3 2" xfId="39616"/>
    <cellStyle name="Percent 125 2 3 4" xfId="27300"/>
    <cellStyle name="Percent 125 2 4" xfId="10720"/>
    <cellStyle name="Percent 125 2 4 2" xfId="30398"/>
    <cellStyle name="Percent 125 2 5" xfId="16872"/>
    <cellStyle name="Percent 125 2 5 2" xfId="36550"/>
    <cellStyle name="Percent 125 2 6" xfId="24234"/>
    <cellStyle name="Percent 125 3" xfId="5258"/>
    <cellStyle name="Percent 125 3 2" xfId="8358"/>
    <cellStyle name="Percent 125 3 2 2" xfId="14551"/>
    <cellStyle name="Percent 125 3 2 2 2" xfId="34229"/>
    <cellStyle name="Percent 125 3 2 3" xfId="20703"/>
    <cellStyle name="Percent 125 3 2 3 2" xfId="40381"/>
    <cellStyle name="Percent 125 3 2 4" xfId="28065"/>
    <cellStyle name="Percent 125 3 3" xfId="11485"/>
    <cellStyle name="Percent 125 3 3 2" xfId="31163"/>
    <cellStyle name="Percent 125 3 4" xfId="17637"/>
    <cellStyle name="Percent 125 3 4 2" xfId="37315"/>
    <cellStyle name="Percent 125 3 5" xfId="24999"/>
    <cellStyle name="Percent 125 4" xfId="6823"/>
    <cellStyle name="Percent 125 4 2" xfId="13017"/>
    <cellStyle name="Percent 125 4 2 2" xfId="32695"/>
    <cellStyle name="Percent 125 4 3" xfId="19169"/>
    <cellStyle name="Percent 125 4 3 2" xfId="38847"/>
    <cellStyle name="Percent 125 4 4" xfId="26531"/>
    <cellStyle name="Percent 125 5" xfId="9951"/>
    <cellStyle name="Percent 125 5 2" xfId="29629"/>
    <cellStyle name="Percent 125 6" xfId="16103"/>
    <cellStyle name="Percent 125 6 2" xfId="35781"/>
    <cellStyle name="Percent 125 7" xfId="23442"/>
    <cellStyle name="Percent 126" xfId="3297"/>
    <cellStyle name="Percent 126 2" xfId="4417"/>
    <cellStyle name="Percent 126 2 2" xfId="6042"/>
    <cellStyle name="Percent 126 2 2 2" xfId="9128"/>
    <cellStyle name="Percent 126 2 2 2 2" xfId="15321"/>
    <cellStyle name="Percent 126 2 2 2 2 2" xfId="34999"/>
    <cellStyle name="Percent 126 2 2 2 3" xfId="21473"/>
    <cellStyle name="Percent 126 2 2 2 3 2" xfId="41151"/>
    <cellStyle name="Percent 126 2 2 2 4" xfId="28835"/>
    <cellStyle name="Percent 126 2 2 3" xfId="12255"/>
    <cellStyle name="Percent 126 2 2 3 2" xfId="31933"/>
    <cellStyle name="Percent 126 2 2 4" xfId="18407"/>
    <cellStyle name="Percent 126 2 2 4 2" xfId="38085"/>
    <cellStyle name="Percent 126 2 2 5" xfId="25769"/>
    <cellStyle name="Percent 126 2 3" xfId="7593"/>
    <cellStyle name="Percent 126 2 3 2" xfId="13787"/>
    <cellStyle name="Percent 126 2 3 2 2" xfId="33465"/>
    <cellStyle name="Percent 126 2 3 3" xfId="19939"/>
    <cellStyle name="Percent 126 2 3 3 2" xfId="39617"/>
    <cellStyle name="Percent 126 2 3 4" xfId="27301"/>
    <cellStyle name="Percent 126 2 4" xfId="10721"/>
    <cellStyle name="Percent 126 2 4 2" xfId="30399"/>
    <cellStyle name="Percent 126 2 5" xfId="16873"/>
    <cellStyle name="Percent 126 2 5 2" xfId="36551"/>
    <cellStyle name="Percent 126 2 6" xfId="24235"/>
    <cellStyle name="Percent 126 3" xfId="5259"/>
    <cellStyle name="Percent 126 3 2" xfId="8359"/>
    <cellStyle name="Percent 126 3 2 2" xfId="14552"/>
    <cellStyle name="Percent 126 3 2 2 2" xfId="34230"/>
    <cellStyle name="Percent 126 3 2 3" xfId="20704"/>
    <cellStyle name="Percent 126 3 2 3 2" xfId="40382"/>
    <cellStyle name="Percent 126 3 2 4" xfId="28066"/>
    <cellStyle name="Percent 126 3 3" xfId="11486"/>
    <cellStyle name="Percent 126 3 3 2" xfId="31164"/>
    <cellStyle name="Percent 126 3 4" xfId="17638"/>
    <cellStyle name="Percent 126 3 4 2" xfId="37316"/>
    <cellStyle name="Percent 126 3 5" xfId="25000"/>
    <cellStyle name="Percent 126 4" xfId="6824"/>
    <cellStyle name="Percent 126 4 2" xfId="13018"/>
    <cellStyle name="Percent 126 4 2 2" xfId="32696"/>
    <cellStyle name="Percent 126 4 3" xfId="19170"/>
    <cellStyle name="Percent 126 4 3 2" xfId="38848"/>
    <cellStyle name="Percent 126 4 4" xfId="26532"/>
    <cellStyle name="Percent 126 5" xfId="9952"/>
    <cellStyle name="Percent 126 5 2" xfId="29630"/>
    <cellStyle name="Percent 126 6" xfId="16104"/>
    <cellStyle name="Percent 126 6 2" xfId="35782"/>
    <cellStyle name="Percent 126 7" xfId="23443"/>
    <cellStyle name="Percent 127" xfId="3298"/>
    <cellStyle name="Percent 127 2" xfId="4418"/>
    <cellStyle name="Percent 127 2 2" xfId="6043"/>
    <cellStyle name="Percent 127 2 2 2" xfId="9129"/>
    <cellStyle name="Percent 127 2 2 2 2" xfId="15322"/>
    <cellStyle name="Percent 127 2 2 2 2 2" xfId="35000"/>
    <cellStyle name="Percent 127 2 2 2 3" xfId="21474"/>
    <cellStyle name="Percent 127 2 2 2 3 2" xfId="41152"/>
    <cellStyle name="Percent 127 2 2 2 4" xfId="28836"/>
    <cellStyle name="Percent 127 2 2 3" xfId="12256"/>
    <cellStyle name="Percent 127 2 2 3 2" xfId="31934"/>
    <cellStyle name="Percent 127 2 2 4" xfId="18408"/>
    <cellStyle name="Percent 127 2 2 4 2" xfId="38086"/>
    <cellStyle name="Percent 127 2 2 5" xfId="25770"/>
    <cellStyle name="Percent 127 2 3" xfId="7594"/>
    <cellStyle name="Percent 127 2 3 2" xfId="13788"/>
    <cellStyle name="Percent 127 2 3 2 2" xfId="33466"/>
    <cellStyle name="Percent 127 2 3 3" xfId="19940"/>
    <cellStyle name="Percent 127 2 3 3 2" xfId="39618"/>
    <cellStyle name="Percent 127 2 3 4" xfId="27302"/>
    <cellStyle name="Percent 127 2 4" xfId="10722"/>
    <cellStyle name="Percent 127 2 4 2" xfId="30400"/>
    <cellStyle name="Percent 127 2 5" xfId="16874"/>
    <cellStyle name="Percent 127 2 5 2" xfId="36552"/>
    <cellStyle name="Percent 127 2 6" xfId="24236"/>
    <cellStyle name="Percent 127 3" xfId="5260"/>
    <cellStyle name="Percent 127 3 2" xfId="8360"/>
    <cellStyle name="Percent 127 3 2 2" xfId="14553"/>
    <cellStyle name="Percent 127 3 2 2 2" xfId="34231"/>
    <cellStyle name="Percent 127 3 2 3" xfId="20705"/>
    <cellStyle name="Percent 127 3 2 3 2" xfId="40383"/>
    <cellStyle name="Percent 127 3 2 4" xfId="28067"/>
    <cellStyle name="Percent 127 3 3" xfId="11487"/>
    <cellStyle name="Percent 127 3 3 2" xfId="31165"/>
    <cellStyle name="Percent 127 3 4" xfId="17639"/>
    <cellStyle name="Percent 127 3 4 2" xfId="37317"/>
    <cellStyle name="Percent 127 3 5" xfId="25001"/>
    <cellStyle name="Percent 127 4" xfId="6825"/>
    <cellStyle name="Percent 127 4 2" xfId="13019"/>
    <cellStyle name="Percent 127 4 2 2" xfId="32697"/>
    <cellStyle name="Percent 127 4 3" xfId="19171"/>
    <cellStyle name="Percent 127 4 3 2" xfId="38849"/>
    <cellStyle name="Percent 127 4 4" xfId="26533"/>
    <cellStyle name="Percent 127 5" xfId="9953"/>
    <cellStyle name="Percent 127 5 2" xfId="29631"/>
    <cellStyle name="Percent 127 6" xfId="16105"/>
    <cellStyle name="Percent 127 6 2" xfId="35783"/>
    <cellStyle name="Percent 127 7" xfId="23444"/>
    <cellStyle name="Percent 128" xfId="3299"/>
    <cellStyle name="Percent 128 2" xfId="4419"/>
    <cellStyle name="Percent 128 2 2" xfId="6044"/>
    <cellStyle name="Percent 128 2 2 2" xfId="9130"/>
    <cellStyle name="Percent 128 2 2 2 2" xfId="15323"/>
    <cellStyle name="Percent 128 2 2 2 2 2" xfId="35001"/>
    <cellStyle name="Percent 128 2 2 2 3" xfId="21475"/>
    <cellStyle name="Percent 128 2 2 2 3 2" xfId="41153"/>
    <cellStyle name="Percent 128 2 2 2 4" xfId="28837"/>
    <cellStyle name="Percent 128 2 2 3" xfId="12257"/>
    <cellStyle name="Percent 128 2 2 3 2" xfId="31935"/>
    <cellStyle name="Percent 128 2 2 4" xfId="18409"/>
    <cellStyle name="Percent 128 2 2 4 2" xfId="38087"/>
    <cellStyle name="Percent 128 2 2 5" xfId="25771"/>
    <cellStyle name="Percent 128 2 3" xfId="7595"/>
    <cellStyle name="Percent 128 2 3 2" xfId="13789"/>
    <cellStyle name="Percent 128 2 3 2 2" xfId="33467"/>
    <cellStyle name="Percent 128 2 3 3" xfId="19941"/>
    <cellStyle name="Percent 128 2 3 3 2" xfId="39619"/>
    <cellStyle name="Percent 128 2 3 4" xfId="27303"/>
    <cellStyle name="Percent 128 2 4" xfId="10723"/>
    <cellStyle name="Percent 128 2 4 2" xfId="30401"/>
    <cellStyle name="Percent 128 2 5" xfId="16875"/>
    <cellStyle name="Percent 128 2 5 2" xfId="36553"/>
    <cellStyle name="Percent 128 2 6" xfId="24237"/>
    <cellStyle name="Percent 128 3" xfId="5261"/>
    <cellStyle name="Percent 128 3 2" xfId="8361"/>
    <cellStyle name="Percent 128 3 2 2" xfId="14554"/>
    <cellStyle name="Percent 128 3 2 2 2" xfId="34232"/>
    <cellStyle name="Percent 128 3 2 3" xfId="20706"/>
    <cellStyle name="Percent 128 3 2 3 2" xfId="40384"/>
    <cellStyle name="Percent 128 3 2 4" xfId="28068"/>
    <cellStyle name="Percent 128 3 3" xfId="11488"/>
    <cellStyle name="Percent 128 3 3 2" xfId="31166"/>
    <cellStyle name="Percent 128 3 4" xfId="17640"/>
    <cellStyle name="Percent 128 3 4 2" xfId="37318"/>
    <cellStyle name="Percent 128 3 5" xfId="25002"/>
    <cellStyle name="Percent 128 4" xfId="6826"/>
    <cellStyle name="Percent 128 4 2" xfId="13020"/>
    <cellStyle name="Percent 128 4 2 2" xfId="32698"/>
    <cellStyle name="Percent 128 4 3" xfId="19172"/>
    <cellStyle name="Percent 128 4 3 2" xfId="38850"/>
    <cellStyle name="Percent 128 4 4" xfId="26534"/>
    <cellStyle name="Percent 128 5" xfId="9954"/>
    <cellStyle name="Percent 128 5 2" xfId="29632"/>
    <cellStyle name="Percent 128 6" xfId="16106"/>
    <cellStyle name="Percent 128 6 2" xfId="35784"/>
    <cellStyle name="Percent 128 7" xfId="23445"/>
    <cellStyle name="Percent 129" xfId="3300"/>
    <cellStyle name="Percent 129 2" xfId="4420"/>
    <cellStyle name="Percent 129 2 2" xfId="6045"/>
    <cellStyle name="Percent 129 2 2 2" xfId="9131"/>
    <cellStyle name="Percent 129 2 2 2 2" xfId="15324"/>
    <cellStyle name="Percent 129 2 2 2 2 2" xfId="35002"/>
    <cellStyle name="Percent 129 2 2 2 3" xfId="21476"/>
    <cellStyle name="Percent 129 2 2 2 3 2" xfId="41154"/>
    <cellStyle name="Percent 129 2 2 2 4" xfId="28838"/>
    <cellStyle name="Percent 129 2 2 3" xfId="12258"/>
    <cellStyle name="Percent 129 2 2 3 2" xfId="31936"/>
    <cellStyle name="Percent 129 2 2 4" xfId="18410"/>
    <cellStyle name="Percent 129 2 2 4 2" xfId="38088"/>
    <cellStyle name="Percent 129 2 2 5" xfId="25772"/>
    <cellStyle name="Percent 129 2 3" xfId="7596"/>
    <cellStyle name="Percent 129 2 3 2" xfId="13790"/>
    <cellStyle name="Percent 129 2 3 2 2" xfId="33468"/>
    <cellStyle name="Percent 129 2 3 3" xfId="19942"/>
    <cellStyle name="Percent 129 2 3 3 2" xfId="39620"/>
    <cellStyle name="Percent 129 2 3 4" xfId="27304"/>
    <cellStyle name="Percent 129 2 4" xfId="10724"/>
    <cellStyle name="Percent 129 2 4 2" xfId="30402"/>
    <cellStyle name="Percent 129 2 5" xfId="16876"/>
    <cellStyle name="Percent 129 2 5 2" xfId="36554"/>
    <cellStyle name="Percent 129 2 6" xfId="24238"/>
    <cellStyle name="Percent 129 3" xfId="5262"/>
    <cellStyle name="Percent 129 3 2" xfId="8362"/>
    <cellStyle name="Percent 129 3 2 2" xfId="14555"/>
    <cellStyle name="Percent 129 3 2 2 2" xfId="34233"/>
    <cellStyle name="Percent 129 3 2 3" xfId="20707"/>
    <cellStyle name="Percent 129 3 2 3 2" xfId="40385"/>
    <cellStyle name="Percent 129 3 2 4" xfId="28069"/>
    <cellStyle name="Percent 129 3 3" xfId="11489"/>
    <cellStyle name="Percent 129 3 3 2" xfId="31167"/>
    <cellStyle name="Percent 129 3 4" xfId="17641"/>
    <cellStyle name="Percent 129 3 4 2" xfId="37319"/>
    <cellStyle name="Percent 129 3 5" xfId="25003"/>
    <cellStyle name="Percent 129 4" xfId="6827"/>
    <cellStyle name="Percent 129 4 2" xfId="13021"/>
    <cellStyle name="Percent 129 4 2 2" xfId="32699"/>
    <cellStyle name="Percent 129 4 3" xfId="19173"/>
    <cellStyle name="Percent 129 4 3 2" xfId="38851"/>
    <cellStyle name="Percent 129 4 4" xfId="26535"/>
    <cellStyle name="Percent 129 5" xfId="9955"/>
    <cellStyle name="Percent 129 5 2" xfId="29633"/>
    <cellStyle name="Percent 129 6" xfId="16107"/>
    <cellStyle name="Percent 129 6 2" xfId="35785"/>
    <cellStyle name="Percent 129 7" xfId="23446"/>
    <cellStyle name="Percent 13" xfId="3301"/>
    <cellStyle name="Percent 130" xfId="3302"/>
    <cellStyle name="Percent 130 2" xfId="4421"/>
    <cellStyle name="Percent 130 2 2" xfId="6046"/>
    <cellStyle name="Percent 130 2 2 2" xfId="9132"/>
    <cellStyle name="Percent 130 2 2 2 2" xfId="15325"/>
    <cellStyle name="Percent 130 2 2 2 2 2" xfId="35003"/>
    <cellStyle name="Percent 130 2 2 2 3" xfId="21477"/>
    <cellStyle name="Percent 130 2 2 2 3 2" xfId="41155"/>
    <cellStyle name="Percent 130 2 2 2 4" xfId="28839"/>
    <cellStyle name="Percent 130 2 2 3" xfId="12259"/>
    <cellStyle name="Percent 130 2 2 3 2" xfId="31937"/>
    <cellStyle name="Percent 130 2 2 4" xfId="18411"/>
    <cellStyle name="Percent 130 2 2 4 2" xfId="38089"/>
    <cellStyle name="Percent 130 2 2 5" xfId="25773"/>
    <cellStyle name="Percent 130 2 3" xfId="7597"/>
    <cellStyle name="Percent 130 2 3 2" xfId="13791"/>
    <cellStyle name="Percent 130 2 3 2 2" xfId="33469"/>
    <cellStyle name="Percent 130 2 3 3" xfId="19943"/>
    <cellStyle name="Percent 130 2 3 3 2" xfId="39621"/>
    <cellStyle name="Percent 130 2 3 4" xfId="27305"/>
    <cellStyle name="Percent 130 2 4" xfId="10725"/>
    <cellStyle name="Percent 130 2 4 2" xfId="30403"/>
    <cellStyle name="Percent 130 2 5" xfId="16877"/>
    <cellStyle name="Percent 130 2 5 2" xfId="36555"/>
    <cellStyle name="Percent 130 2 6" xfId="24239"/>
    <cellStyle name="Percent 130 3" xfId="5263"/>
    <cellStyle name="Percent 130 3 2" xfId="8363"/>
    <cellStyle name="Percent 130 3 2 2" xfId="14556"/>
    <cellStyle name="Percent 130 3 2 2 2" xfId="34234"/>
    <cellStyle name="Percent 130 3 2 3" xfId="20708"/>
    <cellStyle name="Percent 130 3 2 3 2" xfId="40386"/>
    <cellStyle name="Percent 130 3 2 4" xfId="28070"/>
    <cellStyle name="Percent 130 3 3" xfId="11490"/>
    <cellStyle name="Percent 130 3 3 2" xfId="31168"/>
    <cellStyle name="Percent 130 3 4" xfId="17642"/>
    <cellStyle name="Percent 130 3 4 2" xfId="37320"/>
    <cellStyle name="Percent 130 3 5" xfId="25004"/>
    <cellStyle name="Percent 130 4" xfId="6828"/>
    <cellStyle name="Percent 130 4 2" xfId="13022"/>
    <cellStyle name="Percent 130 4 2 2" xfId="32700"/>
    <cellStyle name="Percent 130 4 3" xfId="19174"/>
    <cellStyle name="Percent 130 4 3 2" xfId="38852"/>
    <cellStyle name="Percent 130 4 4" xfId="26536"/>
    <cellStyle name="Percent 130 5" xfId="9956"/>
    <cellStyle name="Percent 130 5 2" xfId="29634"/>
    <cellStyle name="Percent 130 6" xfId="16108"/>
    <cellStyle name="Percent 130 6 2" xfId="35786"/>
    <cellStyle name="Percent 130 7" xfId="23447"/>
    <cellStyle name="Percent 131" xfId="3303"/>
    <cellStyle name="Percent 132" xfId="3304"/>
    <cellStyle name="Percent 133" xfId="3305"/>
    <cellStyle name="Percent 134" xfId="3306"/>
    <cellStyle name="Percent 135" xfId="3307"/>
    <cellStyle name="Percent 136" xfId="3308"/>
    <cellStyle name="Percent 137" xfId="3309"/>
    <cellStyle name="Percent 138" xfId="3310"/>
    <cellStyle name="Percent 139" xfId="3311"/>
    <cellStyle name="Percent 14" xfId="3312"/>
    <cellStyle name="Percent 140" xfId="3313"/>
    <cellStyle name="Percent 141" xfId="3314"/>
    <cellStyle name="Percent 142" xfId="3315"/>
    <cellStyle name="Percent 143" xfId="3316"/>
    <cellStyle name="Percent 144" xfId="3317"/>
    <cellStyle name="Percent 145" xfId="3318"/>
    <cellStyle name="Percent 146" xfId="3319"/>
    <cellStyle name="Percent 147" xfId="3320"/>
    <cellStyle name="Percent 148" xfId="3321"/>
    <cellStyle name="Percent 149" xfId="3322"/>
    <cellStyle name="Percent 15" xfId="3323"/>
    <cellStyle name="Percent 150" xfId="3324"/>
    <cellStyle name="Percent 151" xfId="3325"/>
    <cellStyle name="Percent 152" xfId="3326"/>
    <cellStyle name="Percent 153" xfId="3327"/>
    <cellStyle name="Percent 154" xfId="3328"/>
    <cellStyle name="Percent 155" xfId="3329"/>
    <cellStyle name="Percent 156" xfId="3330"/>
    <cellStyle name="Percent 157" xfId="3331"/>
    <cellStyle name="Percent 158" xfId="3332"/>
    <cellStyle name="Percent 159" xfId="3333"/>
    <cellStyle name="Percent 159 2" xfId="4422"/>
    <cellStyle name="Percent 159 2 2" xfId="6047"/>
    <cellStyle name="Percent 159 2 2 2" xfId="9133"/>
    <cellStyle name="Percent 159 2 2 2 2" xfId="15326"/>
    <cellStyle name="Percent 159 2 2 2 2 2" xfId="35004"/>
    <cellStyle name="Percent 159 2 2 2 3" xfId="21478"/>
    <cellStyle name="Percent 159 2 2 2 3 2" xfId="41156"/>
    <cellStyle name="Percent 159 2 2 2 4" xfId="28840"/>
    <cellStyle name="Percent 159 2 2 3" xfId="12260"/>
    <cellStyle name="Percent 159 2 2 3 2" xfId="31938"/>
    <cellStyle name="Percent 159 2 2 4" xfId="18412"/>
    <cellStyle name="Percent 159 2 2 4 2" xfId="38090"/>
    <cellStyle name="Percent 159 2 2 5" xfId="25774"/>
    <cellStyle name="Percent 159 2 3" xfId="7598"/>
    <cellStyle name="Percent 159 2 3 2" xfId="13792"/>
    <cellStyle name="Percent 159 2 3 2 2" xfId="33470"/>
    <cellStyle name="Percent 159 2 3 3" xfId="19944"/>
    <cellStyle name="Percent 159 2 3 3 2" xfId="39622"/>
    <cellStyle name="Percent 159 2 3 4" xfId="27306"/>
    <cellStyle name="Percent 159 2 4" xfId="10726"/>
    <cellStyle name="Percent 159 2 4 2" xfId="30404"/>
    <cellStyle name="Percent 159 2 5" xfId="16878"/>
    <cellStyle name="Percent 159 2 5 2" xfId="36556"/>
    <cellStyle name="Percent 159 2 6" xfId="24240"/>
    <cellStyle name="Percent 159 3" xfId="5264"/>
    <cellStyle name="Percent 159 3 2" xfId="8364"/>
    <cellStyle name="Percent 159 3 2 2" xfId="14557"/>
    <cellStyle name="Percent 159 3 2 2 2" xfId="34235"/>
    <cellStyle name="Percent 159 3 2 3" xfId="20709"/>
    <cellStyle name="Percent 159 3 2 3 2" xfId="40387"/>
    <cellStyle name="Percent 159 3 2 4" xfId="28071"/>
    <cellStyle name="Percent 159 3 3" xfId="11491"/>
    <cellStyle name="Percent 159 3 3 2" xfId="31169"/>
    <cellStyle name="Percent 159 3 4" xfId="17643"/>
    <cellStyle name="Percent 159 3 4 2" xfId="37321"/>
    <cellStyle name="Percent 159 3 5" xfId="25005"/>
    <cellStyle name="Percent 159 4" xfId="6829"/>
    <cellStyle name="Percent 159 4 2" xfId="13023"/>
    <cellStyle name="Percent 159 4 2 2" xfId="32701"/>
    <cellStyle name="Percent 159 4 3" xfId="19175"/>
    <cellStyle name="Percent 159 4 3 2" xfId="38853"/>
    <cellStyle name="Percent 159 4 4" xfId="26537"/>
    <cellStyle name="Percent 159 5" xfId="9957"/>
    <cellStyle name="Percent 159 5 2" xfId="29635"/>
    <cellStyle name="Percent 159 6" xfId="16109"/>
    <cellStyle name="Percent 159 6 2" xfId="35787"/>
    <cellStyle name="Percent 159 7" xfId="23448"/>
    <cellStyle name="Percent 16" xfId="3334"/>
    <cellStyle name="Percent 160" xfId="382"/>
    <cellStyle name="Percent 161" xfId="3686"/>
    <cellStyle name="Percent 162" xfId="376"/>
    <cellStyle name="Percent 162 2" xfId="3829"/>
    <cellStyle name="Percent 162 2 2" xfId="5454"/>
    <cellStyle name="Percent 162 2 2 2" xfId="8540"/>
    <cellStyle name="Percent 162 2 2 2 2" xfId="14733"/>
    <cellStyle name="Percent 162 2 2 2 2 2" xfId="34411"/>
    <cellStyle name="Percent 162 2 2 2 3" xfId="20885"/>
    <cellStyle name="Percent 162 2 2 2 3 2" xfId="40563"/>
    <cellStyle name="Percent 162 2 2 2 4" xfId="28247"/>
    <cellStyle name="Percent 162 2 2 3" xfId="11667"/>
    <cellStyle name="Percent 162 2 2 3 2" xfId="31345"/>
    <cellStyle name="Percent 162 2 2 4" xfId="17819"/>
    <cellStyle name="Percent 162 2 2 4 2" xfId="37497"/>
    <cellStyle name="Percent 162 2 2 5" xfId="25181"/>
    <cellStyle name="Percent 162 2 3" xfId="7005"/>
    <cellStyle name="Percent 162 2 3 2" xfId="13199"/>
    <cellStyle name="Percent 162 2 3 2 2" xfId="32877"/>
    <cellStyle name="Percent 162 2 3 3" xfId="19351"/>
    <cellStyle name="Percent 162 2 3 3 2" xfId="39029"/>
    <cellStyle name="Percent 162 2 3 4" xfId="26713"/>
    <cellStyle name="Percent 162 2 4" xfId="10133"/>
    <cellStyle name="Percent 162 2 4 2" xfId="29811"/>
    <cellStyle name="Percent 162 2 5" xfId="16285"/>
    <cellStyle name="Percent 162 2 5 2" xfId="35963"/>
    <cellStyle name="Percent 162 2 6" xfId="23647"/>
    <cellStyle name="Percent 162 3" xfId="4668"/>
    <cellStyle name="Percent 162 3 2" xfId="7771"/>
    <cellStyle name="Percent 162 3 2 2" xfId="13964"/>
    <cellStyle name="Percent 162 3 2 2 2" xfId="33642"/>
    <cellStyle name="Percent 162 3 2 3" xfId="20116"/>
    <cellStyle name="Percent 162 3 2 3 2" xfId="39794"/>
    <cellStyle name="Percent 162 3 2 4" xfId="27478"/>
    <cellStyle name="Percent 162 3 3" xfId="10898"/>
    <cellStyle name="Percent 162 3 3 2" xfId="30576"/>
    <cellStyle name="Percent 162 3 4" xfId="17050"/>
    <cellStyle name="Percent 162 3 4 2" xfId="36728"/>
    <cellStyle name="Percent 162 3 5" xfId="24412"/>
    <cellStyle name="Percent 162 4" xfId="6236"/>
    <cellStyle name="Percent 162 4 2" xfId="12430"/>
    <cellStyle name="Percent 162 4 2 2" xfId="32108"/>
    <cellStyle name="Percent 162 4 3" xfId="18582"/>
    <cellStyle name="Percent 162 4 3 2" xfId="38260"/>
    <cellStyle name="Percent 162 4 4" xfId="25944"/>
    <cellStyle name="Percent 162 5" xfId="9364"/>
    <cellStyle name="Percent 162 5 2" xfId="29042"/>
    <cellStyle name="Percent 162 6" xfId="15516"/>
    <cellStyle name="Percent 162 6 2" xfId="35194"/>
    <cellStyle name="Percent 162 7" xfId="22759"/>
    <cellStyle name="Percent 163" xfId="3793"/>
    <cellStyle name="Percent 163 2" xfId="3800"/>
    <cellStyle name="Percent 163 3" xfId="5425"/>
    <cellStyle name="Percent 163 3 2" xfId="8511"/>
    <cellStyle name="Percent 163 3 2 2" xfId="14704"/>
    <cellStyle name="Percent 163 3 2 2 2" xfId="34382"/>
    <cellStyle name="Percent 163 3 2 3" xfId="20856"/>
    <cellStyle name="Percent 163 3 2 3 2" xfId="40534"/>
    <cellStyle name="Percent 163 3 2 4" xfId="28218"/>
    <cellStyle name="Percent 163 3 3" xfId="11638"/>
    <cellStyle name="Percent 163 3 3 2" xfId="31316"/>
    <cellStyle name="Percent 163 3 4" xfId="17790"/>
    <cellStyle name="Percent 163 3 4 2" xfId="37468"/>
    <cellStyle name="Percent 163 3 5" xfId="25152"/>
    <cellStyle name="Percent 163 4" xfId="6976"/>
    <cellStyle name="Percent 163 4 2" xfId="13170"/>
    <cellStyle name="Percent 163 4 2 2" xfId="32848"/>
    <cellStyle name="Percent 163 4 3" xfId="19322"/>
    <cellStyle name="Percent 163 4 3 2" xfId="39000"/>
    <cellStyle name="Percent 163 4 4" xfId="26684"/>
    <cellStyle name="Percent 163 5" xfId="10104"/>
    <cellStyle name="Percent 163 5 2" xfId="29782"/>
    <cellStyle name="Percent 163 6" xfId="16256"/>
    <cellStyle name="Percent 163 6 2" xfId="35934"/>
    <cellStyle name="Percent 163 7" xfId="23618"/>
    <cellStyle name="Percent 164" xfId="4567"/>
    <cellStyle name="Percent 165" xfId="4637"/>
    <cellStyle name="Percent 166" xfId="4575"/>
    <cellStyle name="Percent 167" xfId="4628"/>
    <cellStyle name="Percent 168" xfId="4586"/>
    <cellStyle name="Percent 169" xfId="4617"/>
    <cellStyle name="Percent 17" xfId="3335"/>
    <cellStyle name="Percent 170" xfId="4589"/>
    <cellStyle name="Percent 171" xfId="4614"/>
    <cellStyle name="Percent 172" xfId="4581"/>
    <cellStyle name="Percent 173" xfId="4631"/>
    <cellStyle name="Percent 174" xfId="4574"/>
    <cellStyle name="Percent 175" xfId="4606"/>
    <cellStyle name="Percent 176" xfId="4584"/>
    <cellStyle name="Percent 177" xfId="4630"/>
    <cellStyle name="Percent 178" xfId="4598"/>
    <cellStyle name="Percent 179" xfId="4621"/>
    <cellStyle name="Percent 18" xfId="3336"/>
    <cellStyle name="Percent 180" xfId="3804"/>
    <cellStyle name="Percent 180 2" xfId="5429"/>
    <cellStyle name="Percent 180 2 2" xfId="8515"/>
    <cellStyle name="Percent 180 2 2 2" xfId="14708"/>
    <cellStyle name="Percent 180 2 2 2 2" xfId="34386"/>
    <cellStyle name="Percent 180 2 2 3" xfId="20860"/>
    <cellStyle name="Percent 180 2 2 3 2" xfId="40538"/>
    <cellStyle name="Percent 180 2 2 4" xfId="28222"/>
    <cellStyle name="Percent 180 2 3" xfId="11642"/>
    <cellStyle name="Percent 180 2 3 2" xfId="31320"/>
    <cellStyle name="Percent 180 2 4" xfId="17794"/>
    <cellStyle name="Percent 180 2 4 2" xfId="37472"/>
    <cellStyle name="Percent 180 2 5" xfId="25156"/>
    <cellStyle name="Percent 180 3" xfId="6980"/>
    <cellStyle name="Percent 180 3 2" xfId="13174"/>
    <cellStyle name="Percent 180 3 2 2" xfId="32852"/>
    <cellStyle name="Percent 180 3 3" xfId="19326"/>
    <cellStyle name="Percent 180 3 3 2" xfId="39004"/>
    <cellStyle name="Percent 180 3 4" xfId="26688"/>
    <cellStyle name="Percent 180 4" xfId="10108"/>
    <cellStyle name="Percent 180 4 2" xfId="29786"/>
    <cellStyle name="Percent 180 5" xfId="16260"/>
    <cellStyle name="Percent 180 5 2" xfId="35938"/>
    <cellStyle name="Percent 180 6" xfId="23622"/>
    <cellStyle name="Percent 181" xfId="6207"/>
    <cellStyle name="Percent 182" xfId="9278"/>
    <cellStyle name="Percent 183" xfId="9284"/>
    <cellStyle name="Percent 184" xfId="9335"/>
    <cellStyle name="Percent 185" xfId="220"/>
    <cellStyle name="Percent 186" xfId="230"/>
    <cellStyle name="Percent 187" xfId="41328"/>
    <cellStyle name="Percent 188" xfId="41323"/>
    <cellStyle name="Percent 189" xfId="41325"/>
    <cellStyle name="Percent 19" xfId="3337"/>
    <cellStyle name="Percent 190" xfId="22678"/>
    <cellStyle name="Percent 191" xfId="22683"/>
    <cellStyle name="Percent 192" xfId="41369"/>
    <cellStyle name="Percent 193" xfId="41398"/>
    <cellStyle name="Percent 194" xfId="41516"/>
    <cellStyle name="Percent 195" xfId="41333"/>
    <cellStyle name="Percent 196" xfId="41544"/>
    <cellStyle name="Percent 197" xfId="41373"/>
    <cellStyle name="Percent 198" xfId="21693"/>
    <cellStyle name="Percent 2" xfId="13"/>
    <cellStyle name="Percent 2 10" xfId="301"/>
    <cellStyle name="Percent 2 10 2" xfId="3744"/>
    <cellStyle name="Percent 2 10 3" xfId="3339"/>
    <cellStyle name="Percent 2 10 4" xfId="22717"/>
    <cellStyle name="Percent 2 10 5" xfId="21867"/>
    <cellStyle name="Percent 2 11" xfId="302"/>
    <cellStyle name="Percent 2 11 2" xfId="3745"/>
    <cellStyle name="Percent 2 11 3" xfId="3340"/>
    <cellStyle name="Percent 2 11 4" xfId="22718"/>
    <cellStyle name="Percent 2 11 5" xfId="21893"/>
    <cellStyle name="Percent 2 12" xfId="303"/>
    <cellStyle name="Percent 2 12 2" xfId="3746"/>
    <cellStyle name="Percent 2 12 3" xfId="3341"/>
    <cellStyle name="Percent 2 12 4" xfId="22719"/>
    <cellStyle name="Percent 2 12 5" xfId="21885"/>
    <cellStyle name="Percent 2 13" xfId="304"/>
    <cellStyle name="Percent 2 13 2" xfId="3747"/>
    <cellStyle name="Percent 2 13 3" xfId="3342"/>
    <cellStyle name="Percent 2 13 4" xfId="22720"/>
    <cellStyle name="Percent 2 13 5" xfId="21903"/>
    <cellStyle name="Percent 2 14" xfId="305"/>
    <cellStyle name="Percent 2 14 2" xfId="3748"/>
    <cellStyle name="Percent 2 14 3" xfId="3343"/>
    <cellStyle name="Percent 2 14 4" xfId="22721"/>
    <cellStyle name="Percent 2 14 5" xfId="21916"/>
    <cellStyle name="Percent 2 15" xfId="306"/>
    <cellStyle name="Percent 2 15 2" xfId="3749"/>
    <cellStyle name="Percent 2 15 3" xfId="3344"/>
    <cellStyle name="Percent 2 15 4" xfId="22722"/>
    <cellStyle name="Percent 2 15 5" xfId="21930"/>
    <cellStyle name="Percent 2 16" xfId="307"/>
    <cellStyle name="Percent 2 16 2" xfId="3750"/>
    <cellStyle name="Percent 2 16 3" xfId="3345"/>
    <cellStyle name="Percent 2 16 4" xfId="22723"/>
    <cellStyle name="Percent 2 16 5" xfId="21940"/>
    <cellStyle name="Percent 2 17" xfId="308"/>
    <cellStyle name="Percent 2 17 2" xfId="3751"/>
    <cellStyle name="Percent 2 17 3" xfId="3346"/>
    <cellStyle name="Percent 2 17 4" xfId="22724"/>
    <cellStyle name="Percent 2 17 5" xfId="21960"/>
    <cellStyle name="Percent 2 18" xfId="309"/>
    <cellStyle name="Percent 2 18 2" xfId="3752"/>
    <cellStyle name="Percent 2 18 3" xfId="3347"/>
    <cellStyle name="Percent 2 18 4" xfId="22725"/>
    <cellStyle name="Percent 2 18 5" xfId="21986"/>
    <cellStyle name="Percent 2 19" xfId="310"/>
    <cellStyle name="Percent 2 19 2" xfId="3753"/>
    <cellStyle name="Percent 2 19 3" xfId="3348"/>
    <cellStyle name="Percent 2 19 4" xfId="22726"/>
    <cellStyle name="Percent 2 19 5" xfId="22008"/>
    <cellStyle name="Percent 2 2" xfId="50"/>
    <cellStyle name="Percent 2 2 10" xfId="21821"/>
    <cellStyle name="Percent 2 2 11" xfId="21851"/>
    <cellStyle name="Percent 2 2 12" xfId="21892"/>
    <cellStyle name="Percent 2 2 13" xfId="21875"/>
    <cellStyle name="Percent 2 2 14" xfId="21962"/>
    <cellStyle name="Percent 2 2 15" xfId="21990"/>
    <cellStyle name="Percent 2 2 16" xfId="22004"/>
    <cellStyle name="Percent 2 2 17" xfId="22025"/>
    <cellStyle name="Percent 2 2 18" xfId="22067"/>
    <cellStyle name="Percent 2 2 19" xfId="22094"/>
    <cellStyle name="Percent 2 2 2" xfId="3350"/>
    <cellStyle name="Percent 2 2 2 2" xfId="3351"/>
    <cellStyle name="Percent 2 2 2 2 2" xfId="3352"/>
    <cellStyle name="Percent 2 2 2 3" xfId="3353"/>
    <cellStyle name="Percent 2 2 2 4" xfId="42048"/>
    <cellStyle name="Percent 2 2 20" xfId="22120"/>
    <cellStyle name="Percent 2 2 21" xfId="22099"/>
    <cellStyle name="Percent 2 2 22" xfId="22051"/>
    <cellStyle name="Percent 2 2 23" xfId="22165"/>
    <cellStyle name="Percent 2 2 24" xfId="22228"/>
    <cellStyle name="Percent 2 2 25" xfId="22260"/>
    <cellStyle name="Percent 2 2 26" xfId="22286"/>
    <cellStyle name="Percent 2 2 27" xfId="22310"/>
    <cellStyle name="Percent 2 2 28" xfId="22333"/>
    <cellStyle name="Percent 2 2 29" xfId="21758"/>
    <cellStyle name="Percent 2 2 3" xfId="3354"/>
    <cellStyle name="Percent 2 2 3 2" xfId="23451"/>
    <cellStyle name="Percent 2 2 3 3" xfId="42049"/>
    <cellStyle name="Percent 2 2 3 4" xfId="21818"/>
    <cellStyle name="Percent 2 2 30" xfId="42047"/>
    <cellStyle name="Percent 2 2 4" xfId="3355"/>
    <cellStyle name="Percent 2 2 4 2" xfId="23452"/>
    <cellStyle name="Percent 2 2 4 3" xfId="21834"/>
    <cellStyle name="Percent 2 2 5" xfId="3754"/>
    <cellStyle name="Percent 2 2 5 2" xfId="23598"/>
    <cellStyle name="Percent 2 2 5 3" xfId="21860"/>
    <cellStyle name="Percent 2 2 6" xfId="3349"/>
    <cellStyle name="Percent 2 2 6 2" xfId="23450"/>
    <cellStyle name="Percent 2 2 6 3" xfId="21850"/>
    <cellStyle name="Percent 2 2 7" xfId="21857"/>
    <cellStyle name="Percent 2 2 7 2" xfId="22727"/>
    <cellStyle name="Percent 2 2 8" xfId="21836"/>
    <cellStyle name="Percent 2 2 9" xfId="21858"/>
    <cellStyle name="Percent 2 20" xfId="3356"/>
    <cellStyle name="Percent 2 20 2" xfId="23453"/>
    <cellStyle name="Percent 2 20 3" xfId="22005"/>
    <cellStyle name="Percent 2 21" xfId="3357"/>
    <cellStyle name="Percent 2 21 2" xfId="23454"/>
    <cellStyle name="Percent 2 21 3" xfId="22011"/>
    <cellStyle name="Percent 2 22" xfId="3338"/>
    <cellStyle name="Percent 2 22 2" xfId="4423"/>
    <cellStyle name="Percent 2 22 2 2" xfId="6048"/>
    <cellStyle name="Percent 2 22 2 2 2" xfId="9134"/>
    <cellStyle name="Percent 2 22 2 2 2 2" xfId="15327"/>
    <cellStyle name="Percent 2 22 2 2 2 2 2" xfId="35005"/>
    <cellStyle name="Percent 2 22 2 2 2 3" xfId="21479"/>
    <cellStyle name="Percent 2 22 2 2 2 3 2" xfId="41157"/>
    <cellStyle name="Percent 2 22 2 2 2 4" xfId="28841"/>
    <cellStyle name="Percent 2 22 2 2 3" xfId="12261"/>
    <cellStyle name="Percent 2 22 2 2 3 2" xfId="31939"/>
    <cellStyle name="Percent 2 22 2 2 4" xfId="18413"/>
    <cellStyle name="Percent 2 22 2 2 4 2" xfId="38091"/>
    <cellStyle name="Percent 2 22 2 2 5" xfId="25775"/>
    <cellStyle name="Percent 2 22 2 3" xfId="7599"/>
    <cellStyle name="Percent 2 22 2 3 2" xfId="13793"/>
    <cellStyle name="Percent 2 22 2 3 2 2" xfId="33471"/>
    <cellStyle name="Percent 2 22 2 3 3" xfId="19945"/>
    <cellStyle name="Percent 2 22 2 3 3 2" xfId="39623"/>
    <cellStyle name="Percent 2 22 2 3 4" xfId="27307"/>
    <cellStyle name="Percent 2 22 2 4" xfId="10727"/>
    <cellStyle name="Percent 2 22 2 4 2" xfId="30405"/>
    <cellStyle name="Percent 2 22 2 5" xfId="16879"/>
    <cellStyle name="Percent 2 22 2 5 2" xfId="36557"/>
    <cellStyle name="Percent 2 22 2 6" xfId="24241"/>
    <cellStyle name="Percent 2 22 3" xfId="5265"/>
    <cellStyle name="Percent 2 22 3 2" xfId="8365"/>
    <cellStyle name="Percent 2 22 3 2 2" xfId="14558"/>
    <cellStyle name="Percent 2 22 3 2 2 2" xfId="34236"/>
    <cellStyle name="Percent 2 22 3 2 3" xfId="20710"/>
    <cellStyle name="Percent 2 22 3 2 3 2" xfId="40388"/>
    <cellStyle name="Percent 2 22 3 2 4" xfId="28072"/>
    <cellStyle name="Percent 2 22 3 3" xfId="11492"/>
    <cellStyle name="Percent 2 22 3 3 2" xfId="31170"/>
    <cellStyle name="Percent 2 22 3 4" xfId="17644"/>
    <cellStyle name="Percent 2 22 3 4 2" xfId="37322"/>
    <cellStyle name="Percent 2 22 3 5" xfId="25006"/>
    <cellStyle name="Percent 2 22 4" xfId="6830"/>
    <cellStyle name="Percent 2 22 4 2" xfId="13024"/>
    <cellStyle name="Percent 2 22 4 2 2" xfId="32702"/>
    <cellStyle name="Percent 2 22 4 3" xfId="19176"/>
    <cellStyle name="Percent 2 22 4 3 2" xfId="38854"/>
    <cellStyle name="Percent 2 22 4 4" xfId="26538"/>
    <cellStyle name="Percent 2 22 5" xfId="9958"/>
    <cellStyle name="Percent 2 22 5 2" xfId="29636"/>
    <cellStyle name="Percent 2 22 6" xfId="16110"/>
    <cellStyle name="Percent 2 22 6 2" xfId="35788"/>
    <cellStyle name="Percent 2 22 7" xfId="23449"/>
    <cellStyle name="Percent 2 22 8" xfId="22001"/>
    <cellStyle name="Percent 2 23" xfId="22044"/>
    <cellStyle name="Percent 2 24" xfId="22059"/>
    <cellStyle name="Percent 2 25" xfId="21996"/>
    <cellStyle name="Percent 2 26" xfId="22129"/>
    <cellStyle name="Percent 2 27" xfId="22203"/>
    <cellStyle name="Percent 2 28" xfId="22181"/>
    <cellStyle name="Percent 2 29" xfId="22172"/>
    <cellStyle name="Percent 2 3" xfId="311"/>
    <cellStyle name="Percent 2 3 10" xfId="21770"/>
    <cellStyle name="Percent 2 3 2" xfId="3359"/>
    <cellStyle name="Percent 2 3 2 2" xfId="23455"/>
    <cellStyle name="Percent 2 3 2 3" xfId="22390"/>
    <cellStyle name="Percent 2 3 3" xfId="3360"/>
    <cellStyle name="Percent 2 3 4" xfId="3358"/>
    <cellStyle name="Percent 2 3 5" xfId="9322"/>
    <cellStyle name="Percent 2 3 6" xfId="22728"/>
    <cellStyle name="Percent 2 3 7" xfId="41365"/>
    <cellStyle name="Percent 2 3 8" xfId="41574"/>
    <cellStyle name="Percent 2 3 9" xfId="42050"/>
    <cellStyle name="Percent 2 30" xfId="22237"/>
    <cellStyle name="Percent 2 31" xfId="22265"/>
    <cellStyle name="Percent 2 32" xfId="21753"/>
    <cellStyle name="Percent 2 33" xfId="42046"/>
    <cellStyle name="Percent 2 4" xfId="312"/>
    <cellStyle name="Percent 2 4 2" xfId="3362"/>
    <cellStyle name="Percent 2 4 3" xfId="3755"/>
    <cellStyle name="Percent 2 4 4" xfId="3361"/>
    <cellStyle name="Percent 2 4 5" xfId="42051"/>
    <cellStyle name="Percent 2 5" xfId="313"/>
    <cellStyle name="Percent 2 5 2" xfId="3756"/>
    <cellStyle name="Percent 2 5 3" xfId="3363"/>
    <cellStyle name="Percent 2 5 4" xfId="22729"/>
    <cellStyle name="Percent 2 5 5" xfId="42052"/>
    <cellStyle name="Percent 2 5 6" xfId="21801"/>
    <cellStyle name="Percent 2 6" xfId="314"/>
    <cellStyle name="Percent 2 6 2" xfId="3757"/>
    <cellStyle name="Percent 2 6 3" xfId="3364"/>
    <cellStyle name="Percent 2 6 4" xfId="22730"/>
    <cellStyle name="Percent 2 6 5" xfId="42053"/>
    <cellStyle name="Percent 2 6 6" xfId="21822"/>
    <cellStyle name="Percent 2 7" xfId="315"/>
    <cellStyle name="Percent 2 7 2" xfId="3758"/>
    <cellStyle name="Percent 2 7 3" xfId="3365"/>
    <cellStyle name="Percent 2 7 4" xfId="22731"/>
    <cellStyle name="Percent 2 7 5" xfId="21817"/>
    <cellStyle name="Percent 2 8" xfId="316"/>
    <cellStyle name="Percent 2 8 2" xfId="3759"/>
    <cellStyle name="Percent 2 8 3" xfId="3366"/>
    <cellStyle name="Percent 2 8 4" xfId="22732"/>
    <cellStyle name="Percent 2 8 5" xfId="21881"/>
    <cellStyle name="Percent 2 9" xfId="317"/>
    <cellStyle name="Percent 2 9 2" xfId="3760"/>
    <cellStyle name="Percent 2 9 3" xfId="3367"/>
    <cellStyle name="Percent 2 9 4" xfId="22733"/>
    <cellStyle name="Percent 2 9 5" xfId="21852"/>
    <cellStyle name="Percent 20" xfId="3368"/>
    <cellStyle name="Percent 21" xfId="3369"/>
    <cellStyle name="Percent 22" xfId="3370"/>
    <cellStyle name="Percent 23" xfId="3371"/>
    <cellStyle name="Percent 24" xfId="3372"/>
    <cellStyle name="Percent 25" xfId="3373"/>
    <cellStyle name="Percent 25 2" xfId="3374"/>
    <cellStyle name="Percent 25 2 2" xfId="3375"/>
    <cellStyle name="Percent 25 2 2 2" xfId="4425"/>
    <cellStyle name="Percent 25 2 2 2 2" xfId="6050"/>
    <cellStyle name="Percent 25 2 2 2 2 2" xfId="9136"/>
    <cellStyle name="Percent 25 2 2 2 2 2 2" xfId="15329"/>
    <cellStyle name="Percent 25 2 2 2 2 2 2 2" xfId="35007"/>
    <cellStyle name="Percent 25 2 2 2 2 2 3" xfId="21481"/>
    <cellStyle name="Percent 25 2 2 2 2 2 3 2" xfId="41159"/>
    <cellStyle name="Percent 25 2 2 2 2 2 4" xfId="28843"/>
    <cellStyle name="Percent 25 2 2 2 2 3" xfId="12263"/>
    <cellStyle name="Percent 25 2 2 2 2 3 2" xfId="31941"/>
    <cellStyle name="Percent 25 2 2 2 2 4" xfId="18415"/>
    <cellStyle name="Percent 25 2 2 2 2 4 2" xfId="38093"/>
    <cellStyle name="Percent 25 2 2 2 2 5" xfId="25777"/>
    <cellStyle name="Percent 25 2 2 2 3" xfId="7601"/>
    <cellStyle name="Percent 25 2 2 2 3 2" xfId="13795"/>
    <cellStyle name="Percent 25 2 2 2 3 2 2" xfId="33473"/>
    <cellStyle name="Percent 25 2 2 2 3 3" xfId="19947"/>
    <cellStyle name="Percent 25 2 2 2 3 3 2" xfId="39625"/>
    <cellStyle name="Percent 25 2 2 2 3 4" xfId="27309"/>
    <cellStyle name="Percent 25 2 2 2 4" xfId="10729"/>
    <cellStyle name="Percent 25 2 2 2 4 2" xfId="30407"/>
    <cellStyle name="Percent 25 2 2 2 5" xfId="16881"/>
    <cellStyle name="Percent 25 2 2 2 5 2" xfId="36559"/>
    <cellStyle name="Percent 25 2 2 2 6" xfId="24243"/>
    <cellStyle name="Percent 25 2 2 3" xfId="5271"/>
    <cellStyle name="Percent 25 2 2 3 2" xfId="8367"/>
    <cellStyle name="Percent 25 2 2 3 2 2" xfId="14560"/>
    <cellStyle name="Percent 25 2 2 3 2 2 2" xfId="34238"/>
    <cellStyle name="Percent 25 2 2 3 2 3" xfId="20712"/>
    <cellStyle name="Percent 25 2 2 3 2 3 2" xfId="40390"/>
    <cellStyle name="Percent 25 2 2 3 2 4" xfId="28074"/>
    <cellStyle name="Percent 25 2 2 3 3" xfId="11494"/>
    <cellStyle name="Percent 25 2 2 3 3 2" xfId="31172"/>
    <cellStyle name="Percent 25 2 2 3 4" xfId="17646"/>
    <cellStyle name="Percent 25 2 2 3 4 2" xfId="37324"/>
    <cellStyle name="Percent 25 2 2 3 5" xfId="25008"/>
    <cellStyle name="Percent 25 2 2 4" xfId="6832"/>
    <cellStyle name="Percent 25 2 2 4 2" xfId="13026"/>
    <cellStyle name="Percent 25 2 2 4 2 2" xfId="32704"/>
    <cellStyle name="Percent 25 2 2 4 3" xfId="19178"/>
    <cellStyle name="Percent 25 2 2 4 3 2" xfId="38856"/>
    <cellStyle name="Percent 25 2 2 4 4" xfId="26540"/>
    <cellStyle name="Percent 25 2 2 5" xfId="9960"/>
    <cellStyle name="Percent 25 2 2 5 2" xfId="29638"/>
    <cellStyle name="Percent 25 2 2 6" xfId="16112"/>
    <cellStyle name="Percent 25 2 2 6 2" xfId="35790"/>
    <cellStyle name="Percent 25 2 2 7" xfId="23457"/>
    <cellStyle name="Percent 25 2 3" xfId="4424"/>
    <cellStyle name="Percent 25 2 3 2" xfId="6049"/>
    <cellStyle name="Percent 25 2 3 2 2" xfId="9135"/>
    <cellStyle name="Percent 25 2 3 2 2 2" xfId="15328"/>
    <cellStyle name="Percent 25 2 3 2 2 2 2" xfId="35006"/>
    <cellStyle name="Percent 25 2 3 2 2 3" xfId="21480"/>
    <cellStyle name="Percent 25 2 3 2 2 3 2" xfId="41158"/>
    <cellStyle name="Percent 25 2 3 2 2 4" xfId="28842"/>
    <cellStyle name="Percent 25 2 3 2 3" xfId="12262"/>
    <cellStyle name="Percent 25 2 3 2 3 2" xfId="31940"/>
    <cellStyle name="Percent 25 2 3 2 4" xfId="18414"/>
    <cellStyle name="Percent 25 2 3 2 4 2" xfId="38092"/>
    <cellStyle name="Percent 25 2 3 2 5" xfId="25776"/>
    <cellStyle name="Percent 25 2 3 3" xfId="7600"/>
    <cellStyle name="Percent 25 2 3 3 2" xfId="13794"/>
    <cellStyle name="Percent 25 2 3 3 2 2" xfId="33472"/>
    <cellStyle name="Percent 25 2 3 3 3" xfId="19946"/>
    <cellStyle name="Percent 25 2 3 3 3 2" xfId="39624"/>
    <cellStyle name="Percent 25 2 3 3 4" xfId="27308"/>
    <cellStyle name="Percent 25 2 3 4" xfId="10728"/>
    <cellStyle name="Percent 25 2 3 4 2" xfId="30406"/>
    <cellStyle name="Percent 25 2 3 5" xfId="16880"/>
    <cellStyle name="Percent 25 2 3 5 2" xfId="36558"/>
    <cellStyle name="Percent 25 2 3 6" xfId="24242"/>
    <cellStyle name="Percent 25 2 4" xfId="5270"/>
    <cellStyle name="Percent 25 2 4 2" xfId="8366"/>
    <cellStyle name="Percent 25 2 4 2 2" xfId="14559"/>
    <cellStyle name="Percent 25 2 4 2 2 2" xfId="34237"/>
    <cellStyle name="Percent 25 2 4 2 3" xfId="20711"/>
    <cellStyle name="Percent 25 2 4 2 3 2" xfId="40389"/>
    <cellStyle name="Percent 25 2 4 2 4" xfId="28073"/>
    <cellStyle name="Percent 25 2 4 3" xfId="11493"/>
    <cellStyle name="Percent 25 2 4 3 2" xfId="31171"/>
    <cellStyle name="Percent 25 2 4 4" xfId="17645"/>
    <cellStyle name="Percent 25 2 4 4 2" xfId="37323"/>
    <cellStyle name="Percent 25 2 4 5" xfId="25007"/>
    <cellStyle name="Percent 25 2 5" xfId="6831"/>
    <cellStyle name="Percent 25 2 5 2" xfId="13025"/>
    <cellStyle name="Percent 25 2 5 2 2" xfId="32703"/>
    <cellStyle name="Percent 25 2 5 3" xfId="19177"/>
    <cellStyle name="Percent 25 2 5 3 2" xfId="38855"/>
    <cellStyle name="Percent 25 2 5 4" xfId="26539"/>
    <cellStyle name="Percent 25 2 6" xfId="9959"/>
    <cellStyle name="Percent 25 2 6 2" xfId="29637"/>
    <cellStyle name="Percent 25 2 7" xfId="16111"/>
    <cellStyle name="Percent 25 2 7 2" xfId="35789"/>
    <cellStyle name="Percent 25 2 8" xfId="23456"/>
    <cellStyle name="Percent 25 3" xfId="3376"/>
    <cellStyle name="Percent 25 3 2" xfId="3377"/>
    <cellStyle name="Percent 25 3 2 2" xfId="4427"/>
    <cellStyle name="Percent 25 3 2 2 2" xfId="6052"/>
    <cellStyle name="Percent 25 3 2 2 2 2" xfId="9138"/>
    <cellStyle name="Percent 25 3 2 2 2 2 2" xfId="15331"/>
    <cellStyle name="Percent 25 3 2 2 2 2 2 2" xfId="35009"/>
    <cellStyle name="Percent 25 3 2 2 2 2 3" xfId="21483"/>
    <cellStyle name="Percent 25 3 2 2 2 2 3 2" xfId="41161"/>
    <cellStyle name="Percent 25 3 2 2 2 2 4" xfId="28845"/>
    <cellStyle name="Percent 25 3 2 2 2 3" xfId="12265"/>
    <cellStyle name="Percent 25 3 2 2 2 3 2" xfId="31943"/>
    <cellStyle name="Percent 25 3 2 2 2 4" xfId="18417"/>
    <cellStyle name="Percent 25 3 2 2 2 4 2" xfId="38095"/>
    <cellStyle name="Percent 25 3 2 2 2 5" xfId="25779"/>
    <cellStyle name="Percent 25 3 2 2 3" xfId="7603"/>
    <cellStyle name="Percent 25 3 2 2 3 2" xfId="13797"/>
    <cellStyle name="Percent 25 3 2 2 3 2 2" xfId="33475"/>
    <cellStyle name="Percent 25 3 2 2 3 3" xfId="19949"/>
    <cellStyle name="Percent 25 3 2 2 3 3 2" xfId="39627"/>
    <cellStyle name="Percent 25 3 2 2 3 4" xfId="27311"/>
    <cellStyle name="Percent 25 3 2 2 4" xfId="10731"/>
    <cellStyle name="Percent 25 3 2 2 4 2" xfId="30409"/>
    <cellStyle name="Percent 25 3 2 2 5" xfId="16883"/>
    <cellStyle name="Percent 25 3 2 2 5 2" xfId="36561"/>
    <cellStyle name="Percent 25 3 2 2 6" xfId="24245"/>
    <cellStyle name="Percent 25 3 2 3" xfId="5273"/>
    <cellStyle name="Percent 25 3 2 3 2" xfId="8369"/>
    <cellStyle name="Percent 25 3 2 3 2 2" xfId="14562"/>
    <cellStyle name="Percent 25 3 2 3 2 2 2" xfId="34240"/>
    <cellStyle name="Percent 25 3 2 3 2 3" xfId="20714"/>
    <cellStyle name="Percent 25 3 2 3 2 3 2" xfId="40392"/>
    <cellStyle name="Percent 25 3 2 3 2 4" xfId="28076"/>
    <cellStyle name="Percent 25 3 2 3 3" xfId="11496"/>
    <cellStyle name="Percent 25 3 2 3 3 2" xfId="31174"/>
    <cellStyle name="Percent 25 3 2 3 4" xfId="17648"/>
    <cellStyle name="Percent 25 3 2 3 4 2" xfId="37326"/>
    <cellStyle name="Percent 25 3 2 3 5" xfId="25010"/>
    <cellStyle name="Percent 25 3 2 4" xfId="6834"/>
    <cellStyle name="Percent 25 3 2 4 2" xfId="13028"/>
    <cellStyle name="Percent 25 3 2 4 2 2" xfId="32706"/>
    <cellStyle name="Percent 25 3 2 4 3" xfId="19180"/>
    <cellStyle name="Percent 25 3 2 4 3 2" xfId="38858"/>
    <cellStyle name="Percent 25 3 2 4 4" xfId="26542"/>
    <cellStyle name="Percent 25 3 2 5" xfId="9962"/>
    <cellStyle name="Percent 25 3 2 5 2" xfId="29640"/>
    <cellStyle name="Percent 25 3 2 6" xfId="16114"/>
    <cellStyle name="Percent 25 3 2 6 2" xfId="35792"/>
    <cellStyle name="Percent 25 3 2 7" xfId="23459"/>
    <cellStyle name="Percent 25 3 3" xfId="4426"/>
    <cellStyle name="Percent 25 3 3 2" xfId="6051"/>
    <cellStyle name="Percent 25 3 3 2 2" xfId="9137"/>
    <cellStyle name="Percent 25 3 3 2 2 2" xfId="15330"/>
    <cellStyle name="Percent 25 3 3 2 2 2 2" xfId="35008"/>
    <cellStyle name="Percent 25 3 3 2 2 3" xfId="21482"/>
    <cellStyle name="Percent 25 3 3 2 2 3 2" xfId="41160"/>
    <cellStyle name="Percent 25 3 3 2 2 4" xfId="28844"/>
    <cellStyle name="Percent 25 3 3 2 3" xfId="12264"/>
    <cellStyle name="Percent 25 3 3 2 3 2" xfId="31942"/>
    <cellStyle name="Percent 25 3 3 2 4" xfId="18416"/>
    <cellStyle name="Percent 25 3 3 2 4 2" xfId="38094"/>
    <cellStyle name="Percent 25 3 3 2 5" xfId="25778"/>
    <cellStyle name="Percent 25 3 3 3" xfId="7602"/>
    <cellStyle name="Percent 25 3 3 3 2" xfId="13796"/>
    <cellStyle name="Percent 25 3 3 3 2 2" xfId="33474"/>
    <cellStyle name="Percent 25 3 3 3 3" xfId="19948"/>
    <cellStyle name="Percent 25 3 3 3 3 2" xfId="39626"/>
    <cellStyle name="Percent 25 3 3 3 4" xfId="27310"/>
    <cellStyle name="Percent 25 3 3 4" xfId="10730"/>
    <cellStyle name="Percent 25 3 3 4 2" xfId="30408"/>
    <cellStyle name="Percent 25 3 3 5" xfId="16882"/>
    <cellStyle name="Percent 25 3 3 5 2" xfId="36560"/>
    <cellStyle name="Percent 25 3 3 6" xfId="24244"/>
    <cellStyle name="Percent 25 3 4" xfId="5272"/>
    <cellStyle name="Percent 25 3 4 2" xfId="8368"/>
    <cellStyle name="Percent 25 3 4 2 2" xfId="14561"/>
    <cellStyle name="Percent 25 3 4 2 2 2" xfId="34239"/>
    <cellStyle name="Percent 25 3 4 2 3" xfId="20713"/>
    <cellStyle name="Percent 25 3 4 2 3 2" xfId="40391"/>
    <cellStyle name="Percent 25 3 4 2 4" xfId="28075"/>
    <cellStyle name="Percent 25 3 4 3" xfId="11495"/>
    <cellStyle name="Percent 25 3 4 3 2" xfId="31173"/>
    <cellStyle name="Percent 25 3 4 4" xfId="17647"/>
    <cellStyle name="Percent 25 3 4 4 2" xfId="37325"/>
    <cellStyle name="Percent 25 3 4 5" xfId="25009"/>
    <cellStyle name="Percent 25 3 5" xfId="6833"/>
    <cellStyle name="Percent 25 3 5 2" xfId="13027"/>
    <cellStyle name="Percent 25 3 5 2 2" xfId="32705"/>
    <cellStyle name="Percent 25 3 5 3" xfId="19179"/>
    <cellStyle name="Percent 25 3 5 3 2" xfId="38857"/>
    <cellStyle name="Percent 25 3 5 4" xfId="26541"/>
    <cellStyle name="Percent 25 3 6" xfId="9961"/>
    <cellStyle name="Percent 25 3 6 2" xfId="29639"/>
    <cellStyle name="Percent 25 3 7" xfId="16113"/>
    <cellStyle name="Percent 25 3 7 2" xfId="35791"/>
    <cellStyle name="Percent 25 3 8" xfId="23458"/>
    <cellStyle name="Percent 25 4" xfId="3378"/>
    <cellStyle name="Percent 25 4 2" xfId="3379"/>
    <cellStyle name="Percent 25 4 2 2" xfId="4428"/>
    <cellStyle name="Percent 25 4 2 2 2" xfId="6053"/>
    <cellStyle name="Percent 25 4 2 2 2 2" xfId="9139"/>
    <cellStyle name="Percent 25 4 2 2 2 2 2" xfId="15332"/>
    <cellStyle name="Percent 25 4 2 2 2 2 2 2" xfId="35010"/>
    <cellStyle name="Percent 25 4 2 2 2 2 3" xfId="21484"/>
    <cellStyle name="Percent 25 4 2 2 2 2 3 2" xfId="41162"/>
    <cellStyle name="Percent 25 4 2 2 2 2 4" xfId="28846"/>
    <cellStyle name="Percent 25 4 2 2 2 3" xfId="12266"/>
    <cellStyle name="Percent 25 4 2 2 2 3 2" xfId="31944"/>
    <cellStyle name="Percent 25 4 2 2 2 4" xfId="18418"/>
    <cellStyle name="Percent 25 4 2 2 2 4 2" xfId="38096"/>
    <cellStyle name="Percent 25 4 2 2 2 5" xfId="25780"/>
    <cellStyle name="Percent 25 4 2 2 3" xfId="7604"/>
    <cellStyle name="Percent 25 4 2 2 3 2" xfId="13798"/>
    <cellStyle name="Percent 25 4 2 2 3 2 2" xfId="33476"/>
    <cellStyle name="Percent 25 4 2 2 3 3" xfId="19950"/>
    <cellStyle name="Percent 25 4 2 2 3 3 2" xfId="39628"/>
    <cellStyle name="Percent 25 4 2 2 3 4" xfId="27312"/>
    <cellStyle name="Percent 25 4 2 2 4" xfId="10732"/>
    <cellStyle name="Percent 25 4 2 2 4 2" xfId="30410"/>
    <cellStyle name="Percent 25 4 2 2 5" xfId="16884"/>
    <cellStyle name="Percent 25 4 2 2 5 2" xfId="36562"/>
    <cellStyle name="Percent 25 4 2 2 6" xfId="24246"/>
    <cellStyle name="Percent 25 4 2 3" xfId="5274"/>
    <cellStyle name="Percent 25 4 2 3 2" xfId="8370"/>
    <cellStyle name="Percent 25 4 2 3 2 2" xfId="14563"/>
    <cellStyle name="Percent 25 4 2 3 2 2 2" xfId="34241"/>
    <cellStyle name="Percent 25 4 2 3 2 3" xfId="20715"/>
    <cellStyle name="Percent 25 4 2 3 2 3 2" xfId="40393"/>
    <cellStyle name="Percent 25 4 2 3 2 4" xfId="28077"/>
    <cellStyle name="Percent 25 4 2 3 3" xfId="11497"/>
    <cellStyle name="Percent 25 4 2 3 3 2" xfId="31175"/>
    <cellStyle name="Percent 25 4 2 3 4" xfId="17649"/>
    <cellStyle name="Percent 25 4 2 3 4 2" xfId="37327"/>
    <cellStyle name="Percent 25 4 2 3 5" xfId="25011"/>
    <cellStyle name="Percent 25 4 2 4" xfId="6835"/>
    <cellStyle name="Percent 25 4 2 4 2" xfId="13029"/>
    <cellStyle name="Percent 25 4 2 4 2 2" xfId="32707"/>
    <cellStyle name="Percent 25 4 2 4 3" xfId="19181"/>
    <cellStyle name="Percent 25 4 2 4 3 2" xfId="38859"/>
    <cellStyle name="Percent 25 4 2 4 4" xfId="26543"/>
    <cellStyle name="Percent 25 4 2 5" xfId="9963"/>
    <cellStyle name="Percent 25 4 2 5 2" xfId="29641"/>
    <cellStyle name="Percent 25 4 2 6" xfId="16115"/>
    <cellStyle name="Percent 25 4 2 6 2" xfId="35793"/>
    <cellStyle name="Percent 25 4 2 7" xfId="23460"/>
    <cellStyle name="Percent 25 5" xfId="3380"/>
    <cellStyle name="Percent 25 5 2" xfId="4429"/>
    <cellStyle name="Percent 25 5 2 2" xfId="6054"/>
    <cellStyle name="Percent 25 5 2 2 2" xfId="9140"/>
    <cellStyle name="Percent 25 5 2 2 2 2" xfId="15333"/>
    <cellStyle name="Percent 25 5 2 2 2 2 2" xfId="35011"/>
    <cellStyle name="Percent 25 5 2 2 2 3" xfId="21485"/>
    <cellStyle name="Percent 25 5 2 2 2 3 2" xfId="41163"/>
    <cellStyle name="Percent 25 5 2 2 2 4" xfId="28847"/>
    <cellStyle name="Percent 25 5 2 2 3" xfId="12267"/>
    <cellStyle name="Percent 25 5 2 2 3 2" xfId="31945"/>
    <cellStyle name="Percent 25 5 2 2 4" xfId="18419"/>
    <cellStyle name="Percent 25 5 2 2 4 2" xfId="38097"/>
    <cellStyle name="Percent 25 5 2 2 5" xfId="25781"/>
    <cellStyle name="Percent 25 5 2 3" xfId="7605"/>
    <cellStyle name="Percent 25 5 2 3 2" xfId="13799"/>
    <cellStyle name="Percent 25 5 2 3 2 2" xfId="33477"/>
    <cellStyle name="Percent 25 5 2 3 3" xfId="19951"/>
    <cellStyle name="Percent 25 5 2 3 3 2" xfId="39629"/>
    <cellStyle name="Percent 25 5 2 3 4" xfId="27313"/>
    <cellStyle name="Percent 25 5 2 4" xfId="10733"/>
    <cellStyle name="Percent 25 5 2 4 2" xfId="30411"/>
    <cellStyle name="Percent 25 5 2 5" xfId="16885"/>
    <cellStyle name="Percent 25 5 2 5 2" xfId="36563"/>
    <cellStyle name="Percent 25 5 2 6" xfId="24247"/>
    <cellStyle name="Percent 25 5 3" xfId="5275"/>
    <cellStyle name="Percent 25 5 3 2" xfId="8371"/>
    <cellStyle name="Percent 25 5 3 2 2" xfId="14564"/>
    <cellStyle name="Percent 25 5 3 2 2 2" xfId="34242"/>
    <cellStyle name="Percent 25 5 3 2 3" xfId="20716"/>
    <cellStyle name="Percent 25 5 3 2 3 2" xfId="40394"/>
    <cellStyle name="Percent 25 5 3 2 4" xfId="28078"/>
    <cellStyle name="Percent 25 5 3 3" xfId="11498"/>
    <cellStyle name="Percent 25 5 3 3 2" xfId="31176"/>
    <cellStyle name="Percent 25 5 3 4" xfId="17650"/>
    <cellStyle name="Percent 25 5 3 4 2" xfId="37328"/>
    <cellStyle name="Percent 25 5 3 5" xfId="25012"/>
    <cellStyle name="Percent 25 5 4" xfId="6836"/>
    <cellStyle name="Percent 25 5 4 2" xfId="13030"/>
    <cellStyle name="Percent 25 5 4 2 2" xfId="32708"/>
    <cellStyle name="Percent 25 5 4 3" xfId="19182"/>
    <cellStyle name="Percent 25 5 4 3 2" xfId="38860"/>
    <cellStyle name="Percent 25 5 4 4" xfId="26544"/>
    <cellStyle name="Percent 25 5 5" xfId="9964"/>
    <cellStyle name="Percent 25 5 5 2" xfId="29642"/>
    <cellStyle name="Percent 25 5 6" xfId="16116"/>
    <cellStyle name="Percent 25 5 6 2" xfId="35794"/>
    <cellStyle name="Percent 25 5 7" xfId="23461"/>
    <cellStyle name="Percent 26" xfId="3381"/>
    <cellStyle name="Percent 26 2" xfId="3382"/>
    <cellStyle name="Percent 26 2 2" xfId="3383"/>
    <cellStyle name="Percent 26 2 2 2" xfId="4431"/>
    <cellStyle name="Percent 26 2 2 2 2" xfId="6056"/>
    <cellStyle name="Percent 26 2 2 2 2 2" xfId="9142"/>
    <cellStyle name="Percent 26 2 2 2 2 2 2" xfId="15335"/>
    <cellStyle name="Percent 26 2 2 2 2 2 2 2" xfId="35013"/>
    <cellStyle name="Percent 26 2 2 2 2 2 3" xfId="21487"/>
    <cellStyle name="Percent 26 2 2 2 2 2 3 2" xfId="41165"/>
    <cellStyle name="Percent 26 2 2 2 2 2 4" xfId="28849"/>
    <cellStyle name="Percent 26 2 2 2 2 3" xfId="12269"/>
    <cellStyle name="Percent 26 2 2 2 2 3 2" xfId="31947"/>
    <cellStyle name="Percent 26 2 2 2 2 4" xfId="18421"/>
    <cellStyle name="Percent 26 2 2 2 2 4 2" xfId="38099"/>
    <cellStyle name="Percent 26 2 2 2 2 5" xfId="25783"/>
    <cellStyle name="Percent 26 2 2 2 3" xfId="7607"/>
    <cellStyle name="Percent 26 2 2 2 3 2" xfId="13801"/>
    <cellStyle name="Percent 26 2 2 2 3 2 2" xfId="33479"/>
    <cellStyle name="Percent 26 2 2 2 3 3" xfId="19953"/>
    <cellStyle name="Percent 26 2 2 2 3 3 2" xfId="39631"/>
    <cellStyle name="Percent 26 2 2 2 3 4" xfId="27315"/>
    <cellStyle name="Percent 26 2 2 2 4" xfId="10735"/>
    <cellStyle name="Percent 26 2 2 2 4 2" xfId="30413"/>
    <cellStyle name="Percent 26 2 2 2 5" xfId="16887"/>
    <cellStyle name="Percent 26 2 2 2 5 2" xfId="36565"/>
    <cellStyle name="Percent 26 2 2 2 6" xfId="24249"/>
    <cellStyle name="Percent 26 2 2 3" xfId="5277"/>
    <cellStyle name="Percent 26 2 2 3 2" xfId="8373"/>
    <cellStyle name="Percent 26 2 2 3 2 2" xfId="14566"/>
    <cellStyle name="Percent 26 2 2 3 2 2 2" xfId="34244"/>
    <cellStyle name="Percent 26 2 2 3 2 3" xfId="20718"/>
    <cellStyle name="Percent 26 2 2 3 2 3 2" xfId="40396"/>
    <cellStyle name="Percent 26 2 2 3 2 4" xfId="28080"/>
    <cellStyle name="Percent 26 2 2 3 3" xfId="11500"/>
    <cellStyle name="Percent 26 2 2 3 3 2" xfId="31178"/>
    <cellStyle name="Percent 26 2 2 3 4" xfId="17652"/>
    <cellStyle name="Percent 26 2 2 3 4 2" xfId="37330"/>
    <cellStyle name="Percent 26 2 2 3 5" xfId="25014"/>
    <cellStyle name="Percent 26 2 2 4" xfId="6838"/>
    <cellStyle name="Percent 26 2 2 4 2" xfId="13032"/>
    <cellStyle name="Percent 26 2 2 4 2 2" xfId="32710"/>
    <cellStyle name="Percent 26 2 2 4 3" xfId="19184"/>
    <cellStyle name="Percent 26 2 2 4 3 2" xfId="38862"/>
    <cellStyle name="Percent 26 2 2 4 4" xfId="26546"/>
    <cellStyle name="Percent 26 2 2 5" xfId="9966"/>
    <cellStyle name="Percent 26 2 2 5 2" xfId="29644"/>
    <cellStyle name="Percent 26 2 2 6" xfId="16118"/>
    <cellStyle name="Percent 26 2 2 6 2" xfId="35796"/>
    <cellStyle name="Percent 26 2 2 7" xfId="23463"/>
    <cellStyle name="Percent 26 2 3" xfId="4430"/>
    <cellStyle name="Percent 26 2 3 2" xfId="6055"/>
    <cellStyle name="Percent 26 2 3 2 2" xfId="9141"/>
    <cellStyle name="Percent 26 2 3 2 2 2" xfId="15334"/>
    <cellStyle name="Percent 26 2 3 2 2 2 2" xfId="35012"/>
    <cellStyle name="Percent 26 2 3 2 2 3" xfId="21486"/>
    <cellStyle name="Percent 26 2 3 2 2 3 2" xfId="41164"/>
    <cellStyle name="Percent 26 2 3 2 2 4" xfId="28848"/>
    <cellStyle name="Percent 26 2 3 2 3" xfId="12268"/>
    <cellStyle name="Percent 26 2 3 2 3 2" xfId="31946"/>
    <cellStyle name="Percent 26 2 3 2 4" xfId="18420"/>
    <cellStyle name="Percent 26 2 3 2 4 2" xfId="38098"/>
    <cellStyle name="Percent 26 2 3 2 5" xfId="25782"/>
    <cellStyle name="Percent 26 2 3 3" xfId="7606"/>
    <cellStyle name="Percent 26 2 3 3 2" xfId="13800"/>
    <cellStyle name="Percent 26 2 3 3 2 2" xfId="33478"/>
    <cellStyle name="Percent 26 2 3 3 3" xfId="19952"/>
    <cellStyle name="Percent 26 2 3 3 3 2" xfId="39630"/>
    <cellStyle name="Percent 26 2 3 3 4" xfId="27314"/>
    <cellStyle name="Percent 26 2 3 4" xfId="10734"/>
    <cellStyle name="Percent 26 2 3 4 2" xfId="30412"/>
    <cellStyle name="Percent 26 2 3 5" xfId="16886"/>
    <cellStyle name="Percent 26 2 3 5 2" xfId="36564"/>
    <cellStyle name="Percent 26 2 3 6" xfId="24248"/>
    <cellStyle name="Percent 26 2 4" xfId="5276"/>
    <cellStyle name="Percent 26 2 4 2" xfId="8372"/>
    <cellStyle name="Percent 26 2 4 2 2" xfId="14565"/>
    <cellStyle name="Percent 26 2 4 2 2 2" xfId="34243"/>
    <cellStyle name="Percent 26 2 4 2 3" xfId="20717"/>
    <cellStyle name="Percent 26 2 4 2 3 2" xfId="40395"/>
    <cellStyle name="Percent 26 2 4 2 4" xfId="28079"/>
    <cellStyle name="Percent 26 2 4 3" xfId="11499"/>
    <cellStyle name="Percent 26 2 4 3 2" xfId="31177"/>
    <cellStyle name="Percent 26 2 4 4" xfId="17651"/>
    <cellStyle name="Percent 26 2 4 4 2" xfId="37329"/>
    <cellStyle name="Percent 26 2 4 5" xfId="25013"/>
    <cellStyle name="Percent 26 2 5" xfId="6837"/>
    <cellStyle name="Percent 26 2 5 2" xfId="13031"/>
    <cellStyle name="Percent 26 2 5 2 2" xfId="32709"/>
    <cellStyle name="Percent 26 2 5 3" xfId="19183"/>
    <cellStyle name="Percent 26 2 5 3 2" xfId="38861"/>
    <cellStyle name="Percent 26 2 5 4" xfId="26545"/>
    <cellStyle name="Percent 26 2 6" xfId="9965"/>
    <cellStyle name="Percent 26 2 6 2" xfId="29643"/>
    <cellStyle name="Percent 26 2 7" xfId="16117"/>
    <cellStyle name="Percent 26 2 7 2" xfId="35795"/>
    <cellStyle name="Percent 26 2 8" xfId="23462"/>
    <cellStyle name="Percent 26 3" xfId="3384"/>
    <cellStyle name="Percent 26 3 2" xfId="3385"/>
    <cellStyle name="Percent 26 3 2 2" xfId="4433"/>
    <cellStyle name="Percent 26 3 2 2 2" xfId="6058"/>
    <cellStyle name="Percent 26 3 2 2 2 2" xfId="9144"/>
    <cellStyle name="Percent 26 3 2 2 2 2 2" xfId="15337"/>
    <cellStyle name="Percent 26 3 2 2 2 2 2 2" xfId="35015"/>
    <cellStyle name="Percent 26 3 2 2 2 2 3" xfId="21489"/>
    <cellStyle name="Percent 26 3 2 2 2 2 3 2" xfId="41167"/>
    <cellStyle name="Percent 26 3 2 2 2 2 4" xfId="28851"/>
    <cellStyle name="Percent 26 3 2 2 2 3" xfId="12271"/>
    <cellStyle name="Percent 26 3 2 2 2 3 2" xfId="31949"/>
    <cellStyle name="Percent 26 3 2 2 2 4" xfId="18423"/>
    <cellStyle name="Percent 26 3 2 2 2 4 2" xfId="38101"/>
    <cellStyle name="Percent 26 3 2 2 2 5" xfId="25785"/>
    <cellStyle name="Percent 26 3 2 2 3" xfId="7609"/>
    <cellStyle name="Percent 26 3 2 2 3 2" xfId="13803"/>
    <cellStyle name="Percent 26 3 2 2 3 2 2" xfId="33481"/>
    <cellStyle name="Percent 26 3 2 2 3 3" xfId="19955"/>
    <cellStyle name="Percent 26 3 2 2 3 3 2" xfId="39633"/>
    <cellStyle name="Percent 26 3 2 2 3 4" xfId="27317"/>
    <cellStyle name="Percent 26 3 2 2 4" xfId="10737"/>
    <cellStyle name="Percent 26 3 2 2 4 2" xfId="30415"/>
    <cellStyle name="Percent 26 3 2 2 5" xfId="16889"/>
    <cellStyle name="Percent 26 3 2 2 5 2" xfId="36567"/>
    <cellStyle name="Percent 26 3 2 2 6" xfId="24251"/>
    <cellStyle name="Percent 26 3 2 3" xfId="5279"/>
    <cellStyle name="Percent 26 3 2 3 2" xfId="8375"/>
    <cellStyle name="Percent 26 3 2 3 2 2" xfId="14568"/>
    <cellStyle name="Percent 26 3 2 3 2 2 2" xfId="34246"/>
    <cellStyle name="Percent 26 3 2 3 2 3" xfId="20720"/>
    <cellStyle name="Percent 26 3 2 3 2 3 2" xfId="40398"/>
    <cellStyle name="Percent 26 3 2 3 2 4" xfId="28082"/>
    <cellStyle name="Percent 26 3 2 3 3" xfId="11502"/>
    <cellStyle name="Percent 26 3 2 3 3 2" xfId="31180"/>
    <cellStyle name="Percent 26 3 2 3 4" xfId="17654"/>
    <cellStyle name="Percent 26 3 2 3 4 2" xfId="37332"/>
    <cellStyle name="Percent 26 3 2 3 5" xfId="25016"/>
    <cellStyle name="Percent 26 3 2 4" xfId="6840"/>
    <cellStyle name="Percent 26 3 2 4 2" xfId="13034"/>
    <cellStyle name="Percent 26 3 2 4 2 2" xfId="32712"/>
    <cellStyle name="Percent 26 3 2 4 3" xfId="19186"/>
    <cellStyle name="Percent 26 3 2 4 3 2" xfId="38864"/>
    <cellStyle name="Percent 26 3 2 4 4" xfId="26548"/>
    <cellStyle name="Percent 26 3 2 5" xfId="9968"/>
    <cellStyle name="Percent 26 3 2 5 2" xfId="29646"/>
    <cellStyle name="Percent 26 3 2 6" xfId="16120"/>
    <cellStyle name="Percent 26 3 2 6 2" xfId="35798"/>
    <cellStyle name="Percent 26 3 2 7" xfId="23465"/>
    <cellStyle name="Percent 26 3 3" xfId="4432"/>
    <cellStyle name="Percent 26 3 3 2" xfId="6057"/>
    <cellStyle name="Percent 26 3 3 2 2" xfId="9143"/>
    <cellStyle name="Percent 26 3 3 2 2 2" xfId="15336"/>
    <cellStyle name="Percent 26 3 3 2 2 2 2" xfId="35014"/>
    <cellStyle name="Percent 26 3 3 2 2 3" xfId="21488"/>
    <cellStyle name="Percent 26 3 3 2 2 3 2" xfId="41166"/>
    <cellStyle name="Percent 26 3 3 2 2 4" xfId="28850"/>
    <cellStyle name="Percent 26 3 3 2 3" xfId="12270"/>
    <cellStyle name="Percent 26 3 3 2 3 2" xfId="31948"/>
    <cellStyle name="Percent 26 3 3 2 4" xfId="18422"/>
    <cellStyle name="Percent 26 3 3 2 4 2" xfId="38100"/>
    <cellStyle name="Percent 26 3 3 2 5" xfId="25784"/>
    <cellStyle name="Percent 26 3 3 3" xfId="7608"/>
    <cellStyle name="Percent 26 3 3 3 2" xfId="13802"/>
    <cellStyle name="Percent 26 3 3 3 2 2" xfId="33480"/>
    <cellStyle name="Percent 26 3 3 3 3" xfId="19954"/>
    <cellStyle name="Percent 26 3 3 3 3 2" xfId="39632"/>
    <cellStyle name="Percent 26 3 3 3 4" xfId="27316"/>
    <cellStyle name="Percent 26 3 3 4" xfId="10736"/>
    <cellStyle name="Percent 26 3 3 4 2" xfId="30414"/>
    <cellStyle name="Percent 26 3 3 5" xfId="16888"/>
    <cellStyle name="Percent 26 3 3 5 2" xfId="36566"/>
    <cellStyle name="Percent 26 3 3 6" xfId="24250"/>
    <cellStyle name="Percent 26 3 4" xfId="5278"/>
    <cellStyle name="Percent 26 3 4 2" xfId="8374"/>
    <cellStyle name="Percent 26 3 4 2 2" xfId="14567"/>
    <cellStyle name="Percent 26 3 4 2 2 2" xfId="34245"/>
    <cellStyle name="Percent 26 3 4 2 3" xfId="20719"/>
    <cellStyle name="Percent 26 3 4 2 3 2" xfId="40397"/>
    <cellStyle name="Percent 26 3 4 2 4" xfId="28081"/>
    <cellStyle name="Percent 26 3 4 3" xfId="11501"/>
    <cellStyle name="Percent 26 3 4 3 2" xfId="31179"/>
    <cellStyle name="Percent 26 3 4 4" xfId="17653"/>
    <cellStyle name="Percent 26 3 4 4 2" xfId="37331"/>
    <cellStyle name="Percent 26 3 4 5" xfId="25015"/>
    <cellStyle name="Percent 26 3 5" xfId="6839"/>
    <cellStyle name="Percent 26 3 5 2" xfId="13033"/>
    <cellStyle name="Percent 26 3 5 2 2" xfId="32711"/>
    <cellStyle name="Percent 26 3 5 3" xfId="19185"/>
    <cellStyle name="Percent 26 3 5 3 2" xfId="38863"/>
    <cellStyle name="Percent 26 3 5 4" xfId="26547"/>
    <cellStyle name="Percent 26 3 6" xfId="9967"/>
    <cellStyle name="Percent 26 3 6 2" xfId="29645"/>
    <cellStyle name="Percent 26 3 7" xfId="16119"/>
    <cellStyle name="Percent 26 3 7 2" xfId="35797"/>
    <cellStyle name="Percent 26 3 8" xfId="23464"/>
    <cellStyle name="Percent 26 4" xfId="3386"/>
    <cellStyle name="Percent 26 4 2" xfId="3387"/>
    <cellStyle name="Percent 26 4 2 2" xfId="4434"/>
    <cellStyle name="Percent 26 4 2 2 2" xfId="6059"/>
    <cellStyle name="Percent 26 4 2 2 2 2" xfId="9145"/>
    <cellStyle name="Percent 26 4 2 2 2 2 2" xfId="15338"/>
    <cellStyle name="Percent 26 4 2 2 2 2 2 2" xfId="35016"/>
    <cellStyle name="Percent 26 4 2 2 2 2 3" xfId="21490"/>
    <cellStyle name="Percent 26 4 2 2 2 2 3 2" xfId="41168"/>
    <cellStyle name="Percent 26 4 2 2 2 2 4" xfId="28852"/>
    <cellStyle name="Percent 26 4 2 2 2 3" xfId="12272"/>
    <cellStyle name="Percent 26 4 2 2 2 3 2" xfId="31950"/>
    <cellStyle name="Percent 26 4 2 2 2 4" xfId="18424"/>
    <cellStyle name="Percent 26 4 2 2 2 4 2" xfId="38102"/>
    <cellStyle name="Percent 26 4 2 2 2 5" xfId="25786"/>
    <cellStyle name="Percent 26 4 2 2 3" xfId="7610"/>
    <cellStyle name="Percent 26 4 2 2 3 2" xfId="13804"/>
    <cellStyle name="Percent 26 4 2 2 3 2 2" xfId="33482"/>
    <cellStyle name="Percent 26 4 2 2 3 3" xfId="19956"/>
    <cellStyle name="Percent 26 4 2 2 3 3 2" xfId="39634"/>
    <cellStyle name="Percent 26 4 2 2 3 4" xfId="27318"/>
    <cellStyle name="Percent 26 4 2 2 4" xfId="10738"/>
    <cellStyle name="Percent 26 4 2 2 4 2" xfId="30416"/>
    <cellStyle name="Percent 26 4 2 2 5" xfId="16890"/>
    <cellStyle name="Percent 26 4 2 2 5 2" xfId="36568"/>
    <cellStyle name="Percent 26 4 2 2 6" xfId="24252"/>
    <cellStyle name="Percent 26 4 2 3" xfId="5280"/>
    <cellStyle name="Percent 26 4 2 3 2" xfId="8376"/>
    <cellStyle name="Percent 26 4 2 3 2 2" xfId="14569"/>
    <cellStyle name="Percent 26 4 2 3 2 2 2" xfId="34247"/>
    <cellStyle name="Percent 26 4 2 3 2 3" xfId="20721"/>
    <cellStyle name="Percent 26 4 2 3 2 3 2" xfId="40399"/>
    <cellStyle name="Percent 26 4 2 3 2 4" xfId="28083"/>
    <cellStyle name="Percent 26 4 2 3 3" xfId="11503"/>
    <cellStyle name="Percent 26 4 2 3 3 2" xfId="31181"/>
    <cellStyle name="Percent 26 4 2 3 4" xfId="17655"/>
    <cellStyle name="Percent 26 4 2 3 4 2" xfId="37333"/>
    <cellStyle name="Percent 26 4 2 3 5" xfId="25017"/>
    <cellStyle name="Percent 26 4 2 4" xfId="6841"/>
    <cellStyle name="Percent 26 4 2 4 2" xfId="13035"/>
    <cellStyle name="Percent 26 4 2 4 2 2" xfId="32713"/>
    <cellStyle name="Percent 26 4 2 4 3" xfId="19187"/>
    <cellStyle name="Percent 26 4 2 4 3 2" xfId="38865"/>
    <cellStyle name="Percent 26 4 2 4 4" xfId="26549"/>
    <cellStyle name="Percent 26 4 2 5" xfId="9969"/>
    <cellStyle name="Percent 26 4 2 5 2" xfId="29647"/>
    <cellStyle name="Percent 26 4 2 6" xfId="16121"/>
    <cellStyle name="Percent 26 4 2 6 2" xfId="35799"/>
    <cellStyle name="Percent 26 4 2 7" xfId="23466"/>
    <cellStyle name="Percent 26 5" xfId="3388"/>
    <cellStyle name="Percent 26 5 2" xfId="4435"/>
    <cellStyle name="Percent 26 5 2 2" xfId="6060"/>
    <cellStyle name="Percent 26 5 2 2 2" xfId="9146"/>
    <cellStyle name="Percent 26 5 2 2 2 2" xfId="15339"/>
    <cellStyle name="Percent 26 5 2 2 2 2 2" xfId="35017"/>
    <cellStyle name="Percent 26 5 2 2 2 3" xfId="21491"/>
    <cellStyle name="Percent 26 5 2 2 2 3 2" xfId="41169"/>
    <cellStyle name="Percent 26 5 2 2 2 4" xfId="28853"/>
    <cellStyle name="Percent 26 5 2 2 3" xfId="12273"/>
    <cellStyle name="Percent 26 5 2 2 3 2" xfId="31951"/>
    <cellStyle name="Percent 26 5 2 2 4" xfId="18425"/>
    <cellStyle name="Percent 26 5 2 2 4 2" xfId="38103"/>
    <cellStyle name="Percent 26 5 2 2 5" xfId="25787"/>
    <cellStyle name="Percent 26 5 2 3" xfId="7611"/>
    <cellStyle name="Percent 26 5 2 3 2" xfId="13805"/>
    <cellStyle name="Percent 26 5 2 3 2 2" xfId="33483"/>
    <cellStyle name="Percent 26 5 2 3 3" xfId="19957"/>
    <cellStyle name="Percent 26 5 2 3 3 2" xfId="39635"/>
    <cellStyle name="Percent 26 5 2 3 4" xfId="27319"/>
    <cellStyle name="Percent 26 5 2 4" xfId="10739"/>
    <cellStyle name="Percent 26 5 2 4 2" xfId="30417"/>
    <cellStyle name="Percent 26 5 2 5" xfId="16891"/>
    <cellStyle name="Percent 26 5 2 5 2" xfId="36569"/>
    <cellStyle name="Percent 26 5 2 6" xfId="24253"/>
    <cellStyle name="Percent 26 5 3" xfId="5281"/>
    <cellStyle name="Percent 26 5 3 2" xfId="8377"/>
    <cellStyle name="Percent 26 5 3 2 2" xfId="14570"/>
    <cellStyle name="Percent 26 5 3 2 2 2" xfId="34248"/>
    <cellStyle name="Percent 26 5 3 2 3" xfId="20722"/>
    <cellStyle name="Percent 26 5 3 2 3 2" xfId="40400"/>
    <cellStyle name="Percent 26 5 3 2 4" xfId="28084"/>
    <cellStyle name="Percent 26 5 3 3" xfId="11504"/>
    <cellStyle name="Percent 26 5 3 3 2" xfId="31182"/>
    <cellStyle name="Percent 26 5 3 4" xfId="17656"/>
    <cellStyle name="Percent 26 5 3 4 2" xfId="37334"/>
    <cellStyle name="Percent 26 5 3 5" xfId="25018"/>
    <cellStyle name="Percent 26 5 4" xfId="6842"/>
    <cellStyle name="Percent 26 5 4 2" xfId="13036"/>
    <cellStyle name="Percent 26 5 4 2 2" xfId="32714"/>
    <cellStyle name="Percent 26 5 4 3" xfId="19188"/>
    <cellStyle name="Percent 26 5 4 3 2" xfId="38866"/>
    <cellStyle name="Percent 26 5 4 4" xfId="26550"/>
    <cellStyle name="Percent 26 5 5" xfId="9970"/>
    <cellStyle name="Percent 26 5 5 2" xfId="29648"/>
    <cellStyle name="Percent 26 5 6" xfId="16122"/>
    <cellStyle name="Percent 26 5 6 2" xfId="35800"/>
    <cellStyle name="Percent 26 5 7" xfId="23467"/>
    <cellStyle name="Percent 27" xfId="3389"/>
    <cellStyle name="Percent 27 2" xfId="3390"/>
    <cellStyle name="Percent 27 2 2" xfId="3391"/>
    <cellStyle name="Percent 27 2 2 2" xfId="4437"/>
    <cellStyle name="Percent 27 2 2 2 2" xfId="6062"/>
    <cellStyle name="Percent 27 2 2 2 2 2" xfId="9148"/>
    <cellStyle name="Percent 27 2 2 2 2 2 2" xfId="15341"/>
    <cellStyle name="Percent 27 2 2 2 2 2 2 2" xfId="35019"/>
    <cellStyle name="Percent 27 2 2 2 2 2 3" xfId="21493"/>
    <cellStyle name="Percent 27 2 2 2 2 2 3 2" xfId="41171"/>
    <cellStyle name="Percent 27 2 2 2 2 2 4" xfId="28855"/>
    <cellStyle name="Percent 27 2 2 2 2 3" xfId="12275"/>
    <cellStyle name="Percent 27 2 2 2 2 3 2" xfId="31953"/>
    <cellStyle name="Percent 27 2 2 2 2 4" xfId="18427"/>
    <cellStyle name="Percent 27 2 2 2 2 4 2" xfId="38105"/>
    <cellStyle name="Percent 27 2 2 2 2 5" xfId="25789"/>
    <cellStyle name="Percent 27 2 2 2 3" xfId="7613"/>
    <cellStyle name="Percent 27 2 2 2 3 2" xfId="13807"/>
    <cellStyle name="Percent 27 2 2 2 3 2 2" xfId="33485"/>
    <cellStyle name="Percent 27 2 2 2 3 3" xfId="19959"/>
    <cellStyle name="Percent 27 2 2 2 3 3 2" xfId="39637"/>
    <cellStyle name="Percent 27 2 2 2 3 4" xfId="27321"/>
    <cellStyle name="Percent 27 2 2 2 4" xfId="10741"/>
    <cellStyle name="Percent 27 2 2 2 4 2" xfId="30419"/>
    <cellStyle name="Percent 27 2 2 2 5" xfId="16893"/>
    <cellStyle name="Percent 27 2 2 2 5 2" xfId="36571"/>
    <cellStyle name="Percent 27 2 2 2 6" xfId="24255"/>
    <cellStyle name="Percent 27 2 2 3" xfId="5284"/>
    <cellStyle name="Percent 27 2 2 3 2" xfId="8379"/>
    <cellStyle name="Percent 27 2 2 3 2 2" xfId="14572"/>
    <cellStyle name="Percent 27 2 2 3 2 2 2" xfId="34250"/>
    <cellStyle name="Percent 27 2 2 3 2 3" xfId="20724"/>
    <cellStyle name="Percent 27 2 2 3 2 3 2" xfId="40402"/>
    <cellStyle name="Percent 27 2 2 3 2 4" xfId="28086"/>
    <cellStyle name="Percent 27 2 2 3 3" xfId="11506"/>
    <cellStyle name="Percent 27 2 2 3 3 2" xfId="31184"/>
    <cellStyle name="Percent 27 2 2 3 4" xfId="17658"/>
    <cellStyle name="Percent 27 2 2 3 4 2" xfId="37336"/>
    <cellStyle name="Percent 27 2 2 3 5" xfId="25020"/>
    <cellStyle name="Percent 27 2 2 4" xfId="6844"/>
    <cellStyle name="Percent 27 2 2 4 2" xfId="13038"/>
    <cellStyle name="Percent 27 2 2 4 2 2" xfId="32716"/>
    <cellStyle name="Percent 27 2 2 4 3" xfId="19190"/>
    <cellStyle name="Percent 27 2 2 4 3 2" xfId="38868"/>
    <cellStyle name="Percent 27 2 2 4 4" xfId="26552"/>
    <cellStyle name="Percent 27 2 2 5" xfId="9972"/>
    <cellStyle name="Percent 27 2 2 5 2" xfId="29650"/>
    <cellStyle name="Percent 27 2 2 6" xfId="16124"/>
    <cellStyle name="Percent 27 2 2 6 2" xfId="35802"/>
    <cellStyle name="Percent 27 2 2 7" xfId="23469"/>
    <cellStyle name="Percent 27 2 3" xfId="4436"/>
    <cellStyle name="Percent 27 2 3 2" xfId="6061"/>
    <cellStyle name="Percent 27 2 3 2 2" xfId="9147"/>
    <cellStyle name="Percent 27 2 3 2 2 2" xfId="15340"/>
    <cellStyle name="Percent 27 2 3 2 2 2 2" xfId="35018"/>
    <cellStyle name="Percent 27 2 3 2 2 3" xfId="21492"/>
    <cellStyle name="Percent 27 2 3 2 2 3 2" xfId="41170"/>
    <cellStyle name="Percent 27 2 3 2 2 4" xfId="28854"/>
    <cellStyle name="Percent 27 2 3 2 3" xfId="12274"/>
    <cellStyle name="Percent 27 2 3 2 3 2" xfId="31952"/>
    <cellStyle name="Percent 27 2 3 2 4" xfId="18426"/>
    <cellStyle name="Percent 27 2 3 2 4 2" xfId="38104"/>
    <cellStyle name="Percent 27 2 3 2 5" xfId="25788"/>
    <cellStyle name="Percent 27 2 3 3" xfId="7612"/>
    <cellStyle name="Percent 27 2 3 3 2" xfId="13806"/>
    <cellStyle name="Percent 27 2 3 3 2 2" xfId="33484"/>
    <cellStyle name="Percent 27 2 3 3 3" xfId="19958"/>
    <cellStyle name="Percent 27 2 3 3 3 2" xfId="39636"/>
    <cellStyle name="Percent 27 2 3 3 4" xfId="27320"/>
    <cellStyle name="Percent 27 2 3 4" xfId="10740"/>
    <cellStyle name="Percent 27 2 3 4 2" xfId="30418"/>
    <cellStyle name="Percent 27 2 3 5" xfId="16892"/>
    <cellStyle name="Percent 27 2 3 5 2" xfId="36570"/>
    <cellStyle name="Percent 27 2 3 6" xfId="24254"/>
    <cellStyle name="Percent 27 2 4" xfId="5283"/>
    <cellStyle name="Percent 27 2 4 2" xfId="8378"/>
    <cellStyle name="Percent 27 2 4 2 2" xfId="14571"/>
    <cellStyle name="Percent 27 2 4 2 2 2" xfId="34249"/>
    <cellStyle name="Percent 27 2 4 2 3" xfId="20723"/>
    <cellStyle name="Percent 27 2 4 2 3 2" xfId="40401"/>
    <cellStyle name="Percent 27 2 4 2 4" xfId="28085"/>
    <cellStyle name="Percent 27 2 4 3" xfId="11505"/>
    <cellStyle name="Percent 27 2 4 3 2" xfId="31183"/>
    <cellStyle name="Percent 27 2 4 4" xfId="17657"/>
    <cellStyle name="Percent 27 2 4 4 2" xfId="37335"/>
    <cellStyle name="Percent 27 2 4 5" xfId="25019"/>
    <cellStyle name="Percent 27 2 5" xfId="6843"/>
    <cellStyle name="Percent 27 2 5 2" xfId="13037"/>
    <cellStyle name="Percent 27 2 5 2 2" xfId="32715"/>
    <cellStyle name="Percent 27 2 5 3" xfId="19189"/>
    <cellStyle name="Percent 27 2 5 3 2" xfId="38867"/>
    <cellStyle name="Percent 27 2 5 4" xfId="26551"/>
    <cellStyle name="Percent 27 2 6" xfId="9971"/>
    <cellStyle name="Percent 27 2 6 2" xfId="29649"/>
    <cellStyle name="Percent 27 2 7" xfId="16123"/>
    <cellStyle name="Percent 27 2 7 2" xfId="35801"/>
    <cellStyle name="Percent 27 2 8" xfId="23468"/>
    <cellStyle name="Percent 27 3" xfId="3392"/>
    <cellStyle name="Percent 27 3 2" xfId="3393"/>
    <cellStyle name="Percent 27 3 2 2" xfId="4439"/>
    <cellStyle name="Percent 27 3 2 2 2" xfId="6064"/>
    <cellStyle name="Percent 27 3 2 2 2 2" xfId="9150"/>
    <cellStyle name="Percent 27 3 2 2 2 2 2" xfId="15343"/>
    <cellStyle name="Percent 27 3 2 2 2 2 2 2" xfId="35021"/>
    <cellStyle name="Percent 27 3 2 2 2 2 3" xfId="21495"/>
    <cellStyle name="Percent 27 3 2 2 2 2 3 2" xfId="41173"/>
    <cellStyle name="Percent 27 3 2 2 2 2 4" xfId="28857"/>
    <cellStyle name="Percent 27 3 2 2 2 3" xfId="12277"/>
    <cellStyle name="Percent 27 3 2 2 2 3 2" xfId="31955"/>
    <cellStyle name="Percent 27 3 2 2 2 4" xfId="18429"/>
    <cellStyle name="Percent 27 3 2 2 2 4 2" xfId="38107"/>
    <cellStyle name="Percent 27 3 2 2 2 5" xfId="25791"/>
    <cellStyle name="Percent 27 3 2 2 3" xfId="7615"/>
    <cellStyle name="Percent 27 3 2 2 3 2" xfId="13809"/>
    <cellStyle name="Percent 27 3 2 2 3 2 2" xfId="33487"/>
    <cellStyle name="Percent 27 3 2 2 3 3" xfId="19961"/>
    <cellStyle name="Percent 27 3 2 2 3 3 2" xfId="39639"/>
    <cellStyle name="Percent 27 3 2 2 3 4" xfId="27323"/>
    <cellStyle name="Percent 27 3 2 2 4" xfId="10743"/>
    <cellStyle name="Percent 27 3 2 2 4 2" xfId="30421"/>
    <cellStyle name="Percent 27 3 2 2 5" xfId="16895"/>
    <cellStyle name="Percent 27 3 2 2 5 2" xfId="36573"/>
    <cellStyle name="Percent 27 3 2 2 6" xfId="24257"/>
    <cellStyle name="Percent 27 3 2 3" xfId="5286"/>
    <cellStyle name="Percent 27 3 2 3 2" xfId="8381"/>
    <cellStyle name="Percent 27 3 2 3 2 2" xfId="14574"/>
    <cellStyle name="Percent 27 3 2 3 2 2 2" xfId="34252"/>
    <cellStyle name="Percent 27 3 2 3 2 3" xfId="20726"/>
    <cellStyle name="Percent 27 3 2 3 2 3 2" xfId="40404"/>
    <cellStyle name="Percent 27 3 2 3 2 4" xfId="28088"/>
    <cellStyle name="Percent 27 3 2 3 3" xfId="11508"/>
    <cellStyle name="Percent 27 3 2 3 3 2" xfId="31186"/>
    <cellStyle name="Percent 27 3 2 3 4" xfId="17660"/>
    <cellStyle name="Percent 27 3 2 3 4 2" xfId="37338"/>
    <cellStyle name="Percent 27 3 2 3 5" xfId="25022"/>
    <cellStyle name="Percent 27 3 2 4" xfId="6846"/>
    <cellStyle name="Percent 27 3 2 4 2" xfId="13040"/>
    <cellStyle name="Percent 27 3 2 4 2 2" xfId="32718"/>
    <cellStyle name="Percent 27 3 2 4 3" xfId="19192"/>
    <cellStyle name="Percent 27 3 2 4 3 2" xfId="38870"/>
    <cellStyle name="Percent 27 3 2 4 4" xfId="26554"/>
    <cellStyle name="Percent 27 3 2 5" xfId="9974"/>
    <cellStyle name="Percent 27 3 2 5 2" xfId="29652"/>
    <cellStyle name="Percent 27 3 2 6" xfId="16126"/>
    <cellStyle name="Percent 27 3 2 6 2" xfId="35804"/>
    <cellStyle name="Percent 27 3 2 7" xfId="23471"/>
    <cellStyle name="Percent 27 3 3" xfId="4438"/>
    <cellStyle name="Percent 27 3 3 2" xfId="6063"/>
    <cellStyle name="Percent 27 3 3 2 2" xfId="9149"/>
    <cellStyle name="Percent 27 3 3 2 2 2" xfId="15342"/>
    <cellStyle name="Percent 27 3 3 2 2 2 2" xfId="35020"/>
    <cellStyle name="Percent 27 3 3 2 2 3" xfId="21494"/>
    <cellStyle name="Percent 27 3 3 2 2 3 2" xfId="41172"/>
    <cellStyle name="Percent 27 3 3 2 2 4" xfId="28856"/>
    <cellStyle name="Percent 27 3 3 2 3" xfId="12276"/>
    <cellStyle name="Percent 27 3 3 2 3 2" xfId="31954"/>
    <cellStyle name="Percent 27 3 3 2 4" xfId="18428"/>
    <cellStyle name="Percent 27 3 3 2 4 2" xfId="38106"/>
    <cellStyle name="Percent 27 3 3 2 5" xfId="25790"/>
    <cellStyle name="Percent 27 3 3 3" xfId="7614"/>
    <cellStyle name="Percent 27 3 3 3 2" xfId="13808"/>
    <cellStyle name="Percent 27 3 3 3 2 2" xfId="33486"/>
    <cellStyle name="Percent 27 3 3 3 3" xfId="19960"/>
    <cellStyle name="Percent 27 3 3 3 3 2" xfId="39638"/>
    <cellStyle name="Percent 27 3 3 3 4" xfId="27322"/>
    <cellStyle name="Percent 27 3 3 4" xfId="10742"/>
    <cellStyle name="Percent 27 3 3 4 2" xfId="30420"/>
    <cellStyle name="Percent 27 3 3 5" xfId="16894"/>
    <cellStyle name="Percent 27 3 3 5 2" xfId="36572"/>
    <cellStyle name="Percent 27 3 3 6" xfId="24256"/>
    <cellStyle name="Percent 27 3 4" xfId="5285"/>
    <cellStyle name="Percent 27 3 4 2" xfId="8380"/>
    <cellStyle name="Percent 27 3 4 2 2" xfId="14573"/>
    <cellStyle name="Percent 27 3 4 2 2 2" xfId="34251"/>
    <cellStyle name="Percent 27 3 4 2 3" xfId="20725"/>
    <cellStyle name="Percent 27 3 4 2 3 2" xfId="40403"/>
    <cellStyle name="Percent 27 3 4 2 4" xfId="28087"/>
    <cellStyle name="Percent 27 3 4 3" xfId="11507"/>
    <cellStyle name="Percent 27 3 4 3 2" xfId="31185"/>
    <cellStyle name="Percent 27 3 4 4" xfId="17659"/>
    <cellStyle name="Percent 27 3 4 4 2" xfId="37337"/>
    <cellStyle name="Percent 27 3 4 5" xfId="25021"/>
    <cellStyle name="Percent 27 3 5" xfId="6845"/>
    <cellStyle name="Percent 27 3 5 2" xfId="13039"/>
    <cellStyle name="Percent 27 3 5 2 2" xfId="32717"/>
    <cellStyle name="Percent 27 3 5 3" xfId="19191"/>
    <cellStyle name="Percent 27 3 5 3 2" xfId="38869"/>
    <cellStyle name="Percent 27 3 5 4" xfId="26553"/>
    <cellStyle name="Percent 27 3 6" xfId="9973"/>
    <cellStyle name="Percent 27 3 6 2" xfId="29651"/>
    <cellStyle name="Percent 27 3 7" xfId="16125"/>
    <cellStyle name="Percent 27 3 7 2" xfId="35803"/>
    <cellStyle name="Percent 27 3 8" xfId="23470"/>
    <cellStyle name="Percent 27 4" xfId="3394"/>
    <cellStyle name="Percent 27 4 2" xfId="3395"/>
    <cellStyle name="Percent 27 4 2 2" xfId="4440"/>
    <cellStyle name="Percent 27 4 2 2 2" xfId="6065"/>
    <cellStyle name="Percent 27 4 2 2 2 2" xfId="9151"/>
    <cellStyle name="Percent 27 4 2 2 2 2 2" xfId="15344"/>
    <cellStyle name="Percent 27 4 2 2 2 2 2 2" xfId="35022"/>
    <cellStyle name="Percent 27 4 2 2 2 2 3" xfId="21496"/>
    <cellStyle name="Percent 27 4 2 2 2 2 3 2" xfId="41174"/>
    <cellStyle name="Percent 27 4 2 2 2 2 4" xfId="28858"/>
    <cellStyle name="Percent 27 4 2 2 2 3" xfId="12278"/>
    <cellStyle name="Percent 27 4 2 2 2 3 2" xfId="31956"/>
    <cellStyle name="Percent 27 4 2 2 2 4" xfId="18430"/>
    <cellStyle name="Percent 27 4 2 2 2 4 2" xfId="38108"/>
    <cellStyle name="Percent 27 4 2 2 2 5" xfId="25792"/>
    <cellStyle name="Percent 27 4 2 2 3" xfId="7616"/>
    <cellStyle name="Percent 27 4 2 2 3 2" xfId="13810"/>
    <cellStyle name="Percent 27 4 2 2 3 2 2" xfId="33488"/>
    <cellStyle name="Percent 27 4 2 2 3 3" xfId="19962"/>
    <cellStyle name="Percent 27 4 2 2 3 3 2" xfId="39640"/>
    <cellStyle name="Percent 27 4 2 2 3 4" xfId="27324"/>
    <cellStyle name="Percent 27 4 2 2 4" xfId="10744"/>
    <cellStyle name="Percent 27 4 2 2 4 2" xfId="30422"/>
    <cellStyle name="Percent 27 4 2 2 5" xfId="16896"/>
    <cellStyle name="Percent 27 4 2 2 5 2" xfId="36574"/>
    <cellStyle name="Percent 27 4 2 2 6" xfId="24258"/>
    <cellStyle name="Percent 27 4 2 3" xfId="5288"/>
    <cellStyle name="Percent 27 4 2 3 2" xfId="8382"/>
    <cellStyle name="Percent 27 4 2 3 2 2" xfId="14575"/>
    <cellStyle name="Percent 27 4 2 3 2 2 2" xfId="34253"/>
    <cellStyle name="Percent 27 4 2 3 2 3" xfId="20727"/>
    <cellStyle name="Percent 27 4 2 3 2 3 2" xfId="40405"/>
    <cellStyle name="Percent 27 4 2 3 2 4" xfId="28089"/>
    <cellStyle name="Percent 27 4 2 3 3" xfId="11509"/>
    <cellStyle name="Percent 27 4 2 3 3 2" xfId="31187"/>
    <cellStyle name="Percent 27 4 2 3 4" xfId="17661"/>
    <cellStyle name="Percent 27 4 2 3 4 2" xfId="37339"/>
    <cellStyle name="Percent 27 4 2 3 5" xfId="25023"/>
    <cellStyle name="Percent 27 4 2 4" xfId="6847"/>
    <cellStyle name="Percent 27 4 2 4 2" xfId="13041"/>
    <cellStyle name="Percent 27 4 2 4 2 2" xfId="32719"/>
    <cellStyle name="Percent 27 4 2 4 3" xfId="19193"/>
    <cellStyle name="Percent 27 4 2 4 3 2" xfId="38871"/>
    <cellStyle name="Percent 27 4 2 4 4" xfId="26555"/>
    <cellStyle name="Percent 27 4 2 5" xfId="9975"/>
    <cellStyle name="Percent 27 4 2 5 2" xfId="29653"/>
    <cellStyle name="Percent 27 4 2 6" xfId="16127"/>
    <cellStyle name="Percent 27 4 2 6 2" xfId="35805"/>
    <cellStyle name="Percent 27 4 2 7" xfId="23472"/>
    <cellStyle name="Percent 27 5" xfId="3396"/>
    <cellStyle name="Percent 27 5 2" xfId="4441"/>
    <cellStyle name="Percent 27 5 2 2" xfId="6066"/>
    <cellStyle name="Percent 27 5 2 2 2" xfId="9152"/>
    <cellStyle name="Percent 27 5 2 2 2 2" xfId="15345"/>
    <cellStyle name="Percent 27 5 2 2 2 2 2" xfId="35023"/>
    <cellStyle name="Percent 27 5 2 2 2 3" xfId="21497"/>
    <cellStyle name="Percent 27 5 2 2 2 3 2" xfId="41175"/>
    <cellStyle name="Percent 27 5 2 2 2 4" xfId="28859"/>
    <cellStyle name="Percent 27 5 2 2 3" xfId="12279"/>
    <cellStyle name="Percent 27 5 2 2 3 2" xfId="31957"/>
    <cellStyle name="Percent 27 5 2 2 4" xfId="18431"/>
    <cellStyle name="Percent 27 5 2 2 4 2" xfId="38109"/>
    <cellStyle name="Percent 27 5 2 2 5" xfId="25793"/>
    <cellStyle name="Percent 27 5 2 3" xfId="7617"/>
    <cellStyle name="Percent 27 5 2 3 2" xfId="13811"/>
    <cellStyle name="Percent 27 5 2 3 2 2" xfId="33489"/>
    <cellStyle name="Percent 27 5 2 3 3" xfId="19963"/>
    <cellStyle name="Percent 27 5 2 3 3 2" xfId="39641"/>
    <cellStyle name="Percent 27 5 2 3 4" xfId="27325"/>
    <cellStyle name="Percent 27 5 2 4" xfId="10745"/>
    <cellStyle name="Percent 27 5 2 4 2" xfId="30423"/>
    <cellStyle name="Percent 27 5 2 5" xfId="16897"/>
    <cellStyle name="Percent 27 5 2 5 2" xfId="36575"/>
    <cellStyle name="Percent 27 5 2 6" xfId="24259"/>
    <cellStyle name="Percent 27 5 3" xfId="5289"/>
    <cellStyle name="Percent 27 5 3 2" xfId="8383"/>
    <cellStyle name="Percent 27 5 3 2 2" xfId="14576"/>
    <cellStyle name="Percent 27 5 3 2 2 2" xfId="34254"/>
    <cellStyle name="Percent 27 5 3 2 3" xfId="20728"/>
    <cellStyle name="Percent 27 5 3 2 3 2" xfId="40406"/>
    <cellStyle name="Percent 27 5 3 2 4" xfId="28090"/>
    <cellStyle name="Percent 27 5 3 3" xfId="11510"/>
    <cellStyle name="Percent 27 5 3 3 2" xfId="31188"/>
    <cellStyle name="Percent 27 5 3 4" xfId="17662"/>
    <cellStyle name="Percent 27 5 3 4 2" xfId="37340"/>
    <cellStyle name="Percent 27 5 3 5" xfId="25024"/>
    <cellStyle name="Percent 27 5 4" xfId="6848"/>
    <cellStyle name="Percent 27 5 4 2" xfId="13042"/>
    <cellStyle name="Percent 27 5 4 2 2" xfId="32720"/>
    <cellStyle name="Percent 27 5 4 3" xfId="19194"/>
    <cellStyle name="Percent 27 5 4 3 2" xfId="38872"/>
    <cellStyle name="Percent 27 5 4 4" xfId="26556"/>
    <cellStyle name="Percent 27 5 5" xfId="9976"/>
    <cellStyle name="Percent 27 5 5 2" xfId="29654"/>
    <cellStyle name="Percent 27 5 6" xfId="16128"/>
    <cellStyle name="Percent 27 5 6 2" xfId="35806"/>
    <cellStyle name="Percent 27 5 7" xfId="23473"/>
    <cellStyle name="Percent 28" xfId="3397"/>
    <cellStyle name="Percent 28 2" xfId="3398"/>
    <cellStyle name="Percent 28 2 2" xfId="3399"/>
    <cellStyle name="Percent 28 2 2 2" xfId="4443"/>
    <cellStyle name="Percent 28 2 2 2 2" xfId="6068"/>
    <cellStyle name="Percent 28 2 2 2 2 2" xfId="9154"/>
    <cellStyle name="Percent 28 2 2 2 2 2 2" xfId="15347"/>
    <cellStyle name="Percent 28 2 2 2 2 2 2 2" xfId="35025"/>
    <cellStyle name="Percent 28 2 2 2 2 2 3" xfId="21499"/>
    <cellStyle name="Percent 28 2 2 2 2 2 3 2" xfId="41177"/>
    <cellStyle name="Percent 28 2 2 2 2 2 4" xfId="28861"/>
    <cellStyle name="Percent 28 2 2 2 2 3" xfId="12281"/>
    <cellStyle name="Percent 28 2 2 2 2 3 2" xfId="31959"/>
    <cellStyle name="Percent 28 2 2 2 2 4" xfId="18433"/>
    <cellStyle name="Percent 28 2 2 2 2 4 2" xfId="38111"/>
    <cellStyle name="Percent 28 2 2 2 2 5" xfId="25795"/>
    <cellStyle name="Percent 28 2 2 2 3" xfId="7619"/>
    <cellStyle name="Percent 28 2 2 2 3 2" xfId="13813"/>
    <cellStyle name="Percent 28 2 2 2 3 2 2" xfId="33491"/>
    <cellStyle name="Percent 28 2 2 2 3 3" xfId="19965"/>
    <cellStyle name="Percent 28 2 2 2 3 3 2" xfId="39643"/>
    <cellStyle name="Percent 28 2 2 2 3 4" xfId="27327"/>
    <cellStyle name="Percent 28 2 2 2 4" xfId="10747"/>
    <cellStyle name="Percent 28 2 2 2 4 2" xfId="30425"/>
    <cellStyle name="Percent 28 2 2 2 5" xfId="16899"/>
    <cellStyle name="Percent 28 2 2 2 5 2" xfId="36577"/>
    <cellStyle name="Percent 28 2 2 2 6" xfId="24261"/>
    <cellStyle name="Percent 28 2 2 3" xfId="5292"/>
    <cellStyle name="Percent 28 2 2 3 2" xfId="8385"/>
    <cellStyle name="Percent 28 2 2 3 2 2" xfId="14578"/>
    <cellStyle name="Percent 28 2 2 3 2 2 2" xfId="34256"/>
    <cellStyle name="Percent 28 2 2 3 2 3" xfId="20730"/>
    <cellStyle name="Percent 28 2 2 3 2 3 2" xfId="40408"/>
    <cellStyle name="Percent 28 2 2 3 2 4" xfId="28092"/>
    <cellStyle name="Percent 28 2 2 3 3" xfId="11512"/>
    <cellStyle name="Percent 28 2 2 3 3 2" xfId="31190"/>
    <cellStyle name="Percent 28 2 2 3 4" xfId="17664"/>
    <cellStyle name="Percent 28 2 2 3 4 2" xfId="37342"/>
    <cellStyle name="Percent 28 2 2 3 5" xfId="25026"/>
    <cellStyle name="Percent 28 2 2 4" xfId="6850"/>
    <cellStyle name="Percent 28 2 2 4 2" xfId="13044"/>
    <cellStyle name="Percent 28 2 2 4 2 2" xfId="32722"/>
    <cellStyle name="Percent 28 2 2 4 3" xfId="19196"/>
    <cellStyle name="Percent 28 2 2 4 3 2" xfId="38874"/>
    <cellStyle name="Percent 28 2 2 4 4" xfId="26558"/>
    <cellStyle name="Percent 28 2 2 5" xfId="9978"/>
    <cellStyle name="Percent 28 2 2 5 2" xfId="29656"/>
    <cellStyle name="Percent 28 2 2 6" xfId="16130"/>
    <cellStyle name="Percent 28 2 2 6 2" xfId="35808"/>
    <cellStyle name="Percent 28 2 2 7" xfId="23475"/>
    <cellStyle name="Percent 28 2 3" xfId="4442"/>
    <cellStyle name="Percent 28 2 3 2" xfId="6067"/>
    <cellStyle name="Percent 28 2 3 2 2" xfId="9153"/>
    <cellStyle name="Percent 28 2 3 2 2 2" xfId="15346"/>
    <cellStyle name="Percent 28 2 3 2 2 2 2" xfId="35024"/>
    <cellStyle name="Percent 28 2 3 2 2 3" xfId="21498"/>
    <cellStyle name="Percent 28 2 3 2 2 3 2" xfId="41176"/>
    <cellStyle name="Percent 28 2 3 2 2 4" xfId="28860"/>
    <cellStyle name="Percent 28 2 3 2 3" xfId="12280"/>
    <cellStyle name="Percent 28 2 3 2 3 2" xfId="31958"/>
    <cellStyle name="Percent 28 2 3 2 4" xfId="18432"/>
    <cellStyle name="Percent 28 2 3 2 4 2" xfId="38110"/>
    <cellStyle name="Percent 28 2 3 2 5" xfId="25794"/>
    <cellStyle name="Percent 28 2 3 3" xfId="7618"/>
    <cellStyle name="Percent 28 2 3 3 2" xfId="13812"/>
    <cellStyle name="Percent 28 2 3 3 2 2" xfId="33490"/>
    <cellStyle name="Percent 28 2 3 3 3" xfId="19964"/>
    <cellStyle name="Percent 28 2 3 3 3 2" xfId="39642"/>
    <cellStyle name="Percent 28 2 3 3 4" xfId="27326"/>
    <cellStyle name="Percent 28 2 3 4" xfId="10746"/>
    <cellStyle name="Percent 28 2 3 4 2" xfId="30424"/>
    <cellStyle name="Percent 28 2 3 5" xfId="16898"/>
    <cellStyle name="Percent 28 2 3 5 2" xfId="36576"/>
    <cellStyle name="Percent 28 2 3 6" xfId="24260"/>
    <cellStyle name="Percent 28 2 4" xfId="5291"/>
    <cellStyle name="Percent 28 2 4 2" xfId="8384"/>
    <cellStyle name="Percent 28 2 4 2 2" xfId="14577"/>
    <cellStyle name="Percent 28 2 4 2 2 2" xfId="34255"/>
    <cellStyle name="Percent 28 2 4 2 3" xfId="20729"/>
    <cellStyle name="Percent 28 2 4 2 3 2" xfId="40407"/>
    <cellStyle name="Percent 28 2 4 2 4" xfId="28091"/>
    <cellStyle name="Percent 28 2 4 3" xfId="11511"/>
    <cellStyle name="Percent 28 2 4 3 2" xfId="31189"/>
    <cellStyle name="Percent 28 2 4 4" xfId="17663"/>
    <cellStyle name="Percent 28 2 4 4 2" xfId="37341"/>
    <cellStyle name="Percent 28 2 4 5" xfId="25025"/>
    <cellStyle name="Percent 28 2 5" xfId="6849"/>
    <cellStyle name="Percent 28 2 5 2" xfId="13043"/>
    <cellStyle name="Percent 28 2 5 2 2" xfId="32721"/>
    <cellStyle name="Percent 28 2 5 3" xfId="19195"/>
    <cellStyle name="Percent 28 2 5 3 2" xfId="38873"/>
    <cellStyle name="Percent 28 2 5 4" xfId="26557"/>
    <cellStyle name="Percent 28 2 6" xfId="9977"/>
    <cellStyle name="Percent 28 2 6 2" xfId="29655"/>
    <cellStyle name="Percent 28 2 7" xfId="16129"/>
    <cellStyle name="Percent 28 2 7 2" xfId="35807"/>
    <cellStyle name="Percent 28 2 8" xfId="23474"/>
    <cellStyle name="Percent 28 3" xfId="3400"/>
    <cellStyle name="Percent 28 3 2" xfId="3401"/>
    <cellStyle name="Percent 28 3 2 2" xfId="4445"/>
    <cellStyle name="Percent 28 3 2 2 2" xfId="6070"/>
    <cellStyle name="Percent 28 3 2 2 2 2" xfId="9156"/>
    <cellStyle name="Percent 28 3 2 2 2 2 2" xfId="15349"/>
    <cellStyle name="Percent 28 3 2 2 2 2 2 2" xfId="35027"/>
    <cellStyle name="Percent 28 3 2 2 2 2 3" xfId="21501"/>
    <cellStyle name="Percent 28 3 2 2 2 2 3 2" xfId="41179"/>
    <cellStyle name="Percent 28 3 2 2 2 2 4" xfId="28863"/>
    <cellStyle name="Percent 28 3 2 2 2 3" xfId="12283"/>
    <cellStyle name="Percent 28 3 2 2 2 3 2" xfId="31961"/>
    <cellStyle name="Percent 28 3 2 2 2 4" xfId="18435"/>
    <cellStyle name="Percent 28 3 2 2 2 4 2" xfId="38113"/>
    <cellStyle name="Percent 28 3 2 2 2 5" xfId="25797"/>
    <cellStyle name="Percent 28 3 2 2 3" xfId="7621"/>
    <cellStyle name="Percent 28 3 2 2 3 2" xfId="13815"/>
    <cellStyle name="Percent 28 3 2 2 3 2 2" xfId="33493"/>
    <cellStyle name="Percent 28 3 2 2 3 3" xfId="19967"/>
    <cellStyle name="Percent 28 3 2 2 3 3 2" xfId="39645"/>
    <cellStyle name="Percent 28 3 2 2 3 4" xfId="27329"/>
    <cellStyle name="Percent 28 3 2 2 4" xfId="10749"/>
    <cellStyle name="Percent 28 3 2 2 4 2" xfId="30427"/>
    <cellStyle name="Percent 28 3 2 2 5" xfId="16901"/>
    <cellStyle name="Percent 28 3 2 2 5 2" xfId="36579"/>
    <cellStyle name="Percent 28 3 2 2 6" xfId="24263"/>
    <cellStyle name="Percent 28 3 2 3" xfId="5294"/>
    <cellStyle name="Percent 28 3 2 3 2" xfId="8387"/>
    <cellStyle name="Percent 28 3 2 3 2 2" xfId="14580"/>
    <cellStyle name="Percent 28 3 2 3 2 2 2" xfId="34258"/>
    <cellStyle name="Percent 28 3 2 3 2 3" xfId="20732"/>
    <cellStyle name="Percent 28 3 2 3 2 3 2" xfId="40410"/>
    <cellStyle name="Percent 28 3 2 3 2 4" xfId="28094"/>
    <cellStyle name="Percent 28 3 2 3 3" xfId="11514"/>
    <cellStyle name="Percent 28 3 2 3 3 2" xfId="31192"/>
    <cellStyle name="Percent 28 3 2 3 4" xfId="17666"/>
    <cellStyle name="Percent 28 3 2 3 4 2" xfId="37344"/>
    <cellStyle name="Percent 28 3 2 3 5" xfId="25028"/>
    <cellStyle name="Percent 28 3 2 4" xfId="6852"/>
    <cellStyle name="Percent 28 3 2 4 2" xfId="13046"/>
    <cellStyle name="Percent 28 3 2 4 2 2" xfId="32724"/>
    <cellStyle name="Percent 28 3 2 4 3" xfId="19198"/>
    <cellStyle name="Percent 28 3 2 4 3 2" xfId="38876"/>
    <cellStyle name="Percent 28 3 2 4 4" xfId="26560"/>
    <cellStyle name="Percent 28 3 2 5" xfId="9980"/>
    <cellStyle name="Percent 28 3 2 5 2" xfId="29658"/>
    <cellStyle name="Percent 28 3 2 6" xfId="16132"/>
    <cellStyle name="Percent 28 3 2 6 2" xfId="35810"/>
    <cellStyle name="Percent 28 3 2 7" xfId="23477"/>
    <cellStyle name="Percent 28 3 3" xfId="4444"/>
    <cellStyle name="Percent 28 3 3 2" xfId="6069"/>
    <cellStyle name="Percent 28 3 3 2 2" xfId="9155"/>
    <cellStyle name="Percent 28 3 3 2 2 2" xfId="15348"/>
    <cellStyle name="Percent 28 3 3 2 2 2 2" xfId="35026"/>
    <cellStyle name="Percent 28 3 3 2 2 3" xfId="21500"/>
    <cellStyle name="Percent 28 3 3 2 2 3 2" xfId="41178"/>
    <cellStyle name="Percent 28 3 3 2 2 4" xfId="28862"/>
    <cellStyle name="Percent 28 3 3 2 3" xfId="12282"/>
    <cellStyle name="Percent 28 3 3 2 3 2" xfId="31960"/>
    <cellStyle name="Percent 28 3 3 2 4" xfId="18434"/>
    <cellStyle name="Percent 28 3 3 2 4 2" xfId="38112"/>
    <cellStyle name="Percent 28 3 3 2 5" xfId="25796"/>
    <cellStyle name="Percent 28 3 3 3" xfId="7620"/>
    <cellStyle name="Percent 28 3 3 3 2" xfId="13814"/>
    <cellStyle name="Percent 28 3 3 3 2 2" xfId="33492"/>
    <cellStyle name="Percent 28 3 3 3 3" xfId="19966"/>
    <cellStyle name="Percent 28 3 3 3 3 2" xfId="39644"/>
    <cellStyle name="Percent 28 3 3 3 4" xfId="27328"/>
    <cellStyle name="Percent 28 3 3 4" xfId="10748"/>
    <cellStyle name="Percent 28 3 3 4 2" xfId="30426"/>
    <cellStyle name="Percent 28 3 3 5" xfId="16900"/>
    <cellStyle name="Percent 28 3 3 5 2" xfId="36578"/>
    <cellStyle name="Percent 28 3 3 6" xfId="24262"/>
    <cellStyle name="Percent 28 3 4" xfId="5293"/>
    <cellStyle name="Percent 28 3 4 2" xfId="8386"/>
    <cellStyle name="Percent 28 3 4 2 2" xfId="14579"/>
    <cellStyle name="Percent 28 3 4 2 2 2" xfId="34257"/>
    <cellStyle name="Percent 28 3 4 2 3" xfId="20731"/>
    <cellStyle name="Percent 28 3 4 2 3 2" xfId="40409"/>
    <cellStyle name="Percent 28 3 4 2 4" xfId="28093"/>
    <cellStyle name="Percent 28 3 4 3" xfId="11513"/>
    <cellStyle name="Percent 28 3 4 3 2" xfId="31191"/>
    <cellStyle name="Percent 28 3 4 4" xfId="17665"/>
    <cellStyle name="Percent 28 3 4 4 2" xfId="37343"/>
    <cellStyle name="Percent 28 3 4 5" xfId="25027"/>
    <cellStyle name="Percent 28 3 5" xfId="6851"/>
    <cellStyle name="Percent 28 3 5 2" xfId="13045"/>
    <cellStyle name="Percent 28 3 5 2 2" xfId="32723"/>
    <cellStyle name="Percent 28 3 5 3" xfId="19197"/>
    <cellStyle name="Percent 28 3 5 3 2" xfId="38875"/>
    <cellStyle name="Percent 28 3 5 4" xfId="26559"/>
    <cellStyle name="Percent 28 3 6" xfId="9979"/>
    <cellStyle name="Percent 28 3 6 2" xfId="29657"/>
    <cellStyle name="Percent 28 3 7" xfId="16131"/>
    <cellStyle name="Percent 28 3 7 2" xfId="35809"/>
    <cellStyle name="Percent 28 3 8" xfId="23476"/>
    <cellStyle name="Percent 28 4" xfId="3402"/>
    <cellStyle name="Percent 28 4 2" xfId="3403"/>
    <cellStyle name="Percent 28 4 2 2" xfId="4446"/>
    <cellStyle name="Percent 28 4 2 2 2" xfId="6071"/>
    <cellStyle name="Percent 28 4 2 2 2 2" xfId="9157"/>
    <cellStyle name="Percent 28 4 2 2 2 2 2" xfId="15350"/>
    <cellStyle name="Percent 28 4 2 2 2 2 2 2" xfId="35028"/>
    <cellStyle name="Percent 28 4 2 2 2 2 3" xfId="21502"/>
    <cellStyle name="Percent 28 4 2 2 2 2 3 2" xfId="41180"/>
    <cellStyle name="Percent 28 4 2 2 2 2 4" xfId="28864"/>
    <cellStyle name="Percent 28 4 2 2 2 3" xfId="12284"/>
    <cellStyle name="Percent 28 4 2 2 2 3 2" xfId="31962"/>
    <cellStyle name="Percent 28 4 2 2 2 4" xfId="18436"/>
    <cellStyle name="Percent 28 4 2 2 2 4 2" xfId="38114"/>
    <cellStyle name="Percent 28 4 2 2 2 5" xfId="25798"/>
    <cellStyle name="Percent 28 4 2 2 3" xfId="7622"/>
    <cellStyle name="Percent 28 4 2 2 3 2" xfId="13816"/>
    <cellStyle name="Percent 28 4 2 2 3 2 2" xfId="33494"/>
    <cellStyle name="Percent 28 4 2 2 3 3" xfId="19968"/>
    <cellStyle name="Percent 28 4 2 2 3 3 2" xfId="39646"/>
    <cellStyle name="Percent 28 4 2 2 3 4" xfId="27330"/>
    <cellStyle name="Percent 28 4 2 2 4" xfId="10750"/>
    <cellStyle name="Percent 28 4 2 2 4 2" xfId="30428"/>
    <cellStyle name="Percent 28 4 2 2 5" xfId="16902"/>
    <cellStyle name="Percent 28 4 2 2 5 2" xfId="36580"/>
    <cellStyle name="Percent 28 4 2 2 6" xfId="24264"/>
    <cellStyle name="Percent 28 4 2 3" xfId="5295"/>
    <cellStyle name="Percent 28 4 2 3 2" xfId="8388"/>
    <cellStyle name="Percent 28 4 2 3 2 2" xfId="14581"/>
    <cellStyle name="Percent 28 4 2 3 2 2 2" xfId="34259"/>
    <cellStyle name="Percent 28 4 2 3 2 3" xfId="20733"/>
    <cellStyle name="Percent 28 4 2 3 2 3 2" xfId="40411"/>
    <cellStyle name="Percent 28 4 2 3 2 4" xfId="28095"/>
    <cellStyle name="Percent 28 4 2 3 3" xfId="11515"/>
    <cellStyle name="Percent 28 4 2 3 3 2" xfId="31193"/>
    <cellStyle name="Percent 28 4 2 3 4" xfId="17667"/>
    <cellStyle name="Percent 28 4 2 3 4 2" xfId="37345"/>
    <cellStyle name="Percent 28 4 2 3 5" xfId="25029"/>
    <cellStyle name="Percent 28 4 2 4" xfId="6853"/>
    <cellStyle name="Percent 28 4 2 4 2" xfId="13047"/>
    <cellStyle name="Percent 28 4 2 4 2 2" xfId="32725"/>
    <cellStyle name="Percent 28 4 2 4 3" xfId="19199"/>
    <cellStyle name="Percent 28 4 2 4 3 2" xfId="38877"/>
    <cellStyle name="Percent 28 4 2 4 4" xfId="26561"/>
    <cellStyle name="Percent 28 4 2 5" xfId="9981"/>
    <cellStyle name="Percent 28 4 2 5 2" xfId="29659"/>
    <cellStyle name="Percent 28 4 2 6" xfId="16133"/>
    <cellStyle name="Percent 28 4 2 6 2" xfId="35811"/>
    <cellStyle name="Percent 28 4 2 7" xfId="23478"/>
    <cellStyle name="Percent 28 5" xfId="3404"/>
    <cellStyle name="Percent 28 5 2" xfId="4447"/>
    <cellStyle name="Percent 28 5 2 2" xfId="6072"/>
    <cellStyle name="Percent 28 5 2 2 2" xfId="9158"/>
    <cellStyle name="Percent 28 5 2 2 2 2" xfId="15351"/>
    <cellStyle name="Percent 28 5 2 2 2 2 2" xfId="35029"/>
    <cellStyle name="Percent 28 5 2 2 2 3" xfId="21503"/>
    <cellStyle name="Percent 28 5 2 2 2 3 2" xfId="41181"/>
    <cellStyle name="Percent 28 5 2 2 2 4" xfId="28865"/>
    <cellStyle name="Percent 28 5 2 2 3" xfId="12285"/>
    <cellStyle name="Percent 28 5 2 2 3 2" xfId="31963"/>
    <cellStyle name="Percent 28 5 2 2 4" xfId="18437"/>
    <cellStyle name="Percent 28 5 2 2 4 2" xfId="38115"/>
    <cellStyle name="Percent 28 5 2 2 5" xfId="25799"/>
    <cellStyle name="Percent 28 5 2 3" xfId="7623"/>
    <cellStyle name="Percent 28 5 2 3 2" xfId="13817"/>
    <cellStyle name="Percent 28 5 2 3 2 2" xfId="33495"/>
    <cellStyle name="Percent 28 5 2 3 3" xfId="19969"/>
    <cellStyle name="Percent 28 5 2 3 3 2" xfId="39647"/>
    <cellStyle name="Percent 28 5 2 3 4" xfId="27331"/>
    <cellStyle name="Percent 28 5 2 4" xfId="10751"/>
    <cellStyle name="Percent 28 5 2 4 2" xfId="30429"/>
    <cellStyle name="Percent 28 5 2 5" xfId="16903"/>
    <cellStyle name="Percent 28 5 2 5 2" xfId="36581"/>
    <cellStyle name="Percent 28 5 2 6" xfId="24265"/>
    <cellStyle name="Percent 28 5 3" xfId="5296"/>
    <cellStyle name="Percent 28 5 3 2" xfId="8389"/>
    <cellStyle name="Percent 28 5 3 2 2" xfId="14582"/>
    <cellStyle name="Percent 28 5 3 2 2 2" xfId="34260"/>
    <cellStyle name="Percent 28 5 3 2 3" xfId="20734"/>
    <cellStyle name="Percent 28 5 3 2 3 2" xfId="40412"/>
    <cellStyle name="Percent 28 5 3 2 4" xfId="28096"/>
    <cellStyle name="Percent 28 5 3 3" xfId="11516"/>
    <cellStyle name="Percent 28 5 3 3 2" xfId="31194"/>
    <cellStyle name="Percent 28 5 3 4" xfId="17668"/>
    <cellStyle name="Percent 28 5 3 4 2" xfId="37346"/>
    <cellStyle name="Percent 28 5 3 5" xfId="25030"/>
    <cellStyle name="Percent 28 5 4" xfId="6854"/>
    <cellStyle name="Percent 28 5 4 2" xfId="13048"/>
    <cellStyle name="Percent 28 5 4 2 2" xfId="32726"/>
    <cellStyle name="Percent 28 5 4 3" xfId="19200"/>
    <cellStyle name="Percent 28 5 4 3 2" xfId="38878"/>
    <cellStyle name="Percent 28 5 4 4" xfId="26562"/>
    <cellStyle name="Percent 28 5 5" xfId="9982"/>
    <cellStyle name="Percent 28 5 5 2" xfId="29660"/>
    <cellStyle name="Percent 28 5 6" xfId="16134"/>
    <cellStyle name="Percent 28 5 6 2" xfId="35812"/>
    <cellStyle name="Percent 28 5 7" xfId="23479"/>
    <cellStyle name="Percent 29" xfId="3405"/>
    <cellStyle name="Percent 29 2" xfId="3406"/>
    <cellStyle name="Percent 29 2 2" xfId="3407"/>
    <cellStyle name="Percent 29 2 2 2" xfId="4449"/>
    <cellStyle name="Percent 29 2 2 2 2" xfId="6074"/>
    <cellStyle name="Percent 29 2 2 2 2 2" xfId="9160"/>
    <cellStyle name="Percent 29 2 2 2 2 2 2" xfId="15353"/>
    <cellStyle name="Percent 29 2 2 2 2 2 2 2" xfId="35031"/>
    <cellStyle name="Percent 29 2 2 2 2 2 3" xfId="21505"/>
    <cellStyle name="Percent 29 2 2 2 2 2 3 2" xfId="41183"/>
    <cellStyle name="Percent 29 2 2 2 2 2 4" xfId="28867"/>
    <cellStyle name="Percent 29 2 2 2 2 3" xfId="12287"/>
    <cellStyle name="Percent 29 2 2 2 2 3 2" xfId="31965"/>
    <cellStyle name="Percent 29 2 2 2 2 4" xfId="18439"/>
    <cellStyle name="Percent 29 2 2 2 2 4 2" xfId="38117"/>
    <cellStyle name="Percent 29 2 2 2 2 5" xfId="25801"/>
    <cellStyle name="Percent 29 2 2 2 3" xfId="7625"/>
    <cellStyle name="Percent 29 2 2 2 3 2" xfId="13819"/>
    <cellStyle name="Percent 29 2 2 2 3 2 2" xfId="33497"/>
    <cellStyle name="Percent 29 2 2 2 3 3" xfId="19971"/>
    <cellStyle name="Percent 29 2 2 2 3 3 2" xfId="39649"/>
    <cellStyle name="Percent 29 2 2 2 3 4" xfId="27333"/>
    <cellStyle name="Percent 29 2 2 2 4" xfId="10753"/>
    <cellStyle name="Percent 29 2 2 2 4 2" xfId="30431"/>
    <cellStyle name="Percent 29 2 2 2 5" xfId="16905"/>
    <cellStyle name="Percent 29 2 2 2 5 2" xfId="36583"/>
    <cellStyle name="Percent 29 2 2 2 6" xfId="24267"/>
    <cellStyle name="Percent 29 2 2 3" xfId="5299"/>
    <cellStyle name="Percent 29 2 2 3 2" xfId="8391"/>
    <cellStyle name="Percent 29 2 2 3 2 2" xfId="14584"/>
    <cellStyle name="Percent 29 2 2 3 2 2 2" xfId="34262"/>
    <cellStyle name="Percent 29 2 2 3 2 3" xfId="20736"/>
    <cellStyle name="Percent 29 2 2 3 2 3 2" xfId="40414"/>
    <cellStyle name="Percent 29 2 2 3 2 4" xfId="28098"/>
    <cellStyle name="Percent 29 2 2 3 3" xfId="11518"/>
    <cellStyle name="Percent 29 2 2 3 3 2" xfId="31196"/>
    <cellStyle name="Percent 29 2 2 3 4" xfId="17670"/>
    <cellStyle name="Percent 29 2 2 3 4 2" xfId="37348"/>
    <cellStyle name="Percent 29 2 2 3 5" xfId="25032"/>
    <cellStyle name="Percent 29 2 2 4" xfId="6856"/>
    <cellStyle name="Percent 29 2 2 4 2" xfId="13050"/>
    <cellStyle name="Percent 29 2 2 4 2 2" xfId="32728"/>
    <cellStyle name="Percent 29 2 2 4 3" xfId="19202"/>
    <cellStyle name="Percent 29 2 2 4 3 2" xfId="38880"/>
    <cellStyle name="Percent 29 2 2 4 4" xfId="26564"/>
    <cellStyle name="Percent 29 2 2 5" xfId="9984"/>
    <cellStyle name="Percent 29 2 2 5 2" xfId="29662"/>
    <cellStyle name="Percent 29 2 2 6" xfId="16136"/>
    <cellStyle name="Percent 29 2 2 6 2" xfId="35814"/>
    <cellStyle name="Percent 29 2 2 7" xfId="23481"/>
    <cellStyle name="Percent 29 2 3" xfId="4448"/>
    <cellStyle name="Percent 29 2 3 2" xfId="6073"/>
    <cellStyle name="Percent 29 2 3 2 2" xfId="9159"/>
    <cellStyle name="Percent 29 2 3 2 2 2" xfId="15352"/>
    <cellStyle name="Percent 29 2 3 2 2 2 2" xfId="35030"/>
    <cellStyle name="Percent 29 2 3 2 2 3" xfId="21504"/>
    <cellStyle name="Percent 29 2 3 2 2 3 2" xfId="41182"/>
    <cellStyle name="Percent 29 2 3 2 2 4" xfId="28866"/>
    <cellStyle name="Percent 29 2 3 2 3" xfId="12286"/>
    <cellStyle name="Percent 29 2 3 2 3 2" xfId="31964"/>
    <cellStyle name="Percent 29 2 3 2 4" xfId="18438"/>
    <cellStyle name="Percent 29 2 3 2 4 2" xfId="38116"/>
    <cellStyle name="Percent 29 2 3 2 5" xfId="25800"/>
    <cellStyle name="Percent 29 2 3 3" xfId="7624"/>
    <cellStyle name="Percent 29 2 3 3 2" xfId="13818"/>
    <cellStyle name="Percent 29 2 3 3 2 2" xfId="33496"/>
    <cellStyle name="Percent 29 2 3 3 3" xfId="19970"/>
    <cellStyle name="Percent 29 2 3 3 3 2" xfId="39648"/>
    <cellStyle name="Percent 29 2 3 3 4" xfId="27332"/>
    <cellStyle name="Percent 29 2 3 4" xfId="10752"/>
    <cellStyle name="Percent 29 2 3 4 2" xfId="30430"/>
    <cellStyle name="Percent 29 2 3 5" xfId="16904"/>
    <cellStyle name="Percent 29 2 3 5 2" xfId="36582"/>
    <cellStyle name="Percent 29 2 3 6" xfId="24266"/>
    <cellStyle name="Percent 29 2 4" xfId="5298"/>
    <cellStyle name="Percent 29 2 4 2" xfId="8390"/>
    <cellStyle name="Percent 29 2 4 2 2" xfId="14583"/>
    <cellStyle name="Percent 29 2 4 2 2 2" xfId="34261"/>
    <cellStyle name="Percent 29 2 4 2 3" xfId="20735"/>
    <cellStyle name="Percent 29 2 4 2 3 2" xfId="40413"/>
    <cellStyle name="Percent 29 2 4 2 4" xfId="28097"/>
    <cellStyle name="Percent 29 2 4 3" xfId="11517"/>
    <cellStyle name="Percent 29 2 4 3 2" xfId="31195"/>
    <cellStyle name="Percent 29 2 4 4" xfId="17669"/>
    <cellStyle name="Percent 29 2 4 4 2" xfId="37347"/>
    <cellStyle name="Percent 29 2 4 5" xfId="25031"/>
    <cellStyle name="Percent 29 2 5" xfId="6855"/>
    <cellStyle name="Percent 29 2 5 2" xfId="13049"/>
    <cellStyle name="Percent 29 2 5 2 2" xfId="32727"/>
    <cellStyle name="Percent 29 2 5 3" xfId="19201"/>
    <cellStyle name="Percent 29 2 5 3 2" xfId="38879"/>
    <cellStyle name="Percent 29 2 5 4" xfId="26563"/>
    <cellStyle name="Percent 29 2 6" xfId="9983"/>
    <cellStyle name="Percent 29 2 6 2" xfId="29661"/>
    <cellStyle name="Percent 29 2 7" xfId="16135"/>
    <cellStyle name="Percent 29 2 7 2" xfId="35813"/>
    <cellStyle name="Percent 29 2 8" xfId="23480"/>
    <cellStyle name="Percent 29 3" xfId="3408"/>
    <cellStyle name="Percent 29 3 2" xfId="3409"/>
    <cellStyle name="Percent 29 3 2 2" xfId="4451"/>
    <cellStyle name="Percent 29 3 2 2 2" xfId="6076"/>
    <cellStyle name="Percent 29 3 2 2 2 2" xfId="9162"/>
    <cellStyle name="Percent 29 3 2 2 2 2 2" xfId="15355"/>
    <cellStyle name="Percent 29 3 2 2 2 2 2 2" xfId="35033"/>
    <cellStyle name="Percent 29 3 2 2 2 2 3" xfId="21507"/>
    <cellStyle name="Percent 29 3 2 2 2 2 3 2" xfId="41185"/>
    <cellStyle name="Percent 29 3 2 2 2 2 4" xfId="28869"/>
    <cellStyle name="Percent 29 3 2 2 2 3" xfId="12289"/>
    <cellStyle name="Percent 29 3 2 2 2 3 2" xfId="31967"/>
    <cellStyle name="Percent 29 3 2 2 2 4" xfId="18441"/>
    <cellStyle name="Percent 29 3 2 2 2 4 2" xfId="38119"/>
    <cellStyle name="Percent 29 3 2 2 2 5" xfId="25803"/>
    <cellStyle name="Percent 29 3 2 2 3" xfId="7627"/>
    <cellStyle name="Percent 29 3 2 2 3 2" xfId="13821"/>
    <cellStyle name="Percent 29 3 2 2 3 2 2" xfId="33499"/>
    <cellStyle name="Percent 29 3 2 2 3 3" xfId="19973"/>
    <cellStyle name="Percent 29 3 2 2 3 3 2" xfId="39651"/>
    <cellStyle name="Percent 29 3 2 2 3 4" xfId="27335"/>
    <cellStyle name="Percent 29 3 2 2 4" xfId="10755"/>
    <cellStyle name="Percent 29 3 2 2 4 2" xfId="30433"/>
    <cellStyle name="Percent 29 3 2 2 5" xfId="16907"/>
    <cellStyle name="Percent 29 3 2 2 5 2" xfId="36585"/>
    <cellStyle name="Percent 29 3 2 2 6" xfId="24269"/>
    <cellStyle name="Percent 29 3 2 3" xfId="5301"/>
    <cellStyle name="Percent 29 3 2 3 2" xfId="8393"/>
    <cellStyle name="Percent 29 3 2 3 2 2" xfId="14586"/>
    <cellStyle name="Percent 29 3 2 3 2 2 2" xfId="34264"/>
    <cellStyle name="Percent 29 3 2 3 2 3" xfId="20738"/>
    <cellStyle name="Percent 29 3 2 3 2 3 2" xfId="40416"/>
    <cellStyle name="Percent 29 3 2 3 2 4" xfId="28100"/>
    <cellStyle name="Percent 29 3 2 3 3" xfId="11520"/>
    <cellStyle name="Percent 29 3 2 3 3 2" xfId="31198"/>
    <cellStyle name="Percent 29 3 2 3 4" xfId="17672"/>
    <cellStyle name="Percent 29 3 2 3 4 2" xfId="37350"/>
    <cellStyle name="Percent 29 3 2 3 5" xfId="25034"/>
    <cellStyle name="Percent 29 3 2 4" xfId="6858"/>
    <cellStyle name="Percent 29 3 2 4 2" xfId="13052"/>
    <cellStyle name="Percent 29 3 2 4 2 2" xfId="32730"/>
    <cellStyle name="Percent 29 3 2 4 3" xfId="19204"/>
    <cellStyle name="Percent 29 3 2 4 3 2" xfId="38882"/>
    <cellStyle name="Percent 29 3 2 4 4" xfId="26566"/>
    <cellStyle name="Percent 29 3 2 5" xfId="9986"/>
    <cellStyle name="Percent 29 3 2 5 2" xfId="29664"/>
    <cellStyle name="Percent 29 3 2 6" xfId="16138"/>
    <cellStyle name="Percent 29 3 2 6 2" xfId="35816"/>
    <cellStyle name="Percent 29 3 2 7" xfId="23483"/>
    <cellStyle name="Percent 29 3 3" xfId="4450"/>
    <cellStyle name="Percent 29 3 3 2" xfId="6075"/>
    <cellStyle name="Percent 29 3 3 2 2" xfId="9161"/>
    <cellStyle name="Percent 29 3 3 2 2 2" xfId="15354"/>
    <cellStyle name="Percent 29 3 3 2 2 2 2" xfId="35032"/>
    <cellStyle name="Percent 29 3 3 2 2 3" xfId="21506"/>
    <cellStyle name="Percent 29 3 3 2 2 3 2" xfId="41184"/>
    <cellStyle name="Percent 29 3 3 2 2 4" xfId="28868"/>
    <cellStyle name="Percent 29 3 3 2 3" xfId="12288"/>
    <cellStyle name="Percent 29 3 3 2 3 2" xfId="31966"/>
    <cellStyle name="Percent 29 3 3 2 4" xfId="18440"/>
    <cellStyle name="Percent 29 3 3 2 4 2" xfId="38118"/>
    <cellStyle name="Percent 29 3 3 2 5" xfId="25802"/>
    <cellStyle name="Percent 29 3 3 3" xfId="7626"/>
    <cellStyle name="Percent 29 3 3 3 2" xfId="13820"/>
    <cellStyle name="Percent 29 3 3 3 2 2" xfId="33498"/>
    <cellStyle name="Percent 29 3 3 3 3" xfId="19972"/>
    <cellStyle name="Percent 29 3 3 3 3 2" xfId="39650"/>
    <cellStyle name="Percent 29 3 3 3 4" xfId="27334"/>
    <cellStyle name="Percent 29 3 3 4" xfId="10754"/>
    <cellStyle name="Percent 29 3 3 4 2" xfId="30432"/>
    <cellStyle name="Percent 29 3 3 5" xfId="16906"/>
    <cellStyle name="Percent 29 3 3 5 2" xfId="36584"/>
    <cellStyle name="Percent 29 3 3 6" xfId="24268"/>
    <cellStyle name="Percent 29 3 4" xfId="5300"/>
    <cellStyle name="Percent 29 3 4 2" xfId="8392"/>
    <cellStyle name="Percent 29 3 4 2 2" xfId="14585"/>
    <cellStyle name="Percent 29 3 4 2 2 2" xfId="34263"/>
    <cellStyle name="Percent 29 3 4 2 3" xfId="20737"/>
    <cellStyle name="Percent 29 3 4 2 3 2" xfId="40415"/>
    <cellStyle name="Percent 29 3 4 2 4" xfId="28099"/>
    <cellStyle name="Percent 29 3 4 3" xfId="11519"/>
    <cellStyle name="Percent 29 3 4 3 2" xfId="31197"/>
    <cellStyle name="Percent 29 3 4 4" xfId="17671"/>
    <cellStyle name="Percent 29 3 4 4 2" xfId="37349"/>
    <cellStyle name="Percent 29 3 4 5" xfId="25033"/>
    <cellStyle name="Percent 29 3 5" xfId="6857"/>
    <cellStyle name="Percent 29 3 5 2" xfId="13051"/>
    <cellStyle name="Percent 29 3 5 2 2" xfId="32729"/>
    <cellStyle name="Percent 29 3 5 3" xfId="19203"/>
    <cellStyle name="Percent 29 3 5 3 2" xfId="38881"/>
    <cellStyle name="Percent 29 3 5 4" xfId="26565"/>
    <cellStyle name="Percent 29 3 6" xfId="9985"/>
    <cellStyle name="Percent 29 3 6 2" xfId="29663"/>
    <cellStyle name="Percent 29 3 7" xfId="16137"/>
    <cellStyle name="Percent 29 3 7 2" xfId="35815"/>
    <cellStyle name="Percent 29 3 8" xfId="23482"/>
    <cellStyle name="Percent 29 4" xfId="3410"/>
    <cellStyle name="Percent 29 4 2" xfId="3411"/>
    <cellStyle name="Percent 29 4 2 2" xfId="4452"/>
    <cellStyle name="Percent 29 4 2 2 2" xfId="6077"/>
    <cellStyle name="Percent 29 4 2 2 2 2" xfId="9163"/>
    <cellStyle name="Percent 29 4 2 2 2 2 2" xfId="15356"/>
    <cellStyle name="Percent 29 4 2 2 2 2 2 2" xfId="35034"/>
    <cellStyle name="Percent 29 4 2 2 2 2 3" xfId="21508"/>
    <cellStyle name="Percent 29 4 2 2 2 2 3 2" xfId="41186"/>
    <cellStyle name="Percent 29 4 2 2 2 2 4" xfId="28870"/>
    <cellStyle name="Percent 29 4 2 2 2 3" xfId="12290"/>
    <cellStyle name="Percent 29 4 2 2 2 3 2" xfId="31968"/>
    <cellStyle name="Percent 29 4 2 2 2 4" xfId="18442"/>
    <cellStyle name="Percent 29 4 2 2 2 4 2" xfId="38120"/>
    <cellStyle name="Percent 29 4 2 2 2 5" xfId="25804"/>
    <cellStyle name="Percent 29 4 2 2 3" xfId="7628"/>
    <cellStyle name="Percent 29 4 2 2 3 2" xfId="13822"/>
    <cellStyle name="Percent 29 4 2 2 3 2 2" xfId="33500"/>
    <cellStyle name="Percent 29 4 2 2 3 3" xfId="19974"/>
    <cellStyle name="Percent 29 4 2 2 3 3 2" xfId="39652"/>
    <cellStyle name="Percent 29 4 2 2 3 4" xfId="27336"/>
    <cellStyle name="Percent 29 4 2 2 4" xfId="10756"/>
    <cellStyle name="Percent 29 4 2 2 4 2" xfId="30434"/>
    <cellStyle name="Percent 29 4 2 2 5" xfId="16908"/>
    <cellStyle name="Percent 29 4 2 2 5 2" xfId="36586"/>
    <cellStyle name="Percent 29 4 2 2 6" xfId="24270"/>
    <cellStyle name="Percent 29 4 2 3" xfId="5302"/>
    <cellStyle name="Percent 29 4 2 3 2" xfId="8394"/>
    <cellStyle name="Percent 29 4 2 3 2 2" xfId="14587"/>
    <cellStyle name="Percent 29 4 2 3 2 2 2" xfId="34265"/>
    <cellStyle name="Percent 29 4 2 3 2 3" xfId="20739"/>
    <cellStyle name="Percent 29 4 2 3 2 3 2" xfId="40417"/>
    <cellStyle name="Percent 29 4 2 3 2 4" xfId="28101"/>
    <cellStyle name="Percent 29 4 2 3 3" xfId="11521"/>
    <cellStyle name="Percent 29 4 2 3 3 2" xfId="31199"/>
    <cellStyle name="Percent 29 4 2 3 4" xfId="17673"/>
    <cellStyle name="Percent 29 4 2 3 4 2" xfId="37351"/>
    <cellStyle name="Percent 29 4 2 3 5" xfId="25035"/>
    <cellStyle name="Percent 29 4 2 4" xfId="6859"/>
    <cellStyle name="Percent 29 4 2 4 2" xfId="13053"/>
    <cellStyle name="Percent 29 4 2 4 2 2" xfId="32731"/>
    <cellStyle name="Percent 29 4 2 4 3" xfId="19205"/>
    <cellStyle name="Percent 29 4 2 4 3 2" xfId="38883"/>
    <cellStyle name="Percent 29 4 2 4 4" xfId="26567"/>
    <cellStyle name="Percent 29 4 2 5" xfId="9987"/>
    <cellStyle name="Percent 29 4 2 5 2" xfId="29665"/>
    <cellStyle name="Percent 29 4 2 6" xfId="16139"/>
    <cellStyle name="Percent 29 4 2 6 2" xfId="35817"/>
    <cellStyle name="Percent 29 4 2 7" xfId="23484"/>
    <cellStyle name="Percent 29 5" xfId="3412"/>
    <cellStyle name="Percent 29 5 2" xfId="4453"/>
    <cellStyle name="Percent 29 5 2 2" xfId="6078"/>
    <cellStyle name="Percent 29 5 2 2 2" xfId="9164"/>
    <cellStyle name="Percent 29 5 2 2 2 2" xfId="15357"/>
    <cellStyle name="Percent 29 5 2 2 2 2 2" xfId="35035"/>
    <cellStyle name="Percent 29 5 2 2 2 3" xfId="21509"/>
    <cellStyle name="Percent 29 5 2 2 2 3 2" xfId="41187"/>
    <cellStyle name="Percent 29 5 2 2 2 4" xfId="28871"/>
    <cellStyle name="Percent 29 5 2 2 3" xfId="12291"/>
    <cellStyle name="Percent 29 5 2 2 3 2" xfId="31969"/>
    <cellStyle name="Percent 29 5 2 2 4" xfId="18443"/>
    <cellStyle name="Percent 29 5 2 2 4 2" xfId="38121"/>
    <cellStyle name="Percent 29 5 2 2 5" xfId="25805"/>
    <cellStyle name="Percent 29 5 2 3" xfId="7629"/>
    <cellStyle name="Percent 29 5 2 3 2" xfId="13823"/>
    <cellStyle name="Percent 29 5 2 3 2 2" xfId="33501"/>
    <cellStyle name="Percent 29 5 2 3 3" xfId="19975"/>
    <cellStyle name="Percent 29 5 2 3 3 2" xfId="39653"/>
    <cellStyle name="Percent 29 5 2 3 4" xfId="27337"/>
    <cellStyle name="Percent 29 5 2 4" xfId="10757"/>
    <cellStyle name="Percent 29 5 2 4 2" xfId="30435"/>
    <cellStyle name="Percent 29 5 2 5" xfId="16909"/>
    <cellStyle name="Percent 29 5 2 5 2" xfId="36587"/>
    <cellStyle name="Percent 29 5 2 6" xfId="24271"/>
    <cellStyle name="Percent 29 5 3" xfId="5303"/>
    <cellStyle name="Percent 29 5 3 2" xfId="8395"/>
    <cellStyle name="Percent 29 5 3 2 2" xfId="14588"/>
    <cellStyle name="Percent 29 5 3 2 2 2" xfId="34266"/>
    <cellStyle name="Percent 29 5 3 2 3" xfId="20740"/>
    <cellStyle name="Percent 29 5 3 2 3 2" xfId="40418"/>
    <cellStyle name="Percent 29 5 3 2 4" xfId="28102"/>
    <cellStyle name="Percent 29 5 3 3" xfId="11522"/>
    <cellStyle name="Percent 29 5 3 3 2" xfId="31200"/>
    <cellStyle name="Percent 29 5 3 4" xfId="17674"/>
    <cellStyle name="Percent 29 5 3 4 2" xfId="37352"/>
    <cellStyle name="Percent 29 5 3 5" xfId="25036"/>
    <cellStyle name="Percent 29 5 4" xfId="6860"/>
    <cellStyle name="Percent 29 5 4 2" xfId="13054"/>
    <cellStyle name="Percent 29 5 4 2 2" xfId="32732"/>
    <cellStyle name="Percent 29 5 4 3" xfId="19206"/>
    <cellStyle name="Percent 29 5 4 3 2" xfId="38884"/>
    <cellStyle name="Percent 29 5 4 4" xfId="26568"/>
    <cellStyle name="Percent 29 5 5" xfId="9988"/>
    <cellStyle name="Percent 29 5 5 2" xfId="29666"/>
    <cellStyle name="Percent 29 5 6" xfId="16140"/>
    <cellStyle name="Percent 29 5 6 2" xfId="35818"/>
    <cellStyle name="Percent 29 5 7" xfId="23485"/>
    <cellStyle name="Percent 3" xfId="51"/>
    <cellStyle name="Percent 3 10" xfId="3413"/>
    <cellStyle name="Percent 3 10 2" xfId="4454"/>
    <cellStyle name="Percent 3 10 2 2" xfId="6079"/>
    <cellStyle name="Percent 3 10 2 2 2" xfId="9165"/>
    <cellStyle name="Percent 3 10 2 2 2 2" xfId="15358"/>
    <cellStyle name="Percent 3 10 2 2 2 2 2" xfId="35036"/>
    <cellStyle name="Percent 3 10 2 2 2 3" xfId="21510"/>
    <cellStyle name="Percent 3 10 2 2 2 3 2" xfId="41188"/>
    <cellStyle name="Percent 3 10 2 2 2 4" xfId="28872"/>
    <cellStyle name="Percent 3 10 2 2 3" xfId="12292"/>
    <cellStyle name="Percent 3 10 2 2 3 2" xfId="31970"/>
    <cellStyle name="Percent 3 10 2 2 4" xfId="18444"/>
    <cellStyle name="Percent 3 10 2 2 4 2" xfId="38122"/>
    <cellStyle name="Percent 3 10 2 2 5" xfId="25806"/>
    <cellStyle name="Percent 3 10 2 3" xfId="7630"/>
    <cellStyle name="Percent 3 10 2 3 2" xfId="13824"/>
    <cellStyle name="Percent 3 10 2 3 2 2" xfId="33502"/>
    <cellStyle name="Percent 3 10 2 3 3" xfId="19976"/>
    <cellStyle name="Percent 3 10 2 3 3 2" xfId="39654"/>
    <cellStyle name="Percent 3 10 2 3 4" xfId="27338"/>
    <cellStyle name="Percent 3 10 2 4" xfId="10758"/>
    <cellStyle name="Percent 3 10 2 4 2" xfId="30436"/>
    <cellStyle name="Percent 3 10 2 5" xfId="16910"/>
    <cellStyle name="Percent 3 10 2 5 2" xfId="36588"/>
    <cellStyle name="Percent 3 10 2 6" xfId="24272"/>
    <cellStyle name="Percent 3 10 3" xfId="5304"/>
    <cellStyle name="Percent 3 10 3 2" xfId="8396"/>
    <cellStyle name="Percent 3 10 3 2 2" xfId="14589"/>
    <cellStyle name="Percent 3 10 3 2 2 2" xfId="34267"/>
    <cellStyle name="Percent 3 10 3 2 3" xfId="20741"/>
    <cellStyle name="Percent 3 10 3 2 3 2" xfId="40419"/>
    <cellStyle name="Percent 3 10 3 2 4" xfId="28103"/>
    <cellStyle name="Percent 3 10 3 3" xfId="11523"/>
    <cellStyle name="Percent 3 10 3 3 2" xfId="31201"/>
    <cellStyle name="Percent 3 10 3 4" xfId="17675"/>
    <cellStyle name="Percent 3 10 3 4 2" xfId="37353"/>
    <cellStyle name="Percent 3 10 3 5" xfId="25037"/>
    <cellStyle name="Percent 3 10 4" xfId="6861"/>
    <cellStyle name="Percent 3 10 4 2" xfId="13055"/>
    <cellStyle name="Percent 3 10 4 2 2" xfId="32733"/>
    <cellStyle name="Percent 3 10 4 3" xfId="19207"/>
    <cellStyle name="Percent 3 10 4 3 2" xfId="38885"/>
    <cellStyle name="Percent 3 10 4 4" xfId="26569"/>
    <cellStyle name="Percent 3 10 5" xfId="9989"/>
    <cellStyle name="Percent 3 10 5 2" xfId="29667"/>
    <cellStyle name="Percent 3 10 6" xfId="16141"/>
    <cellStyle name="Percent 3 10 6 2" xfId="35819"/>
    <cellStyle name="Percent 3 10 7" xfId="23486"/>
    <cellStyle name="Percent 3 10 8" xfId="21889"/>
    <cellStyle name="Percent 3 11" xfId="3414"/>
    <cellStyle name="Percent 3 11 2" xfId="4455"/>
    <cellStyle name="Percent 3 11 2 2" xfId="6080"/>
    <cellStyle name="Percent 3 11 2 2 2" xfId="9166"/>
    <cellStyle name="Percent 3 11 2 2 2 2" xfId="15359"/>
    <cellStyle name="Percent 3 11 2 2 2 2 2" xfId="35037"/>
    <cellStyle name="Percent 3 11 2 2 2 3" xfId="21511"/>
    <cellStyle name="Percent 3 11 2 2 2 3 2" xfId="41189"/>
    <cellStyle name="Percent 3 11 2 2 2 4" xfId="28873"/>
    <cellStyle name="Percent 3 11 2 2 3" xfId="12293"/>
    <cellStyle name="Percent 3 11 2 2 3 2" xfId="31971"/>
    <cellStyle name="Percent 3 11 2 2 4" xfId="18445"/>
    <cellStyle name="Percent 3 11 2 2 4 2" xfId="38123"/>
    <cellStyle name="Percent 3 11 2 2 5" xfId="25807"/>
    <cellStyle name="Percent 3 11 2 3" xfId="7631"/>
    <cellStyle name="Percent 3 11 2 3 2" xfId="13825"/>
    <cellStyle name="Percent 3 11 2 3 2 2" xfId="33503"/>
    <cellStyle name="Percent 3 11 2 3 3" xfId="19977"/>
    <cellStyle name="Percent 3 11 2 3 3 2" xfId="39655"/>
    <cellStyle name="Percent 3 11 2 3 4" xfId="27339"/>
    <cellStyle name="Percent 3 11 2 4" xfId="10759"/>
    <cellStyle name="Percent 3 11 2 4 2" xfId="30437"/>
    <cellStyle name="Percent 3 11 2 5" xfId="16911"/>
    <cellStyle name="Percent 3 11 2 5 2" xfId="36589"/>
    <cellStyle name="Percent 3 11 2 6" xfId="24273"/>
    <cellStyle name="Percent 3 11 3" xfId="5305"/>
    <cellStyle name="Percent 3 11 3 2" xfId="8397"/>
    <cellStyle name="Percent 3 11 3 2 2" xfId="14590"/>
    <cellStyle name="Percent 3 11 3 2 2 2" xfId="34268"/>
    <cellStyle name="Percent 3 11 3 2 3" xfId="20742"/>
    <cellStyle name="Percent 3 11 3 2 3 2" xfId="40420"/>
    <cellStyle name="Percent 3 11 3 2 4" xfId="28104"/>
    <cellStyle name="Percent 3 11 3 3" xfId="11524"/>
    <cellStyle name="Percent 3 11 3 3 2" xfId="31202"/>
    <cellStyle name="Percent 3 11 3 4" xfId="17676"/>
    <cellStyle name="Percent 3 11 3 4 2" xfId="37354"/>
    <cellStyle name="Percent 3 11 3 5" xfId="25038"/>
    <cellStyle name="Percent 3 11 4" xfId="6862"/>
    <cellStyle name="Percent 3 11 4 2" xfId="13056"/>
    <cellStyle name="Percent 3 11 4 2 2" xfId="32734"/>
    <cellStyle name="Percent 3 11 4 3" xfId="19208"/>
    <cellStyle name="Percent 3 11 4 3 2" xfId="38886"/>
    <cellStyle name="Percent 3 11 4 4" xfId="26570"/>
    <cellStyle name="Percent 3 11 5" xfId="9990"/>
    <cellStyle name="Percent 3 11 5 2" xfId="29668"/>
    <cellStyle name="Percent 3 11 6" xfId="16142"/>
    <cellStyle name="Percent 3 11 6 2" xfId="35820"/>
    <cellStyle name="Percent 3 11 7" xfId="23487"/>
    <cellStyle name="Percent 3 11 8" xfId="21907"/>
    <cellStyle name="Percent 3 12" xfId="3415"/>
    <cellStyle name="Percent 3 12 2" xfId="4456"/>
    <cellStyle name="Percent 3 12 2 2" xfId="6081"/>
    <cellStyle name="Percent 3 12 2 2 2" xfId="9167"/>
    <cellStyle name="Percent 3 12 2 2 2 2" xfId="15360"/>
    <cellStyle name="Percent 3 12 2 2 2 2 2" xfId="35038"/>
    <cellStyle name="Percent 3 12 2 2 2 3" xfId="21512"/>
    <cellStyle name="Percent 3 12 2 2 2 3 2" xfId="41190"/>
    <cellStyle name="Percent 3 12 2 2 2 4" xfId="28874"/>
    <cellStyle name="Percent 3 12 2 2 3" xfId="12294"/>
    <cellStyle name="Percent 3 12 2 2 3 2" xfId="31972"/>
    <cellStyle name="Percent 3 12 2 2 4" xfId="18446"/>
    <cellStyle name="Percent 3 12 2 2 4 2" xfId="38124"/>
    <cellStyle name="Percent 3 12 2 2 5" xfId="25808"/>
    <cellStyle name="Percent 3 12 2 3" xfId="7632"/>
    <cellStyle name="Percent 3 12 2 3 2" xfId="13826"/>
    <cellStyle name="Percent 3 12 2 3 2 2" xfId="33504"/>
    <cellStyle name="Percent 3 12 2 3 3" xfId="19978"/>
    <cellStyle name="Percent 3 12 2 3 3 2" xfId="39656"/>
    <cellStyle name="Percent 3 12 2 3 4" xfId="27340"/>
    <cellStyle name="Percent 3 12 2 4" xfId="10760"/>
    <cellStyle name="Percent 3 12 2 4 2" xfId="30438"/>
    <cellStyle name="Percent 3 12 2 5" xfId="16912"/>
    <cellStyle name="Percent 3 12 2 5 2" xfId="36590"/>
    <cellStyle name="Percent 3 12 2 6" xfId="24274"/>
    <cellStyle name="Percent 3 12 3" xfId="5306"/>
    <cellStyle name="Percent 3 12 3 2" xfId="8398"/>
    <cellStyle name="Percent 3 12 3 2 2" xfId="14591"/>
    <cellStyle name="Percent 3 12 3 2 2 2" xfId="34269"/>
    <cellStyle name="Percent 3 12 3 2 3" xfId="20743"/>
    <cellStyle name="Percent 3 12 3 2 3 2" xfId="40421"/>
    <cellStyle name="Percent 3 12 3 2 4" xfId="28105"/>
    <cellStyle name="Percent 3 12 3 3" xfId="11525"/>
    <cellStyle name="Percent 3 12 3 3 2" xfId="31203"/>
    <cellStyle name="Percent 3 12 3 4" xfId="17677"/>
    <cellStyle name="Percent 3 12 3 4 2" xfId="37355"/>
    <cellStyle name="Percent 3 12 3 5" xfId="25039"/>
    <cellStyle name="Percent 3 12 4" xfId="6863"/>
    <cellStyle name="Percent 3 12 4 2" xfId="13057"/>
    <cellStyle name="Percent 3 12 4 2 2" xfId="32735"/>
    <cellStyle name="Percent 3 12 4 3" xfId="19209"/>
    <cellStyle name="Percent 3 12 4 3 2" xfId="38887"/>
    <cellStyle name="Percent 3 12 4 4" xfId="26571"/>
    <cellStyle name="Percent 3 12 5" xfId="9991"/>
    <cellStyle name="Percent 3 12 5 2" xfId="29669"/>
    <cellStyle name="Percent 3 12 6" xfId="16143"/>
    <cellStyle name="Percent 3 12 6 2" xfId="35821"/>
    <cellStyle name="Percent 3 12 7" xfId="23488"/>
    <cellStyle name="Percent 3 12 8" xfId="21920"/>
    <cellStyle name="Percent 3 13" xfId="3416"/>
    <cellStyle name="Percent 3 13 2" xfId="4457"/>
    <cellStyle name="Percent 3 13 2 2" xfId="6082"/>
    <cellStyle name="Percent 3 13 2 2 2" xfId="9168"/>
    <cellStyle name="Percent 3 13 2 2 2 2" xfId="15361"/>
    <cellStyle name="Percent 3 13 2 2 2 2 2" xfId="35039"/>
    <cellStyle name="Percent 3 13 2 2 2 3" xfId="21513"/>
    <cellStyle name="Percent 3 13 2 2 2 3 2" xfId="41191"/>
    <cellStyle name="Percent 3 13 2 2 2 4" xfId="28875"/>
    <cellStyle name="Percent 3 13 2 2 3" xfId="12295"/>
    <cellStyle name="Percent 3 13 2 2 3 2" xfId="31973"/>
    <cellStyle name="Percent 3 13 2 2 4" xfId="18447"/>
    <cellStyle name="Percent 3 13 2 2 4 2" xfId="38125"/>
    <cellStyle name="Percent 3 13 2 2 5" xfId="25809"/>
    <cellStyle name="Percent 3 13 2 3" xfId="7633"/>
    <cellStyle name="Percent 3 13 2 3 2" xfId="13827"/>
    <cellStyle name="Percent 3 13 2 3 2 2" xfId="33505"/>
    <cellStyle name="Percent 3 13 2 3 3" xfId="19979"/>
    <cellStyle name="Percent 3 13 2 3 3 2" xfId="39657"/>
    <cellStyle name="Percent 3 13 2 3 4" xfId="27341"/>
    <cellStyle name="Percent 3 13 2 4" xfId="10761"/>
    <cellStyle name="Percent 3 13 2 4 2" xfId="30439"/>
    <cellStyle name="Percent 3 13 2 5" xfId="16913"/>
    <cellStyle name="Percent 3 13 2 5 2" xfId="36591"/>
    <cellStyle name="Percent 3 13 2 6" xfId="24275"/>
    <cellStyle name="Percent 3 13 3" xfId="5307"/>
    <cellStyle name="Percent 3 13 3 2" xfId="8399"/>
    <cellStyle name="Percent 3 13 3 2 2" xfId="14592"/>
    <cellStyle name="Percent 3 13 3 2 2 2" xfId="34270"/>
    <cellStyle name="Percent 3 13 3 2 3" xfId="20744"/>
    <cellStyle name="Percent 3 13 3 2 3 2" xfId="40422"/>
    <cellStyle name="Percent 3 13 3 2 4" xfId="28106"/>
    <cellStyle name="Percent 3 13 3 3" xfId="11526"/>
    <cellStyle name="Percent 3 13 3 3 2" xfId="31204"/>
    <cellStyle name="Percent 3 13 3 4" xfId="17678"/>
    <cellStyle name="Percent 3 13 3 4 2" xfId="37356"/>
    <cellStyle name="Percent 3 13 3 5" xfId="25040"/>
    <cellStyle name="Percent 3 13 4" xfId="6864"/>
    <cellStyle name="Percent 3 13 4 2" xfId="13058"/>
    <cellStyle name="Percent 3 13 4 2 2" xfId="32736"/>
    <cellStyle name="Percent 3 13 4 3" xfId="19210"/>
    <cellStyle name="Percent 3 13 4 3 2" xfId="38888"/>
    <cellStyle name="Percent 3 13 4 4" xfId="26572"/>
    <cellStyle name="Percent 3 13 5" xfId="9992"/>
    <cellStyle name="Percent 3 13 5 2" xfId="29670"/>
    <cellStyle name="Percent 3 13 6" xfId="16144"/>
    <cellStyle name="Percent 3 13 6 2" xfId="35822"/>
    <cellStyle name="Percent 3 13 7" xfId="23489"/>
    <cellStyle name="Percent 3 13 8" xfId="21932"/>
    <cellStyle name="Percent 3 14" xfId="3417"/>
    <cellStyle name="Percent 3 14 2" xfId="4458"/>
    <cellStyle name="Percent 3 14 2 2" xfId="6083"/>
    <cellStyle name="Percent 3 14 2 2 2" xfId="9169"/>
    <cellStyle name="Percent 3 14 2 2 2 2" xfId="15362"/>
    <cellStyle name="Percent 3 14 2 2 2 2 2" xfId="35040"/>
    <cellStyle name="Percent 3 14 2 2 2 3" xfId="21514"/>
    <cellStyle name="Percent 3 14 2 2 2 3 2" xfId="41192"/>
    <cellStyle name="Percent 3 14 2 2 2 4" xfId="28876"/>
    <cellStyle name="Percent 3 14 2 2 3" xfId="12296"/>
    <cellStyle name="Percent 3 14 2 2 3 2" xfId="31974"/>
    <cellStyle name="Percent 3 14 2 2 4" xfId="18448"/>
    <cellStyle name="Percent 3 14 2 2 4 2" xfId="38126"/>
    <cellStyle name="Percent 3 14 2 2 5" xfId="25810"/>
    <cellStyle name="Percent 3 14 2 3" xfId="7634"/>
    <cellStyle name="Percent 3 14 2 3 2" xfId="13828"/>
    <cellStyle name="Percent 3 14 2 3 2 2" xfId="33506"/>
    <cellStyle name="Percent 3 14 2 3 3" xfId="19980"/>
    <cellStyle name="Percent 3 14 2 3 3 2" xfId="39658"/>
    <cellStyle name="Percent 3 14 2 3 4" xfId="27342"/>
    <cellStyle name="Percent 3 14 2 4" xfId="10762"/>
    <cellStyle name="Percent 3 14 2 4 2" xfId="30440"/>
    <cellStyle name="Percent 3 14 2 5" xfId="16914"/>
    <cellStyle name="Percent 3 14 2 5 2" xfId="36592"/>
    <cellStyle name="Percent 3 14 2 6" xfId="24276"/>
    <cellStyle name="Percent 3 14 3" xfId="5308"/>
    <cellStyle name="Percent 3 14 3 2" xfId="8400"/>
    <cellStyle name="Percent 3 14 3 2 2" xfId="14593"/>
    <cellStyle name="Percent 3 14 3 2 2 2" xfId="34271"/>
    <cellStyle name="Percent 3 14 3 2 3" xfId="20745"/>
    <cellStyle name="Percent 3 14 3 2 3 2" xfId="40423"/>
    <cellStyle name="Percent 3 14 3 2 4" xfId="28107"/>
    <cellStyle name="Percent 3 14 3 3" xfId="11527"/>
    <cellStyle name="Percent 3 14 3 3 2" xfId="31205"/>
    <cellStyle name="Percent 3 14 3 4" xfId="17679"/>
    <cellStyle name="Percent 3 14 3 4 2" xfId="37357"/>
    <cellStyle name="Percent 3 14 3 5" xfId="25041"/>
    <cellStyle name="Percent 3 14 4" xfId="6865"/>
    <cellStyle name="Percent 3 14 4 2" xfId="13059"/>
    <cellStyle name="Percent 3 14 4 2 2" xfId="32737"/>
    <cellStyle name="Percent 3 14 4 3" xfId="19211"/>
    <cellStyle name="Percent 3 14 4 3 2" xfId="38889"/>
    <cellStyle name="Percent 3 14 4 4" xfId="26573"/>
    <cellStyle name="Percent 3 14 5" xfId="9993"/>
    <cellStyle name="Percent 3 14 5 2" xfId="29671"/>
    <cellStyle name="Percent 3 14 6" xfId="16145"/>
    <cellStyle name="Percent 3 14 6 2" xfId="35823"/>
    <cellStyle name="Percent 3 14 7" xfId="23490"/>
    <cellStyle name="Percent 3 14 8" xfId="21943"/>
    <cellStyle name="Percent 3 15" xfId="3418"/>
    <cellStyle name="Percent 3 15 2" xfId="4459"/>
    <cellStyle name="Percent 3 15 2 2" xfId="6084"/>
    <cellStyle name="Percent 3 15 2 2 2" xfId="9170"/>
    <cellStyle name="Percent 3 15 2 2 2 2" xfId="15363"/>
    <cellStyle name="Percent 3 15 2 2 2 2 2" xfId="35041"/>
    <cellStyle name="Percent 3 15 2 2 2 3" xfId="21515"/>
    <cellStyle name="Percent 3 15 2 2 2 3 2" xfId="41193"/>
    <cellStyle name="Percent 3 15 2 2 2 4" xfId="28877"/>
    <cellStyle name="Percent 3 15 2 2 3" xfId="12297"/>
    <cellStyle name="Percent 3 15 2 2 3 2" xfId="31975"/>
    <cellStyle name="Percent 3 15 2 2 4" xfId="18449"/>
    <cellStyle name="Percent 3 15 2 2 4 2" xfId="38127"/>
    <cellStyle name="Percent 3 15 2 2 5" xfId="25811"/>
    <cellStyle name="Percent 3 15 2 3" xfId="7635"/>
    <cellStyle name="Percent 3 15 2 3 2" xfId="13829"/>
    <cellStyle name="Percent 3 15 2 3 2 2" xfId="33507"/>
    <cellStyle name="Percent 3 15 2 3 3" xfId="19981"/>
    <cellStyle name="Percent 3 15 2 3 3 2" xfId="39659"/>
    <cellStyle name="Percent 3 15 2 3 4" xfId="27343"/>
    <cellStyle name="Percent 3 15 2 4" xfId="10763"/>
    <cellStyle name="Percent 3 15 2 4 2" xfId="30441"/>
    <cellStyle name="Percent 3 15 2 5" xfId="16915"/>
    <cellStyle name="Percent 3 15 2 5 2" xfId="36593"/>
    <cellStyle name="Percent 3 15 2 6" xfId="24277"/>
    <cellStyle name="Percent 3 15 3" xfId="5309"/>
    <cellStyle name="Percent 3 15 3 2" xfId="8401"/>
    <cellStyle name="Percent 3 15 3 2 2" xfId="14594"/>
    <cellStyle name="Percent 3 15 3 2 2 2" xfId="34272"/>
    <cellStyle name="Percent 3 15 3 2 3" xfId="20746"/>
    <cellStyle name="Percent 3 15 3 2 3 2" xfId="40424"/>
    <cellStyle name="Percent 3 15 3 2 4" xfId="28108"/>
    <cellStyle name="Percent 3 15 3 3" xfId="11528"/>
    <cellStyle name="Percent 3 15 3 3 2" xfId="31206"/>
    <cellStyle name="Percent 3 15 3 4" xfId="17680"/>
    <cellStyle name="Percent 3 15 3 4 2" xfId="37358"/>
    <cellStyle name="Percent 3 15 3 5" xfId="25042"/>
    <cellStyle name="Percent 3 15 4" xfId="6866"/>
    <cellStyle name="Percent 3 15 4 2" xfId="13060"/>
    <cellStyle name="Percent 3 15 4 2 2" xfId="32738"/>
    <cellStyle name="Percent 3 15 4 3" xfId="19212"/>
    <cellStyle name="Percent 3 15 4 3 2" xfId="38890"/>
    <cellStyle name="Percent 3 15 4 4" xfId="26574"/>
    <cellStyle name="Percent 3 15 5" xfId="9994"/>
    <cellStyle name="Percent 3 15 5 2" xfId="29672"/>
    <cellStyle name="Percent 3 15 6" xfId="16146"/>
    <cellStyle name="Percent 3 15 6 2" xfId="35824"/>
    <cellStyle name="Percent 3 15 7" xfId="23491"/>
    <cellStyle name="Percent 3 15 8" xfId="21926"/>
    <cellStyle name="Percent 3 16" xfId="3419"/>
    <cellStyle name="Percent 3 16 2" xfId="4460"/>
    <cellStyle name="Percent 3 16 2 2" xfId="6085"/>
    <cellStyle name="Percent 3 16 2 2 2" xfId="9171"/>
    <cellStyle name="Percent 3 16 2 2 2 2" xfId="15364"/>
    <cellStyle name="Percent 3 16 2 2 2 2 2" xfId="35042"/>
    <cellStyle name="Percent 3 16 2 2 2 3" xfId="21516"/>
    <cellStyle name="Percent 3 16 2 2 2 3 2" xfId="41194"/>
    <cellStyle name="Percent 3 16 2 2 2 4" xfId="28878"/>
    <cellStyle name="Percent 3 16 2 2 3" xfId="12298"/>
    <cellStyle name="Percent 3 16 2 2 3 2" xfId="31976"/>
    <cellStyle name="Percent 3 16 2 2 4" xfId="18450"/>
    <cellStyle name="Percent 3 16 2 2 4 2" xfId="38128"/>
    <cellStyle name="Percent 3 16 2 2 5" xfId="25812"/>
    <cellStyle name="Percent 3 16 2 3" xfId="7636"/>
    <cellStyle name="Percent 3 16 2 3 2" xfId="13830"/>
    <cellStyle name="Percent 3 16 2 3 2 2" xfId="33508"/>
    <cellStyle name="Percent 3 16 2 3 3" xfId="19982"/>
    <cellStyle name="Percent 3 16 2 3 3 2" xfId="39660"/>
    <cellStyle name="Percent 3 16 2 3 4" xfId="27344"/>
    <cellStyle name="Percent 3 16 2 4" xfId="10764"/>
    <cellStyle name="Percent 3 16 2 4 2" xfId="30442"/>
    <cellStyle name="Percent 3 16 2 5" xfId="16916"/>
    <cellStyle name="Percent 3 16 2 5 2" xfId="36594"/>
    <cellStyle name="Percent 3 16 2 6" xfId="24278"/>
    <cellStyle name="Percent 3 16 3" xfId="5310"/>
    <cellStyle name="Percent 3 16 3 2" xfId="8402"/>
    <cellStyle name="Percent 3 16 3 2 2" xfId="14595"/>
    <cellStyle name="Percent 3 16 3 2 2 2" xfId="34273"/>
    <cellStyle name="Percent 3 16 3 2 3" xfId="20747"/>
    <cellStyle name="Percent 3 16 3 2 3 2" xfId="40425"/>
    <cellStyle name="Percent 3 16 3 2 4" xfId="28109"/>
    <cellStyle name="Percent 3 16 3 3" xfId="11529"/>
    <cellStyle name="Percent 3 16 3 3 2" xfId="31207"/>
    <cellStyle name="Percent 3 16 3 4" xfId="17681"/>
    <cellStyle name="Percent 3 16 3 4 2" xfId="37359"/>
    <cellStyle name="Percent 3 16 3 5" xfId="25043"/>
    <cellStyle name="Percent 3 16 4" xfId="6867"/>
    <cellStyle name="Percent 3 16 4 2" xfId="13061"/>
    <cellStyle name="Percent 3 16 4 2 2" xfId="32739"/>
    <cellStyle name="Percent 3 16 4 3" xfId="19213"/>
    <cellStyle name="Percent 3 16 4 3 2" xfId="38891"/>
    <cellStyle name="Percent 3 16 4 4" xfId="26575"/>
    <cellStyle name="Percent 3 16 5" xfId="9995"/>
    <cellStyle name="Percent 3 16 5 2" xfId="29673"/>
    <cellStyle name="Percent 3 16 6" xfId="16147"/>
    <cellStyle name="Percent 3 16 6 2" xfId="35825"/>
    <cellStyle name="Percent 3 16 7" xfId="23492"/>
    <cellStyle name="Percent 3 16 8" xfId="21988"/>
    <cellStyle name="Percent 3 17" xfId="3420"/>
    <cellStyle name="Percent 3 17 2" xfId="4461"/>
    <cellStyle name="Percent 3 17 2 2" xfId="6086"/>
    <cellStyle name="Percent 3 17 2 2 2" xfId="9172"/>
    <cellStyle name="Percent 3 17 2 2 2 2" xfId="15365"/>
    <cellStyle name="Percent 3 17 2 2 2 2 2" xfId="35043"/>
    <cellStyle name="Percent 3 17 2 2 2 3" xfId="21517"/>
    <cellStyle name="Percent 3 17 2 2 2 3 2" xfId="41195"/>
    <cellStyle name="Percent 3 17 2 2 2 4" xfId="28879"/>
    <cellStyle name="Percent 3 17 2 2 3" xfId="12299"/>
    <cellStyle name="Percent 3 17 2 2 3 2" xfId="31977"/>
    <cellStyle name="Percent 3 17 2 2 4" xfId="18451"/>
    <cellStyle name="Percent 3 17 2 2 4 2" xfId="38129"/>
    <cellStyle name="Percent 3 17 2 2 5" xfId="25813"/>
    <cellStyle name="Percent 3 17 2 3" xfId="7637"/>
    <cellStyle name="Percent 3 17 2 3 2" xfId="13831"/>
    <cellStyle name="Percent 3 17 2 3 2 2" xfId="33509"/>
    <cellStyle name="Percent 3 17 2 3 3" xfId="19983"/>
    <cellStyle name="Percent 3 17 2 3 3 2" xfId="39661"/>
    <cellStyle name="Percent 3 17 2 3 4" xfId="27345"/>
    <cellStyle name="Percent 3 17 2 4" xfId="10765"/>
    <cellStyle name="Percent 3 17 2 4 2" xfId="30443"/>
    <cellStyle name="Percent 3 17 2 5" xfId="16917"/>
    <cellStyle name="Percent 3 17 2 5 2" xfId="36595"/>
    <cellStyle name="Percent 3 17 2 6" xfId="24279"/>
    <cellStyle name="Percent 3 17 3" xfId="5311"/>
    <cellStyle name="Percent 3 17 3 2" xfId="8403"/>
    <cellStyle name="Percent 3 17 3 2 2" xfId="14596"/>
    <cellStyle name="Percent 3 17 3 2 2 2" xfId="34274"/>
    <cellStyle name="Percent 3 17 3 2 3" xfId="20748"/>
    <cellStyle name="Percent 3 17 3 2 3 2" xfId="40426"/>
    <cellStyle name="Percent 3 17 3 2 4" xfId="28110"/>
    <cellStyle name="Percent 3 17 3 3" xfId="11530"/>
    <cellStyle name="Percent 3 17 3 3 2" xfId="31208"/>
    <cellStyle name="Percent 3 17 3 4" xfId="17682"/>
    <cellStyle name="Percent 3 17 3 4 2" xfId="37360"/>
    <cellStyle name="Percent 3 17 3 5" xfId="25044"/>
    <cellStyle name="Percent 3 17 4" xfId="6868"/>
    <cellStyle name="Percent 3 17 4 2" xfId="13062"/>
    <cellStyle name="Percent 3 17 4 2 2" xfId="32740"/>
    <cellStyle name="Percent 3 17 4 3" xfId="19214"/>
    <cellStyle name="Percent 3 17 4 3 2" xfId="38892"/>
    <cellStyle name="Percent 3 17 4 4" xfId="26576"/>
    <cellStyle name="Percent 3 17 5" xfId="9996"/>
    <cellStyle name="Percent 3 17 5 2" xfId="29674"/>
    <cellStyle name="Percent 3 17 6" xfId="16148"/>
    <cellStyle name="Percent 3 17 6 2" xfId="35826"/>
    <cellStyle name="Percent 3 17 7" xfId="23493"/>
    <cellStyle name="Percent 3 17 8" xfId="22000"/>
    <cellStyle name="Percent 3 18" xfId="3421"/>
    <cellStyle name="Percent 3 18 2" xfId="4462"/>
    <cellStyle name="Percent 3 18 2 2" xfId="6087"/>
    <cellStyle name="Percent 3 18 2 2 2" xfId="9173"/>
    <cellStyle name="Percent 3 18 2 2 2 2" xfId="15366"/>
    <cellStyle name="Percent 3 18 2 2 2 2 2" xfId="35044"/>
    <cellStyle name="Percent 3 18 2 2 2 3" xfId="21518"/>
    <cellStyle name="Percent 3 18 2 2 2 3 2" xfId="41196"/>
    <cellStyle name="Percent 3 18 2 2 2 4" xfId="28880"/>
    <cellStyle name="Percent 3 18 2 2 3" xfId="12300"/>
    <cellStyle name="Percent 3 18 2 2 3 2" xfId="31978"/>
    <cellStyle name="Percent 3 18 2 2 4" xfId="18452"/>
    <cellStyle name="Percent 3 18 2 2 4 2" xfId="38130"/>
    <cellStyle name="Percent 3 18 2 2 5" xfId="25814"/>
    <cellStyle name="Percent 3 18 2 3" xfId="7638"/>
    <cellStyle name="Percent 3 18 2 3 2" xfId="13832"/>
    <cellStyle name="Percent 3 18 2 3 2 2" xfId="33510"/>
    <cellStyle name="Percent 3 18 2 3 3" xfId="19984"/>
    <cellStyle name="Percent 3 18 2 3 3 2" xfId="39662"/>
    <cellStyle name="Percent 3 18 2 3 4" xfId="27346"/>
    <cellStyle name="Percent 3 18 2 4" xfId="10766"/>
    <cellStyle name="Percent 3 18 2 4 2" xfId="30444"/>
    <cellStyle name="Percent 3 18 2 5" xfId="16918"/>
    <cellStyle name="Percent 3 18 2 5 2" xfId="36596"/>
    <cellStyle name="Percent 3 18 2 6" xfId="24280"/>
    <cellStyle name="Percent 3 18 3" xfId="5312"/>
    <cellStyle name="Percent 3 18 3 2" xfId="8404"/>
    <cellStyle name="Percent 3 18 3 2 2" xfId="14597"/>
    <cellStyle name="Percent 3 18 3 2 2 2" xfId="34275"/>
    <cellStyle name="Percent 3 18 3 2 3" xfId="20749"/>
    <cellStyle name="Percent 3 18 3 2 3 2" xfId="40427"/>
    <cellStyle name="Percent 3 18 3 2 4" xfId="28111"/>
    <cellStyle name="Percent 3 18 3 3" xfId="11531"/>
    <cellStyle name="Percent 3 18 3 3 2" xfId="31209"/>
    <cellStyle name="Percent 3 18 3 4" xfId="17683"/>
    <cellStyle name="Percent 3 18 3 4 2" xfId="37361"/>
    <cellStyle name="Percent 3 18 3 5" xfId="25045"/>
    <cellStyle name="Percent 3 18 4" xfId="6869"/>
    <cellStyle name="Percent 3 18 4 2" xfId="13063"/>
    <cellStyle name="Percent 3 18 4 2 2" xfId="32741"/>
    <cellStyle name="Percent 3 18 4 3" xfId="19215"/>
    <cellStyle name="Percent 3 18 4 3 2" xfId="38893"/>
    <cellStyle name="Percent 3 18 4 4" xfId="26577"/>
    <cellStyle name="Percent 3 18 5" xfId="9997"/>
    <cellStyle name="Percent 3 18 5 2" xfId="29675"/>
    <cellStyle name="Percent 3 18 6" xfId="16149"/>
    <cellStyle name="Percent 3 18 6 2" xfId="35827"/>
    <cellStyle name="Percent 3 18 7" xfId="23494"/>
    <cellStyle name="Percent 3 18 8" xfId="22029"/>
    <cellStyle name="Percent 3 19" xfId="3422"/>
    <cellStyle name="Percent 3 19 2" xfId="4463"/>
    <cellStyle name="Percent 3 19 2 2" xfId="6088"/>
    <cellStyle name="Percent 3 19 2 2 2" xfId="9174"/>
    <cellStyle name="Percent 3 19 2 2 2 2" xfId="15367"/>
    <cellStyle name="Percent 3 19 2 2 2 2 2" xfId="35045"/>
    <cellStyle name="Percent 3 19 2 2 2 3" xfId="21519"/>
    <cellStyle name="Percent 3 19 2 2 2 3 2" xfId="41197"/>
    <cellStyle name="Percent 3 19 2 2 2 4" xfId="28881"/>
    <cellStyle name="Percent 3 19 2 2 3" xfId="12301"/>
    <cellStyle name="Percent 3 19 2 2 3 2" xfId="31979"/>
    <cellStyle name="Percent 3 19 2 2 4" xfId="18453"/>
    <cellStyle name="Percent 3 19 2 2 4 2" xfId="38131"/>
    <cellStyle name="Percent 3 19 2 2 5" xfId="25815"/>
    <cellStyle name="Percent 3 19 2 3" xfId="7639"/>
    <cellStyle name="Percent 3 19 2 3 2" xfId="13833"/>
    <cellStyle name="Percent 3 19 2 3 2 2" xfId="33511"/>
    <cellStyle name="Percent 3 19 2 3 3" xfId="19985"/>
    <cellStyle name="Percent 3 19 2 3 3 2" xfId="39663"/>
    <cellStyle name="Percent 3 19 2 3 4" xfId="27347"/>
    <cellStyle name="Percent 3 19 2 4" xfId="10767"/>
    <cellStyle name="Percent 3 19 2 4 2" xfId="30445"/>
    <cellStyle name="Percent 3 19 2 5" xfId="16919"/>
    <cellStyle name="Percent 3 19 2 5 2" xfId="36597"/>
    <cellStyle name="Percent 3 19 2 6" xfId="24281"/>
    <cellStyle name="Percent 3 19 3" xfId="5313"/>
    <cellStyle name="Percent 3 19 3 2" xfId="8405"/>
    <cellStyle name="Percent 3 19 3 2 2" xfId="14598"/>
    <cellStyle name="Percent 3 19 3 2 2 2" xfId="34276"/>
    <cellStyle name="Percent 3 19 3 2 3" xfId="20750"/>
    <cellStyle name="Percent 3 19 3 2 3 2" xfId="40428"/>
    <cellStyle name="Percent 3 19 3 2 4" xfId="28112"/>
    <cellStyle name="Percent 3 19 3 3" xfId="11532"/>
    <cellStyle name="Percent 3 19 3 3 2" xfId="31210"/>
    <cellStyle name="Percent 3 19 3 4" xfId="17684"/>
    <cellStyle name="Percent 3 19 3 4 2" xfId="37362"/>
    <cellStyle name="Percent 3 19 3 5" xfId="25046"/>
    <cellStyle name="Percent 3 19 4" xfId="6870"/>
    <cellStyle name="Percent 3 19 4 2" xfId="13064"/>
    <cellStyle name="Percent 3 19 4 2 2" xfId="32742"/>
    <cellStyle name="Percent 3 19 4 3" xfId="19216"/>
    <cellStyle name="Percent 3 19 4 3 2" xfId="38894"/>
    <cellStyle name="Percent 3 19 4 4" xfId="26578"/>
    <cellStyle name="Percent 3 19 5" xfId="9998"/>
    <cellStyle name="Percent 3 19 5 2" xfId="29676"/>
    <cellStyle name="Percent 3 19 6" xfId="16150"/>
    <cellStyle name="Percent 3 19 6 2" xfId="35828"/>
    <cellStyle name="Percent 3 19 7" xfId="23495"/>
    <cellStyle name="Percent 3 19 8" xfId="22045"/>
    <cellStyle name="Percent 3 2" xfId="66"/>
    <cellStyle name="Percent 3 2 10" xfId="3424"/>
    <cellStyle name="Percent 3 2 10 2" xfId="4465"/>
    <cellStyle name="Percent 3 2 10 2 2" xfId="6090"/>
    <cellStyle name="Percent 3 2 10 2 2 2" xfId="9176"/>
    <cellStyle name="Percent 3 2 10 2 2 2 2" xfId="15369"/>
    <cellStyle name="Percent 3 2 10 2 2 2 2 2" xfId="35047"/>
    <cellStyle name="Percent 3 2 10 2 2 2 3" xfId="21521"/>
    <cellStyle name="Percent 3 2 10 2 2 2 3 2" xfId="41199"/>
    <cellStyle name="Percent 3 2 10 2 2 2 4" xfId="28883"/>
    <cellStyle name="Percent 3 2 10 2 2 3" xfId="12303"/>
    <cellStyle name="Percent 3 2 10 2 2 3 2" xfId="31981"/>
    <cellStyle name="Percent 3 2 10 2 2 4" xfId="18455"/>
    <cellStyle name="Percent 3 2 10 2 2 4 2" xfId="38133"/>
    <cellStyle name="Percent 3 2 10 2 2 5" xfId="25817"/>
    <cellStyle name="Percent 3 2 10 2 3" xfId="7641"/>
    <cellStyle name="Percent 3 2 10 2 3 2" xfId="13835"/>
    <cellStyle name="Percent 3 2 10 2 3 2 2" xfId="33513"/>
    <cellStyle name="Percent 3 2 10 2 3 3" xfId="19987"/>
    <cellStyle name="Percent 3 2 10 2 3 3 2" xfId="39665"/>
    <cellStyle name="Percent 3 2 10 2 3 4" xfId="27349"/>
    <cellStyle name="Percent 3 2 10 2 4" xfId="10769"/>
    <cellStyle name="Percent 3 2 10 2 4 2" xfId="30447"/>
    <cellStyle name="Percent 3 2 10 2 5" xfId="16921"/>
    <cellStyle name="Percent 3 2 10 2 5 2" xfId="36599"/>
    <cellStyle name="Percent 3 2 10 2 6" xfId="24283"/>
    <cellStyle name="Percent 3 2 10 3" xfId="5315"/>
    <cellStyle name="Percent 3 2 10 3 2" xfId="8407"/>
    <cellStyle name="Percent 3 2 10 3 2 2" xfId="14600"/>
    <cellStyle name="Percent 3 2 10 3 2 2 2" xfId="34278"/>
    <cellStyle name="Percent 3 2 10 3 2 3" xfId="20752"/>
    <cellStyle name="Percent 3 2 10 3 2 3 2" xfId="40430"/>
    <cellStyle name="Percent 3 2 10 3 2 4" xfId="28114"/>
    <cellStyle name="Percent 3 2 10 3 3" xfId="11534"/>
    <cellStyle name="Percent 3 2 10 3 3 2" xfId="31212"/>
    <cellStyle name="Percent 3 2 10 3 4" xfId="17686"/>
    <cellStyle name="Percent 3 2 10 3 4 2" xfId="37364"/>
    <cellStyle name="Percent 3 2 10 3 5" xfId="25048"/>
    <cellStyle name="Percent 3 2 10 4" xfId="6872"/>
    <cellStyle name="Percent 3 2 10 4 2" xfId="13066"/>
    <cellStyle name="Percent 3 2 10 4 2 2" xfId="32744"/>
    <cellStyle name="Percent 3 2 10 4 3" xfId="19218"/>
    <cellStyle name="Percent 3 2 10 4 3 2" xfId="38896"/>
    <cellStyle name="Percent 3 2 10 4 4" xfId="26580"/>
    <cellStyle name="Percent 3 2 10 5" xfId="10000"/>
    <cellStyle name="Percent 3 2 10 5 2" xfId="29678"/>
    <cellStyle name="Percent 3 2 10 6" xfId="16152"/>
    <cellStyle name="Percent 3 2 10 6 2" xfId="35830"/>
    <cellStyle name="Percent 3 2 10 7" xfId="23497"/>
    <cellStyle name="Percent 3 2 11" xfId="3425"/>
    <cellStyle name="Percent 3 2 11 2" xfId="4466"/>
    <cellStyle name="Percent 3 2 11 2 2" xfId="6091"/>
    <cellStyle name="Percent 3 2 11 2 2 2" xfId="9177"/>
    <cellStyle name="Percent 3 2 11 2 2 2 2" xfId="15370"/>
    <cellStyle name="Percent 3 2 11 2 2 2 2 2" xfId="35048"/>
    <cellStyle name="Percent 3 2 11 2 2 2 3" xfId="21522"/>
    <cellStyle name="Percent 3 2 11 2 2 2 3 2" xfId="41200"/>
    <cellStyle name="Percent 3 2 11 2 2 2 4" xfId="28884"/>
    <cellStyle name="Percent 3 2 11 2 2 3" xfId="12304"/>
    <cellStyle name="Percent 3 2 11 2 2 3 2" xfId="31982"/>
    <cellStyle name="Percent 3 2 11 2 2 4" xfId="18456"/>
    <cellStyle name="Percent 3 2 11 2 2 4 2" xfId="38134"/>
    <cellStyle name="Percent 3 2 11 2 2 5" xfId="25818"/>
    <cellStyle name="Percent 3 2 11 2 3" xfId="7642"/>
    <cellStyle name="Percent 3 2 11 2 3 2" xfId="13836"/>
    <cellStyle name="Percent 3 2 11 2 3 2 2" xfId="33514"/>
    <cellStyle name="Percent 3 2 11 2 3 3" xfId="19988"/>
    <cellStyle name="Percent 3 2 11 2 3 3 2" xfId="39666"/>
    <cellStyle name="Percent 3 2 11 2 3 4" xfId="27350"/>
    <cellStyle name="Percent 3 2 11 2 4" xfId="10770"/>
    <cellStyle name="Percent 3 2 11 2 4 2" xfId="30448"/>
    <cellStyle name="Percent 3 2 11 2 5" xfId="16922"/>
    <cellStyle name="Percent 3 2 11 2 5 2" xfId="36600"/>
    <cellStyle name="Percent 3 2 11 2 6" xfId="24284"/>
    <cellStyle name="Percent 3 2 11 3" xfId="5316"/>
    <cellStyle name="Percent 3 2 11 3 2" xfId="8408"/>
    <cellStyle name="Percent 3 2 11 3 2 2" xfId="14601"/>
    <cellStyle name="Percent 3 2 11 3 2 2 2" xfId="34279"/>
    <cellStyle name="Percent 3 2 11 3 2 3" xfId="20753"/>
    <cellStyle name="Percent 3 2 11 3 2 3 2" xfId="40431"/>
    <cellStyle name="Percent 3 2 11 3 2 4" xfId="28115"/>
    <cellStyle name="Percent 3 2 11 3 3" xfId="11535"/>
    <cellStyle name="Percent 3 2 11 3 3 2" xfId="31213"/>
    <cellStyle name="Percent 3 2 11 3 4" xfId="17687"/>
    <cellStyle name="Percent 3 2 11 3 4 2" xfId="37365"/>
    <cellStyle name="Percent 3 2 11 3 5" xfId="25049"/>
    <cellStyle name="Percent 3 2 11 4" xfId="6873"/>
    <cellStyle name="Percent 3 2 11 4 2" xfId="13067"/>
    <cellStyle name="Percent 3 2 11 4 2 2" xfId="32745"/>
    <cellStyle name="Percent 3 2 11 4 3" xfId="19219"/>
    <cellStyle name="Percent 3 2 11 4 3 2" xfId="38897"/>
    <cellStyle name="Percent 3 2 11 4 4" xfId="26581"/>
    <cellStyle name="Percent 3 2 11 5" xfId="10001"/>
    <cellStyle name="Percent 3 2 11 5 2" xfId="29679"/>
    <cellStyle name="Percent 3 2 11 6" xfId="16153"/>
    <cellStyle name="Percent 3 2 11 6 2" xfId="35831"/>
    <cellStyle name="Percent 3 2 11 7" xfId="23498"/>
    <cellStyle name="Percent 3 2 12" xfId="3426"/>
    <cellStyle name="Percent 3 2 12 2" xfId="4467"/>
    <cellStyle name="Percent 3 2 12 2 2" xfId="6092"/>
    <cellStyle name="Percent 3 2 12 2 2 2" xfId="9178"/>
    <cellStyle name="Percent 3 2 12 2 2 2 2" xfId="15371"/>
    <cellStyle name="Percent 3 2 12 2 2 2 2 2" xfId="35049"/>
    <cellStyle name="Percent 3 2 12 2 2 2 3" xfId="21523"/>
    <cellStyle name="Percent 3 2 12 2 2 2 3 2" xfId="41201"/>
    <cellStyle name="Percent 3 2 12 2 2 2 4" xfId="28885"/>
    <cellStyle name="Percent 3 2 12 2 2 3" xfId="12305"/>
    <cellStyle name="Percent 3 2 12 2 2 3 2" xfId="31983"/>
    <cellStyle name="Percent 3 2 12 2 2 4" xfId="18457"/>
    <cellStyle name="Percent 3 2 12 2 2 4 2" xfId="38135"/>
    <cellStyle name="Percent 3 2 12 2 2 5" xfId="25819"/>
    <cellStyle name="Percent 3 2 12 2 3" xfId="7643"/>
    <cellStyle name="Percent 3 2 12 2 3 2" xfId="13837"/>
    <cellStyle name="Percent 3 2 12 2 3 2 2" xfId="33515"/>
    <cellStyle name="Percent 3 2 12 2 3 3" xfId="19989"/>
    <cellStyle name="Percent 3 2 12 2 3 3 2" xfId="39667"/>
    <cellStyle name="Percent 3 2 12 2 3 4" xfId="27351"/>
    <cellStyle name="Percent 3 2 12 2 4" xfId="10771"/>
    <cellStyle name="Percent 3 2 12 2 4 2" xfId="30449"/>
    <cellStyle name="Percent 3 2 12 2 5" xfId="16923"/>
    <cellStyle name="Percent 3 2 12 2 5 2" xfId="36601"/>
    <cellStyle name="Percent 3 2 12 2 6" xfId="24285"/>
    <cellStyle name="Percent 3 2 12 3" xfId="5317"/>
    <cellStyle name="Percent 3 2 12 3 2" xfId="8409"/>
    <cellStyle name="Percent 3 2 12 3 2 2" xfId="14602"/>
    <cellStyle name="Percent 3 2 12 3 2 2 2" xfId="34280"/>
    <cellStyle name="Percent 3 2 12 3 2 3" xfId="20754"/>
    <cellStyle name="Percent 3 2 12 3 2 3 2" xfId="40432"/>
    <cellStyle name="Percent 3 2 12 3 2 4" xfId="28116"/>
    <cellStyle name="Percent 3 2 12 3 3" xfId="11536"/>
    <cellStyle name="Percent 3 2 12 3 3 2" xfId="31214"/>
    <cellStyle name="Percent 3 2 12 3 4" xfId="17688"/>
    <cellStyle name="Percent 3 2 12 3 4 2" xfId="37366"/>
    <cellStyle name="Percent 3 2 12 3 5" xfId="25050"/>
    <cellStyle name="Percent 3 2 12 4" xfId="6874"/>
    <cellStyle name="Percent 3 2 12 4 2" xfId="13068"/>
    <cellStyle name="Percent 3 2 12 4 2 2" xfId="32746"/>
    <cellStyle name="Percent 3 2 12 4 3" xfId="19220"/>
    <cellStyle name="Percent 3 2 12 4 3 2" xfId="38898"/>
    <cellStyle name="Percent 3 2 12 4 4" xfId="26582"/>
    <cellStyle name="Percent 3 2 12 5" xfId="10002"/>
    <cellStyle name="Percent 3 2 12 5 2" xfId="29680"/>
    <cellStyle name="Percent 3 2 12 6" xfId="16154"/>
    <cellStyle name="Percent 3 2 12 6 2" xfId="35832"/>
    <cellStyle name="Percent 3 2 12 7" xfId="23499"/>
    <cellStyle name="Percent 3 2 13" xfId="3427"/>
    <cellStyle name="Percent 3 2 13 2" xfId="4468"/>
    <cellStyle name="Percent 3 2 13 2 2" xfId="6093"/>
    <cellStyle name="Percent 3 2 13 2 2 2" xfId="9179"/>
    <cellStyle name="Percent 3 2 13 2 2 2 2" xfId="15372"/>
    <cellStyle name="Percent 3 2 13 2 2 2 2 2" xfId="35050"/>
    <cellStyle name="Percent 3 2 13 2 2 2 3" xfId="21524"/>
    <cellStyle name="Percent 3 2 13 2 2 2 3 2" xfId="41202"/>
    <cellStyle name="Percent 3 2 13 2 2 2 4" xfId="28886"/>
    <cellStyle name="Percent 3 2 13 2 2 3" xfId="12306"/>
    <cellStyle name="Percent 3 2 13 2 2 3 2" xfId="31984"/>
    <cellStyle name="Percent 3 2 13 2 2 4" xfId="18458"/>
    <cellStyle name="Percent 3 2 13 2 2 4 2" xfId="38136"/>
    <cellStyle name="Percent 3 2 13 2 2 5" xfId="25820"/>
    <cellStyle name="Percent 3 2 13 2 3" xfId="7644"/>
    <cellStyle name="Percent 3 2 13 2 3 2" xfId="13838"/>
    <cellStyle name="Percent 3 2 13 2 3 2 2" xfId="33516"/>
    <cellStyle name="Percent 3 2 13 2 3 3" xfId="19990"/>
    <cellStyle name="Percent 3 2 13 2 3 3 2" xfId="39668"/>
    <cellStyle name="Percent 3 2 13 2 3 4" xfId="27352"/>
    <cellStyle name="Percent 3 2 13 2 4" xfId="10772"/>
    <cellStyle name="Percent 3 2 13 2 4 2" xfId="30450"/>
    <cellStyle name="Percent 3 2 13 2 5" xfId="16924"/>
    <cellStyle name="Percent 3 2 13 2 5 2" xfId="36602"/>
    <cellStyle name="Percent 3 2 13 2 6" xfId="24286"/>
    <cellStyle name="Percent 3 2 13 3" xfId="5318"/>
    <cellStyle name="Percent 3 2 13 3 2" xfId="8410"/>
    <cellStyle name="Percent 3 2 13 3 2 2" xfId="14603"/>
    <cellStyle name="Percent 3 2 13 3 2 2 2" xfId="34281"/>
    <cellStyle name="Percent 3 2 13 3 2 3" xfId="20755"/>
    <cellStyle name="Percent 3 2 13 3 2 3 2" xfId="40433"/>
    <cellStyle name="Percent 3 2 13 3 2 4" xfId="28117"/>
    <cellStyle name="Percent 3 2 13 3 3" xfId="11537"/>
    <cellStyle name="Percent 3 2 13 3 3 2" xfId="31215"/>
    <cellStyle name="Percent 3 2 13 3 4" xfId="17689"/>
    <cellStyle name="Percent 3 2 13 3 4 2" xfId="37367"/>
    <cellStyle name="Percent 3 2 13 3 5" xfId="25051"/>
    <cellStyle name="Percent 3 2 13 4" xfId="6875"/>
    <cellStyle name="Percent 3 2 13 4 2" xfId="13069"/>
    <cellStyle name="Percent 3 2 13 4 2 2" xfId="32747"/>
    <cellStyle name="Percent 3 2 13 4 3" xfId="19221"/>
    <cellStyle name="Percent 3 2 13 4 3 2" xfId="38899"/>
    <cellStyle name="Percent 3 2 13 4 4" xfId="26583"/>
    <cellStyle name="Percent 3 2 13 5" xfId="10003"/>
    <cellStyle name="Percent 3 2 13 5 2" xfId="29681"/>
    <cellStyle name="Percent 3 2 13 6" xfId="16155"/>
    <cellStyle name="Percent 3 2 13 6 2" xfId="35833"/>
    <cellStyle name="Percent 3 2 13 7" xfId="23500"/>
    <cellStyle name="Percent 3 2 14" xfId="3428"/>
    <cellStyle name="Percent 3 2 14 2" xfId="4469"/>
    <cellStyle name="Percent 3 2 14 2 2" xfId="6094"/>
    <cellStyle name="Percent 3 2 14 2 2 2" xfId="9180"/>
    <cellStyle name="Percent 3 2 14 2 2 2 2" xfId="15373"/>
    <cellStyle name="Percent 3 2 14 2 2 2 2 2" xfId="35051"/>
    <cellStyle name="Percent 3 2 14 2 2 2 3" xfId="21525"/>
    <cellStyle name="Percent 3 2 14 2 2 2 3 2" xfId="41203"/>
    <cellStyle name="Percent 3 2 14 2 2 2 4" xfId="28887"/>
    <cellStyle name="Percent 3 2 14 2 2 3" xfId="12307"/>
    <cellStyle name="Percent 3 2 14 2 2 3 2" xfId="31985"/>
    <cellStyle name="Percent 3 2 14 2 2 4" xfId="18459"/>
    <cellStyle name="Percent 3 2 14 2 2 4 2" xfId="38137"/>
    <cellStyle name="Percent 3 2 14 2 2 5" xfId="25821"/>
    <cellStyle name="Percent 3 2 14 2 3" xfId="7645"/>
    <cellStyle name="Percent 3 2 14 2 3 2" xfId="13839"/>
    <cellStyle name="Percent 3 2 14 2 3 2 2" xfId="33517"/>
    <cellStyle name="Percent 3 2 14 2 3 3" xfId="19991"/>
    <cellStyle name="Percent 3 2 14 2 3 3 2" xfId="39669"/>
    <cellStyle name="Percent 3 2 14 2 3 4" xfId="27353"/>
    <cellStyle name="Percent 3 2 14 2 4" xfId="10773"/>
    <cellStyle name="Percent 3 2 14 2 4 2" xfId="30451"/>
    <cellStyle name="Percent 3 2 14 2 5" xfId="16925"/>
    <cellStyle name="Percent 3 2 14 2 5 2" xfId="36603"/>
    <cellStyle name="Percent 3 2 14 2 6" xfId="24287"/>
    <cellStyle name="Percent 3 2 14 3" xfId="5319"/>
    <cellStyle name="Percent 3 2 14 3 2" xfId="8411"/>
    <cellStyle name="Percent 3 2 14 3 2 2" xfId="14604"/>
    <cellStyle name="Percent 3 2 14 3 2 2 2" xfId="34282"/>
    <cellStyle name="Percent 3 2 14 3 2 3" xfId="20756"/>
    <cellStyle name="Percent 3 2 14 3 2 3 2" xfId="40434"/>
    <cellStyle name="Percent 3 2 14 3 2 4" xfId="28118"/>
    <cellStyle name="Percent 3 2 14 3 3" xfId="11538"/>
    <cellStyle name="Percent 3 2 14 3 3 2" xfId="31216"/>
    <cellStyle name="Percent 3 2 14 3 4" xfId="17690"/>
    <cellStyle name="Percent 3 2 14 3 4 2" xfId="37368"/>
    <cellStyle name="Percent 3 2 14 3 5" xfId="25052"/>
    <cellStyle name="Percent 3 2 14 4" xfId="6876"/>
    <cellStyle name="Percent 3 2 14 4 2" xfId="13070"/>
    <cellStyle name="Percent 3 2 14 4 2 2" xfId="32748"/>
    <cellStyle name="Percent 3 2 14 4 3" xfId="19222"/>
    <cellStyle name="Percent 3 2 14 4 3 2" xfId="38900"/>
    <cellStyle name="Percent 3 2 14 4 4" xfId="26584"/>
    <cellStyle name="Percent 3 2 14 5" xfId="10004"/>
    <cellStyle name="Percent 3 2 14 5 2" xfId="29682"/>
    <cellStyle name="Percent 3 2 14 6" xfId="16156"/>
    <cellStyle name="Percent 3 2 14 6 2" xfId="35834"/>
    <cellStyle name="Percent 3 2 14 7" xfId="23501"/>
    <cellStyle name="Percent 3 2 15" xfId="3429"/>
    <cellStyle name="Percent 3 2 15 2" xfId="4470"/>
    <cellStyle name="Percent 3 2 15 2 2" xfId="6095"/>
    <cellStyle name="Percent 3 2 15 2 2 2" xfId="9181"/>
    <cellStyle name="Percent 3 2 15 2 2 2 2" xfId="15374"/>
    <cellStyle name="Percent 3 2 15 2 2 2 2 2" xfId="35052"/>
    <cellStyle name="Percent 3 2 15 2 2 2 3" xfId="21526"/>
    <cellStyle name="Percent 3 2 15 2 2 2 3 2" xfId="41204"/>
    <cellStyle name="Percent 3 2 15 2 2 2 4" xfId="28888"/>
    <cellStyle name="Percent 3 2 15 2 2 3" xfId="12308"/>
    <cellStyle name="Percent 3 2 15 2 2 3 2" xfId="31986"/>
    <cellStyle name="Percent 3 2 15 2 2 4" xfId="18460"/>
    <cellStyle name="Percent 3 2 15 2 2 4 2" xfId="38138"/>
    <cellStyle name="Percent 3 2 15 2 2 5" xfId="25822"/>
    <cellStyle name="Percent 3 2 15 2 3" xfId="7646"/>
    <cellStyle name="Percent 3 2 15 2 3 2" xfId="13840"/>
    <cellStyle name="Percent 3 2 15 2 3 2 2" xfId="33518"/>
    <cellStyle name="Percent 3 2 15 2 3 3" xfId="19992"/>
    <cellStyle name="Percent 3 2 15 2 3 3 2" xfId="39670"/>
    <cellStyle name="Percent 3 2 15 2 3 4" xfId="27354"/>
    <cellStyle name="Percent 3 2 15 2 4" xfId="10774"/>
    <cellStyle name="Percent 3 2 15 2 4 2" xfId="30452"/>
    <cellStyle name="Percent 3 2 15 2 5" xfId="16926"/>
    <cellStyle name="Percent 3 2 15 2 5 2" xfId="36604"/>
    <cellStyle name="Percent 3 2 15 2 6" xfId="24288"/>
    <cellStyle name="Percent 3 2 15 3" xfId="5320"/>
    <cellStyle name="Percent 3 2 15 3 2" xfId="8412"/>
    <cellStyle name="Percent 3 2 15 3 2 2" xfId="14605"/>
    <cellStyle name="Percent 3 2 15 3 2 2 2" xfId="34283"/>
    <cellStyle name="Percent 3 2 15 3 2 3" xfId="20757"/>
    <cellStyle name="Percent 3 2 15 3 2 3 2" xfId="40435"/>
    <cellStyle name="Percent 3 2 15 3 2 4" xfId="28119"/>
    <cellStyle name="Percent 3 2 15 3 3" xfId="11539"/>
    <cellStyle name="Percent 3 2 15 3 3 2" xfId="31217"/>
    <cellStyle name="Percent 3 2 15 3 4" xfId="17691"/>
    <cellStyle name="Percent 3 2 15 3 4 2" xfId="37369"/>
    <cellStyle name="Percent 3 2 15 3 5" xfId="25053"/>
    <cellStyle name="Percent 3 2 15 4" xfId="6877"/>
    <cellStyle name="Percent 3 2 15 4 2" xfId="13071"/>
    <cellStyle name="Percent 3 2 15 4 2 2" xfId="32749"/>
    <cellStyle name="Percent 3 2 15 4 3" xfId="19223"/>
    <cellStyle name="Percent 3 2 15 4 3 2" xfId="38901"/>
    <cellStyle name="Percent 3 2 15 4 4" xfId="26585"/>
    <cellStyle name="Percent 3 2 15 5" xfId="10005"/>
    <cellStyle name="Percent 3 2 15 5 2" xfId="29683"/>
    <cellStyle name="Percent 3 2 15 6" xfId="16157"/>
    <cellStyle name="Percent 3 2 15 6 2" xfId="35835"/>
    <cellStyle name="Percent 3 2 15 7" xfId="23502"/>
    <cellStyle name="Percent 3 2 16" xfId="3430"/>
    <cellStyle name="Percent 3 2 16 2" xfId="4471"/>
    <cellStyle name="Percent 3 2 16 2 2" xfId="6096"/>
    <cellStyle name="Percent 3 2 16 2 2 2" xfId="9182"/>
    <cellStyle name="Percent 3 2 16 2 2 2 2" xfId="15375"/>
    <cellStyle name="Percent 3 2 16 2 2 2 2 2" xfId="35053"/>
    <cellStyle name="Percent 3 2 16 2 2 2 3" xfId="21527"/>
    <cellStyle name="Percent 3 2 16 2 2 2 3 2" xfId="41205"/>
    <cellStyle name="Percent 3 2 16 2 2 2 4" xfId="28889"/>
    <cellStyle name="Percent 3 2 16 2 2 3" xfId="12309"/>
    <cellStyle name="Percent 3 2 16 2 2 3 2" xfId="31987"/>
    <cellStyle name="Percent 3 2 16 2 2 4" xfId="18461"/>
    <cellStyle name="Percent 3 2 16 2 2 4 2" xfId="38139"/>
    <cellStyle name="Percent 3 2 16 2 2 5" xfId="25823"/>
    <cellStyle name="Percent 3 2 16 2 3" xfId="7647"/>
    <cellStyle name="Percent 3 2 16 2 3 2" xfId="13841"/>
    <cellStyle name="Percent 3 2 16 2 3 2 2" xfId="33519"/>
    <cellStyle name="Percent 3 2 16 2 3 3" xfId="19993"/>
    <cellStyle name="Percent 3 2 16 2 3 3 2" xfId="39671"/>
    <cellStyle name="Percent 3 2 16 2 3 4" xfId="27355"/>
    <cellStyle name="Percent 3 2 16 2 4" xfId="10775"/>
    <cellStyle name="Percent 3 2 16 2 4 2" xfId="30453"/>
    <cellStyle name="Percent 3 2 16 2 5" xfId="16927"/>
    <cellStyle name="Percent 3 2 16 2 5 2" xfId="36605"/>
    <cellStyle name="Percent 3 2 16 2 6" xfId="24289"/>
    <cellStyle name="Percent 3 2 16 3" xfId="5321"/>
    <cellStyle name="Percent 3 2 16 3 2" xfId="8413"/>
    <cellStyle name="Percent 3 2 16 3 2 2" xfId="14606"/>
    <cellStyle name="Percent 3 2 16 3 2 2 2" xfId="34284"/>
    <cellStyle name="Percent 3 2 16 3 2 3" xfId="20758"/>
    <cellStyle name="Percent 3 2 16 3 2 3 2" xfId="40436"/>
    <cellStyle name="Percent 3 2 16 3 2 4" xfId="28120"/>
    <cellStyle name="Percent 3 2 16 3 3" xfId="11540"/>
    <cellStyle name="Percent 3 2 16 3 3 2" xfId="31218"/>
    <cellStyle name="Percent 3 2 16 3 4" xfId="17692"/>
    <cellStyle name="Percent 3 2 16 3 4 2" xfId="37370"/>
    <cellStyle name="Percent 3 2 16 3 5" xfId="25054"/>
    <cellStyle name="Percent 3 2 16 4" xfId="6878"/>
    <cellStyle name="Percent 3 2 16 4 2" xfId="13072"/>
    <cellStyle name="Percent 3 2 16 4 2 2" xfId="32750"/>
    <cellStyle name="Percent 3 2 16 4 3" xfId="19224"/>
    <cellStyle name="Percent 3 2 16 4 3 2" xfId="38902"/>
    <cellStyle name="Percent 3 2 16 4 4" xfId="26586"/>
    <cellStyle name="Percent 3 2 16 5" xfId="10006"/>
    <cellStyle name="Percent 3 2 16 5 2" xfId="29684"/>
    <cellStyle name="Percent 3 2 16 6" xfId="16158"/>
    <cellStyle name="Percent 3 2 16 6 2" xfId="35836"/>
    <cellStyle name="Percent 3 2 16 7" xfId="23503"/>
    <cellStyle name="Percent 3 2 17" xfId="3431"/>
    <cellStyle name="Percent 3 2 17 2" xfId="4472"/>
    <cellStyle name="Percent 3 2 17 2 2" xfId="6097"/>
    <cellStyle name="Percent 3 2 17 2 2 2" xfId="9183"/>
    <cellStyle name="Percent 3 2 17 2 2 2 2" xfId="15376"/>
    <cellStyle name="Percent 3 2 17 2 2 2 2 2" xfId="35054"/>
    <cellStyle name="Percent 3 2 17 2 2 2 3" xfId="21528"/>
    <cellStyle name="Percent 3 2 17 2 2 2 3 2" xfId="41206"/>
    <cellStyle name="Percent 3 2 17 2 2 2 4" xfId="28890"/>
    <cellStyle name="Percent 3 2 17 2 2 3" xfId="12310"/>
    <cellStyle name="Percent 3 2 17 2 2 3 2" xfId="31988"/>
    <cellStyle name="Percent 3 2 17 2 2 4" xfId="18462"/>
    <cellStyle name="Percent 3 2 17 2 2 4 2" xfId="38140"/>
    <cellStyle name="Percent 3 2 17 2 2 5" xfId="25824"/>
    <cellStyle name="Percent 3 2 17 2 3" xfId="7648"/>
    <cellStyle name="Percent 3 2 17 2 3 2" xfId="13842"/>
    <cellStyle name="Percent 3 2 17 2 3 2 2" xfId="33520"/>
    <cellStyle name="Percent 3 2 17 2 3 3" xfId="19994"/>
    <cellStyle name="Percent 3 2 17 2 3 3 2" xfId="39672"/>
    <cellStyle name="Percent 3 2 17 2 3 4" xfId="27356"/>
    <cellStyle name="Percent 3 2 17 2 4" xfId="10776"/>
    <cellStyle name="Percent 3 2 17 2 4 2" xfId="30454"/>
    <cellStyle name="Percent 3 2 17 2 5" xfId="16928"/>
    <cellStyle name="Percent 3 2 17 2 5 2" xfId="36606"/>
    <cellStyle name="Percent 3 2 17 2 6" xfId="24290"/>
    <cellStyle name="Percent 3 2 17 3" xfId="5322"/>
    <cellStyle name="Percent 3 2 17 3 2" xfId="8414"/>
    <cellStyle name="Percent 3 2 17 3 2 2" xfId="14607"/>
    <cellStyle name="Percent 3 2 17 3 2 2 2" xfId="34285"/>
    <cellStyle name="Percent 3 2 17 3 2 3" xfId="20759"/>
    <cellStyle name="Percent 3 2 17 3 2 3 2" xfId="40437"/>
    <cellStyle name="Percent 3 2 17 3 2 4" xfId="28121"/>
    <cellStyle name="Percent 3 2 17 3 3" xfId="11541"/>
    <cellStyle name="Percent 3 2 17 3 3 2" xfId="31219"/>
    <cellStyle name="Percent 3 2 17 3 4" xfId="17693"/>
    <cellStyle name="Percent 3 2 17 3 4 2" xfId="37371"/>
    <cellStyle name="Percent 3 2 17 3 5" xfId="25055"/>
    <cellStyle name="Percent 3 2 17 4" xfId="6879"/>
    <cellStyle name="Percent 3 2 17 4 2" xfId="13073"/>
    <cellStyle name="Percent 3 2 17 4 2 2" xfId="32751"/>
    <cellStyle name="Percent 3 2 17 4 3" xfId="19225"/>
    <cellStyle name="Percent 3 2 17 4 3 2" xfId="38903"/>
    <cellStyle name="Percent 3 2 17 4 4" xfId="26587"/>
    <cellStyle name="Percent 3 2 17 5" xfId="10007"/>
    <cellStyle name="Percent 3 2 17 5 2" xfId="29685"/>
    <cellStyle name="Percent 3 2 17 6" xfId="16159"/>
    <cellStyle name="Percent 3 2 17 6 2" xfId="35837"/>
    <cellStyle name="Percent 3 2 17 7" xfId="23504"/>
    <cellStyle name="Percent 3 2 18" xfId="3432"/>
    <cellStyle name="Percent 3 2 18 2" xfId="4473"/>
    <cellStyle name="Percent 3 2 18 2 2" xfId="6098"/>
    <cellStyle name="Percent 3 2 18 2 2 2" xfId="9184"/>
    <cellStyle name="Percent 3 2 18 2 2 2 2" xfId="15377"/>
    <cellStyle name="Percent 3 2 18 2 2 2 2 2" xfId="35055"/>
    <cellStyle name="Percent 3 2 18 2 2 2 3" xfId="21529"/>
    <cellStyle name="Percent 3 2 18 2 2 2 3 2" xfId="41207"/>
    <cellStyle name="Percent 3 2 18 2 2 2 4" xfId="28891"/>
    <cellStyle name="Percent 3 2 18 2 2 3" xfId="12311"/>
    <cellStyle name="Percent 3 2 18 2 2 3 2" xfId="31989"/>
    <cellStyle name="Percent 3 2 18 2 2 4" xfId="18463"/>
    <cellStyle name="Percent 3 2 18 2 2 4 2" xfId="38141"/>
    <cellStyle name="Percent 3 2 18 2 2 5" xfId="25825"/>
    <cellStyle name="Percent 3 2 18 2 3" xfId="7649"/>
    <cellStyle name="Percent 3 2 18 2 3 2" xfId="13843"/>
    <cellStyle name="Percent 3 2 18 2 3 2 2" xfId="33521"/>
    <cellStyle name="Percent 3 2 18 2 3 3" xfId="19995"/>
    <cellStyle name="Percent 3 2 18 2 3 3 2" xfId="39673"/>
    <cellStyle name="Percent 3 2 18 2 3 4" xfId="27357"/>
    <cellStyle name="Percent 3 2 18 2 4" xfId="10777"/>
    <cellStyle name="Percent 3 2 18 2 4 2" xfId="30455"/>
    <cellStyle name="Percent 3 2 18 2 5" xfId="16929"/>
    <cellStyle name="Percent 3 2 18 2 5 2" xfId="36607"/>
    <cellStyle name="Percent 3 2 18 2 6" xfId="24291"/>
    <cellStyle name="Percent 3 2 18 3" xfId="5323"/>
    <cellStyle name="Percent 3 2 18 3 2" xfId="8415"/>
    <cellStyle name="Percent 3 2 18 3 2 2" xfId="14608"/>
    <cellStyle name="Percent 3 2 18 3 2 2 2" xfId="34286"/>
    <cellStyle name="Percent 3 2 18 3 2 3" xfId="20760"/>
    <cellStyle name="Percent 3 2 18 3 2 3 2" xfId="40438"/>
    <cellStyle name="Percent 3 2 18 3 2 4" xfId="28122"/>
    <cellStyle name="Percent 3 2 18 3 3" xfId="11542"/>
    <cellStyle name="Percent 3 2 18 3 3 2" xfId="31220"/>
    <cellStyle name="Percent 3 2 18 3 4" xfId="17694"/>
    <cellStyle name="Percent 3 2 18 3 4 2" xfId="37372"/>
    <cellStyle name="Percent 3 2 18 3 5" xfId="25056"/>
    <cellStyle name="Percent 3 2 18 4" xfId="6880"/>
    <cellStyle name="Percent 3 2 18 4 2" xfId="13074"/>
    <cellStyle name="Percent 3 2 18 4 2 2" xfId="32752"/>
    <cellStyle name="Percent 3 2 18 4 3" xfId="19226"/>
    <cellStyle name="Percent 3 2 18 4 3 2" xfId="38904"/>
    <cellStyle name="Percent 3 2 18 4 4" xfId="26588"/>
    <cellStyle name="Percent 3 2 18 5" xfId="10008"/>
    <cellStyle name="Percent 3 2 18 5 2" xfId="29686"/>
    <cellStyle name="Percent 3 2 18 6" xfId="16160"/>
    <cellStyle name="Percent 3 2 18 6 2" xfId="35838"/>
    <cellStyle name="Percent 3 2 18 7" xfId="23505"/>
    <cellStyle name="Percent 3 2 19" xfId="3433"/>
    <cellStyle name="Percent 3 2 19 2" xfId="4474"/>
    <cellStyle name="Percent 3 2 19 2 2" xfId="6099"/>
    <cellStyle name="Percent 3 2 19 2 2 2" xfId="9185"/>
    <cellStyle name="Percent 3 2 19 2 2 2 2" xfId="15378"/>
    <cellStyle name="Percent 3 2 19 2 2 2 2 2" xfId="35056"/>
    <cellStyle name="Percent 3 2 19 2 2 2 3" xfId="21530"/>
    <cellStyle name="Percent 3 2 19 2 2 2 3 2" xfId="41208"/>
    <cellStyle name="Percent 3 2 19 2 2 2 4" xfId="28892"/>
    <cellStyle name="Percent 3 2 19 2 2 3" xfId="12312"/>
    <cellStyle name="Percent 3 2 19 2 2 3 2" xfId="31990"/>
    <cellStyle name="Percent 3 2 19 2 2 4" xfId="18464"/>
    <cellStyle name="Percent 3 2 19 2 2 4 2" xfId="38142"/>
    <cellStyle name="Percent 3 2 19 2 2 5" xfId="25826"/>
    <cellStyle name="Percent 3 2 19 2 3" xfId="7650"/>
    <cellStyle name="Percent 3 2 19 2 3 2" xfId="13844"/>
    <cellStyle name="Percent 3 2 19 2 3 2 2" xfId="33522"/>
    <cellStyle name="Percent 3 2 19 2 3 3" xfId="19996"/>
    <cellStyle name="Percent 3 2 19 2 3 3 2" xfId="39674"/>
    <cellStyle name="Percent 3 2 19 2 3 4" xfId="27358"/>
    <cellStyle name="Percent 3 2 19 2 4" xfId="10778"/>
    <cellStyle name="Percent 3 2 19 2 4 2" xfId="30456"/>
    <cellStyle name="Percent 3 2 19 2 5" xfId="16930"/>
    <cellStyle name="Percent 3 2 19 2 5 2" xfId="36608"/>
    <cellStyle name="Percent 3 2 19 2 6" xfId="24292"/>
    <cellStyle name="Percent 3 2 19 3" xfId="5324"/>
    <cellStyle name="Percent 3 2 19 3 2" xfId="8416"/>
    <cellStyle name="Percent 3 2 19 3 2 2" xfId="14609"/>
    <cellStyle name="Percent 3 2 19 3 2 2 2" xfId="34287"/>
    <cellStyle name="Percent 3 2 19 3 2 3" xfId="20761"/>
    <cellStyle name="Percent 3 2 19 3 2 3 2" xfId="40439"/>
    <cellStyle name="Percent 3 2 19 3 2 4" xfId="28123"/>
    <cellStyle name="Percent 3 2 19 3 3" xfId="11543"/>
    <cellStyle name="Percent 3 2 19 3 3 2" xfId="31221"/>
    <cellStyle name="Percent 3 2 19 3 4" xfId="17695"/>
    <cellStyle name="Percent 3 2 19 3 4 2" xfId="37373"/>
    <cellStyle name="Percent 3 2 19 3 5" xfId="25057"/>
    <cellStyle name="Percent 3 2 19 4" xfId="6881"/>
    <cellStyle name="Percent 3 2 19 4 2" xfId="13075"/>
    <cellStyle name="Percent 3 2 19 4 2 2" xfId="32753"/>
    <cellStyle name="Percent 3 2 19 4 3" xfId="19227"/>
    <cellStyle name="Percent 3 2 19 4 3 2" xfId="38905"/>
    <cellStyle name="Percent 3 2 19 4 4" xfId="26589"/>
    <cellStyle name="Percent 3 2 19 5" xfId="10009"/>
    <cellStyle name="Percent 3 2 19 5 2" xfId="29687"/>
    <cellStyle name="Percent 3 2 19 6" xfId="16161"/>
    <cellStyle name="Percent 3 2 19 6 2" xfId="35839"/>
    <cellStyle name="Percent 3 2 19 7" xfId="23506"/>
    <cellStyle name="Percent 3 2 2" xfId="3434"/>
    <cellStyle name="Percent 3 2 2 2" xfId="3435"/>
    <cellStyle name="Percent 3 2 2 2 2" xfId="4475"/>
    <cellStyle name="Percent 3 2 2 2 2 2" xfId="6100"/>
    <cellStyle name="Percent 3 2 2 2 2 2 2" xfId="9186"/>
    <cellStyle name="Percent 3 2 2 2 2 2 2 2" xfId="15379"/>
    <cellStyle name="Percent 3 2 2 2 2 2 2 2 2" xfId="35057"/>
    <cellStyle name="Percent 3 2 2 2 2 2 2 3" xfId="21531"/>
    <cellStyle name="Percent 3 2 2 2 2 2 2 3 2" xfId="41209"/>
    <cellStyle name="Percent 3 2 2 2 2 2 2 4" xfId="28893"/>
    <cellStyle name="Percent 3 2 2 2 2 2 3" xfId="12313"/>
    <cellStyle name="Percent 3 2 2 2 2 2 3 2" xfId="31991"/>
    <cellStyle name="Percent 3 2 2 2 2 2 4" xfId="18465"/>
    <cellStyle name="Percent 3 2 2 2 2 2 4 2" xfId="38143"/>
    <cellStyle name="Percent 3 2 2 2 2 2 5" xfId="25827"/>
    <cellStyle name="Percent 3 2 2 2 2 3" xfId="7651"/>
    <cellStyle name="Percent 3 2 2 2 2 3 2" xfId="13845"/>
    <cellStyle name="Percent 3 2 2 2 2 3 2 2" xfId="33523"/>
    <cellStyle name="Percent 3 2 2 2 2 3 3" xfId="19997"/>
    <cellStyle name="Percent 3 2 2 2 2 3 3 2" xfId="39675"/>
    <cellStyle name="Percent 3 2 2 2 2 3 4" xfId="27359"/>
    <cellStyle name="Percent 3 2 2 2 2 4" xfId="10779"/>
    <cellStyle name="Percent 3 2 2 2 2 4 2" xfId="30457"/>
    <cellStyle name="Percent 3 2 2 2 2 5" xfId="16931"/>
    <cellStyle name="Percent 3 2 2 2 2 5 2" xfId="36609"/>
    <cellStyle name="Percent 3 2 2 2 2 6" xfId="24293"/>
    <cellStyle name="Percent 3 2 2 2 3" xfId="5325"/>
    <cellStyle name="Percent 3 2 2 2 3 2" xfId="8417"/>
    <cellStyle name="Percent 3 2 2 2 3 2 2" xfId="14610"/>
    <cellStyle name="Percent 3 2 2 2 3 2 2 2" xfId="34288"/>
    <cellStyle name="Percent 3 2 2 2 3 2 3" xfId="20762"/>
    <cellStyle name="Percent 3 2 2 2 3 2 3 2" xfId="40440"/>
    <cellStyle name="Percent 3 2 2 2 3 2 4" xfId="28124"/>
    <cellStyle name="Percent 3 2 2 2 3 3" xfId="11544"/>
    <cellStyle name="Percent 3 2 2 2 3 3 2" xfId="31222"/>
    <cellStyle name="Percent 3 2 2 2 3 4" xfId="17696"/>
    <cellStyle name="Percent 3 2 2 2 3 4 2" xfId="37374"/>
    <cellStyle name="Percent 3 2 2 2 3 5" xfId="25058"/>
    <cellStyle name="Percent 3 2 2 2 4" xfId="6882"/>
    <cellStyle name="Percent 3 2 2 2 4 2" xfId="13076"/>
    <cellStyle name="Percent 3 2 2 2 4 2 2" xfId="32754"/>
    <cellStyle name="Percent 3 2 2 2 4 3" xfId="19228"/>
    <cellStyle name="Percent 3 2 2 2 4 3 2" xfId="38906"/>
    <cellStyle name="Percent 3 2 2 2 4 4" xfId="26590"/>
    <cellStyle name="Percent 3 2 2 2 5" xfId="10010"/>
    <cellStyle name="Percent 3 2 2 2 5 2" xfId="29688"/>
    <cellStyle name="Percent 3 2 2 2 6" xfId="16162"/>
    <cellStyle name="Percent 3 2 2 2 6 2" xfId="35840"/>
    <cellStyle name="Percent 3 2 2 2 7" xfId="23507"/>
    <cellStyle name="Percent 3 2 2 3" xfId="3436"/>
    <cellStyle name="Percent 3 2 2 3 2" xfId="4476"/>
    <cellStyle name="Percent 3 2 2 3 2 2" xfId="6101"/>
    <cellStyle name="Percent 3 2 2 3 2 2 2" xfId="9187"/>
    <cellStyle name="Percent 3 2 2 3 2 2 2 2" xfId="15380"/>
    <cellStyle name="Percent 3 2 2 3 2 2 2 2 2" xfId="35058"/>
    <cellStyle name="Percent 3 2 2 3 2 2 2 3" xfId="21532"/>
    <cellStyle name="Percent 3 2 2 3 2 2 2 3 2" xfId="41210"/>
    <cellStyle name="Percent 3 2 2 3 2 2 2 4" xfId="28894"/>
    <cellStyle name="Percent 3 2 2 3 2 2 3" xfId="12314"/>
    <cellStyle name="Percent 3 2 2 3 2 2 3 2" xfId="31992"/>
    <cellStyle name="Percent 3 2 2 3 2 2 4" xfId="18466"/>
    <cellStyle name="Percent 3 2 2 3 2 2 4 2" xfId="38144"/>
    <cellStyle name="Percent 3 2 2 3 2 2 5" xfId="25828"/>
    <cellStyle name="Percent 3 2 2 3 2 3" xfId="7652"/>
    <cellStyle name="Percent 3 2 2 3 2 3 2" xfId="13846"/>
    <cellStyle name="Percent 3 2 2 3 2 3 2 2" xfId="33524"/>
    <cellStyle name="Percent 3 2 2 3 2 3 3" xfId="19998"/>
    <cellStyle name="Percent 3 2 2 3 2 3 3 2" xfId="39676"/>
    <cellStyle name="Percent 3 2 2 3 2 3 4" xfId="27360"/>
    <cellStyle name="Percent 3 2 2 3 2 4" xfId="10780"/>
    <cellStyle name="Percent 3 2 2 3 2 4 2" xfId="30458"/>
    <cellStyle name="Percent 3 2 2 3 2 5" xfId="16932"/>
    <cellStyle name="Percent 3 2 2 3 2 5 2" xfId="36610"/>
    <cellStyle name="Percent 3 2 2 3 2 6" xfId="24294"/>
    <cellStyle name="Percent 3 2 2 3 3" xfId="5326"/>
    <cellStyle name="Percent 3 2 2 3 3 2" xfId="8418"/>
    <cellStyle name="Percent 3 2 2 3 3 2 2" xfId="14611"/>
    <cellStyle name="Percent 3 2 2 3 3 2 2 2" xfId="34289"/>
    <cellStyle name="Percent 3 2 2 3 3 2 3" xfId="20763"/>
    <cellStyle name="Percent 3 2 2 3 3 2 3 2" xfId="40441"/>
    <cellStyle name="Percent 3 2 2 3 3 2 4" xfId="28125"/>
    <cellStyle name="Percent 3 2 2 3 3 3" xfId="11545"/>
    <cellStyle name="Percent 3 2 2 3 3 3 2" xfId="31223"/>
    <cellStyle name="Percent 3 2 2 3 3 4" xfId="17697"/>
    <cellStyle name="Percent 3 2 2 3 3 4 2" xfId="37375"/>
    <cellStyle name="Percent 3 2 2 3 3 5" xfId="25059"/>
    <cellStyle name="Percent 3 2 2 3 4" xfId="6883"/>
    <cellStyle name="Percent 3 2 2 3 4 2" xfId="13077"/>
    <cellStyle name="Percent 3 2 2 3 4 2 2" xfId="32755"/>
    <cellStyle name="Percent 3 2 2 3 4 3" xfId="19229"/>
    <cellStyle name="Percent 3 2 2 3 4 3 2" xfId="38907"/>
    <cellStyle name="Percent 3 2 2 3 4 4" xfId="26591"/>
    <cellStyle name="Percent 3 2 2 3 5" xfId="10011"/>
    <cellStyle name="Percent 3 2 2 3 5 2" xfId="29689"/>
    <cellStyle name="Percent 3 2 2 3 6" xfId="16163"/>
    <cellStyle name="Percent 3 2 2 3 6 2" xfId="35841"/>
    <cellStyle name="Percent 3 2 2 3 7" xfId="23508"/>
    <cellStyle name="Percent 3 2 2 4" xfId="3437"/>
    <cellStyle name="Percent 3 2 2 4 2" xfId="4477"/>
    <cellStyle name="Percent 3 2 2 4 2 2" xfId="6102"/>
    <cellStyle name="Percent 3 2 2 4 2 2 2" xfId="9188"/>
    <cellStyle name="Percent 3 2 2 4 2 2 2 2" xfId="15381"/>
    <cellStyle name="Percent 3 2 2 4 2 2 2 2 2" xfId="35059"/>
    <cellStyle name="Percent 3 2 2 4 2 2 2 3" xfId="21533"/>
    <cellStyle name="Percent 3 2 2 4 2 2 2 3 2" xfId="41211"/>
    <cellStyle name="Percent 3 2 2 4 2 2 2 4" xfId="28895"/>
    <cellStyle name="Percent 3 2 2 4 2 2 3" xfId="12315"/>
    <cellStyle name="Percent 3 2 2 4 2 2 3 2" xfId="31993"/>
    <cellStyle name="Percent 3 2 2 4 2 2 4" xfId="18467"/>
    <cellStyle name="Percent 3 2 2 4 2 2 4 2" xfId="38145"/>
    <cellStyle name="Percent 3 2 2 4 2 2 5" xfId="25829"/>
    <cellStyle name="Percent 3 2 2 4 2 3" xfId="7653"/>
    <cellStyle name="Percent 3 2 2 4 2 3 2" xfId="13847"/>
    <cellStyle name="Percent 3 2 2 4 2 3 2 2" xfId="33525"/>
    <cellStyle name="Percent 3 2 2 4 2 3 3" xfId="19999"/>
    <cellStyle name="Percent 3 2 2 4 2 3 3 2" xfId="39677"/>
    <cellStyle name="Percent 3 2 2 4 2 3 4" xfId="27361"/>
    <cellStyle name="Percent 3 2 2 4 2 4" xfId="10781"/>
    <cellStyle name="Percent 3 2 2 4 2 4 2" xfId="30459"/>
    <cellStyle name="Percent 3 2 2 4 2 5" xfId="16933"/>
    <cellStyle name="Percent 3 2 2 4 2 5 2" xfId="36611"/>
    <cellStyle name="Percent 3 2 2 4 2 6" xfId="24295"/>
    <cellStyle name="Percent 3 2 2 4 3" xfId="5327"/>
    <cellStyle name="Percent 3 2 2 4 3 2" xfId="8419"/>
    <cellStyle name="Percent 3 2 2 4 3 2 2" xfId="14612"/>
    <cellStyle name="Percent 3 2 2 4 3 2 2 2" xfId="34290"/>
    <cellStyle name="Percent 3 2 2 4 3 2 3" xfId="20764"/>
    <cellStyle name="Percent 3 2 2 4 3 2 3 2" xfId="40442"/>
    <cellStyle name="Percent 3 2 2 4 3 2 4" xfId="28126"/>
    <cellStyle name="Percent 3 2 2 4 3 3" xfId="11546"/>
    <cellStyle name="Percent 3 2 2 4 3 3 2" xfId="31224"/>
    <cellStyle name="Percent 3 2 2 4 3 4" xfId="17698"/>
    <cellStyle name="Percent 3 2 2 4 3 4 2" xfId="37376"/>
    <cellStyle name="Percent 3 2 2 4 3 5" xfId="25060"/>
    <cellStyle name="Percent 3 2 2 4 4" xfId="6884"/>
    <cellStyle name="Percent 3 2 2 4 4 2" xfId="13078"/>
    <cellStyle name="Percent 3 2 2 4 4 2 2" xfId="32756"/>
    <cellStyle name="Percent 3 2 2 4 4 3" xfId="19230"/>
    <cellStyle name="Percent 3 2 2 4 4 3 2" xfId="38908"/>
    <cellStyle name="Percent 3 2 2 4 4 4" xfId="26592"/>
    <cellStyle name="Percent 3 2 2 4 5" xfId="10012"/>
    <cellStyle name="Percent 3 2 2 4 5 2" xfId="29690"/>
    <cellStyle name="Percent 3 2 2 4 6" xfId="16164"/>
    <cellStyle name="Percent 3 2 2 4 6 2" xfId="35842"/>
    <cellStyle name="Percent 3 2 2 4 7" xfId="23509"/>
    <cellStyle name="Percent 3 2 2 5" xfId="3438"/>
    <cellStyle name="Percent 3 2 2 5 2" xfId="4478"/>
    <cellStyle name="Percent 3 2 2 5 2 2" xfId="6103"/>
    <cellStyle name="Percent 3 2 2 5 2 2 2" xfId="9189"/>
    <cellStyle name="Percent 3 2 2 5 2 2 2 2" xfId="15382"/>
    <cellStyle name="Percent 3 2 2 5 2 2 2 2 2" xfId="35060"/>
    <cellStyle name="Percent 3 2 2 5 2 2 2 3" xfId="21534"/>
    <cellStyle name="Percent 3 2 2 5 2 2 2 3 2" xfId="41212"/>
    <cellStyle name="Percent 3 2 2 5 2 2 2 4" xfId="28896"/>
    <cellStyle name="Percent 3 2 2 5 2 2 3" xfId="12316"/>
    <cellStyle name="Percent 3 2 2 5 2 2 3 2" xfId="31994"/>
    <cellStyle name="Percent 3 2 2 5 2 2 4" xfId="18468"/>
    <cellStyle name="Percent 3 2 2 5 2 2 4 2" xfId="38146"/>
    <cellStyle name="Percent 3 2 2 5 2 2 5" xfId="25830"/>
    <cellStyle name="Percent 3 2 2 5 2 3" xfId="7654"/>
    <cellStyle name="Percent 3 2 2 5 2 3 2" xfId="13848"/>
    <cellStyle name="Percent 3 2 2 5 2 3 2 2" xfId="33526"/>
    <cellStyle name="Percent 3 2 2 5 2 3 3" xfId="20000"/>
    <cellStyle name="Percent 3 2 2 5 2 3 3 2" xfId="39678"/>
    <cellStyle name="Percent 3 2 2 5 2 3 4" xfId="27362"/>
    <cellStyle name="Percent 3 2 2 5 2 4" xfId="10782"/>
    <cellStyle name="Percent 3 2 2 5 2 4 2" xfId="30460"/>
    <cellStyle name="Percent 3 2 2 5 2 5" xfId="16934"/>
    <cellStyle name="Percent 3 2 2 5 2 5 2" xfId="36612"/>
    <cellStyle name="Percent 3 2 2 5 2 6" xfId="24296"/>
    <cellStyle name="Percent 3 2 2 5 3" xfId="5328"/>
    <cellStyle name="Percent 3 2 2 5 3 2" xfId="8420"/>
    <cellStyle name="Percent 3 2 2 5 3 2 2" xfId="14613"/>
    <cellStyle name="Percent 3 2 2 5 3 2 2 2" xfId="34291"/>
    <cellStyle name="Percent 3 2 2 5 3 2 3" xfId="20765"/>
    <cellStyle name="Percent 3 2 2 5 3 2 3 2" xfId="40443"/>
    <cellStyle name="Percent 3 2 2 5 3 2 4" xfId="28127"/>
    <cellStyle name="Percent 3 2 2 5 3 3" xfId="11547"/>
    <cellStyle name="Percent 3 2 2 5 3 3 2" xfId="31225"/>
    <cellStyle name="Percent 3 2 2 5 3 4" xfId="17699"/>
    <cellStyle name="Percent 3 2 2 5 3 4 2" xfId="37377"/>
    <cellStyle name="Percent 3 2 2 5 3 5" xfId="25061"/>
    <cellStyle name="Percent 3 2 2 5 4" xfId="6885"/>
    <cellStyle name="Percent 3 2 2 5 4 2" xfId="13079"/>
    <cellStyle name="Percent 3 2 2 5 4 2 2" xfId="32757"/>
    <cellStyle name="Percent 3 2 2 5 4 3" xfId="19231"/>
    <cellStyle name="Percent 3 2 2 5 4 3 2" xfId="38909"/>
    <cellStyle name="Percent 3 2 2 5 4 4" xfId="26593"/>
    <cellStyle name="Percent 3 2 2 5 5" xfId="10013"/>
    <cellStyle name="Percent 3 2 2 5 5 2" xfId="29691"/>
    <cellStyle name="Percent 3 2 2 5 6" xfId="16165"/>
    <cellStyle name="Percent 3 2 2 5 6 2" xfId="35843"/>
    <cellStyle name="Percent 3 2 2 5 7" xfId="23510"/>
    <cellStyle name="Percent 3 2 20" xfId="3439"/>
    <cellStyle name="Percent 3 2 20 2" xfId="4479"/>
    <cellStyle name="Percent 3 2 20 2 2" xfId="6104"/>
    <cellStyle name="Percent 3 2 20 2 2 2" xfId="9190"/>
    <cellStyle name="Percent 3 2 20 2 2 2 2" xfId="15383"/>
    <cellStyle name="Percent 3 2 20 2 2 2 2 2" xfId="35061"/>
    <cellStyle name="Percent 3 2 20 2 2 2 3" xfId="21535"/>
    <cellStyle name="Percent 3 2 20 2 2 2 3 2" xfId="41213"/>
    <cellStyle name="Percent 3 2 20 2 2 2 4" xfId="28897"/>
    <cellStyle name="Percent 3 2 20 2 2 3" xfId="12317"/>
    <cellStyle name="Percent 3 2 20 2 2 3 2" xfId="31995"/>
    <cellStyle name="Percent 3 2 20 2 2 4" xfId="18469"/>
    <cellStyle name="Percent 3 2 20 2 2 4 2" xfId="38147"/>
    <cellStyle name="Percent 3 2 20 2 2 5" xfId="25831"/>
    <cellStyle name="Percent 3 2 20 2 3" xfId="7655"/>
    <cellStyle name="Percent 3 2 20 2 3 2" xfId="13849"/>
    <cellStyle name="Percent 3 2 20 2 3 2 2" xfId="33527"/>
    <cellStyle name="Percent 3 2 20 2 3 3" xfId="20001"/>
    <cellStyle name="Percent 3 2 20 2 3 3 2" xfId="39679"/>
    <cellStyle name="Percent 3 2 20 2 3 4" xfId="27363"/>
    <cellStyle name="Percent 3 2 20 2 4" xfId="10783"/>
    <cellStyle name="Percent 3 2 20 2 4 2" xfId="30461"/>
    <cellStyle name="Percent 3 2 20 2 5" xfId="16935"/>
    <cellStyle name="Percent 3 2 20 2 5 2" xfId="36613"/>
    <cellStyle name="Percent 3 2 20 2 6" xfId="24297"/>
    <cellStyle name="Percent 3 2 20 3" xfId="5329"/>
    <cellStyle name="Percent 3 2 20 3 2" xfId="8421"/>
    <cellStyle name="Percent 3 2 20 3 2 2" xfId="14614"/>
    <cellStyle name="Percent 3 2 20 3 2 2 2" xfId="34292"/>
    <cellStyle name="Percent 3 2 20 3 2 3" xfId="20766"/>
    <cellStyle name="Percent 3 2 20 3 2 3 2" xfId="40444"/>
    <cellStyle name="Percent 3 2 20 3 2 4" xfId="28128"/>
    <cellStyle name="Percent 3 2 20 3 3" xfId="11548"/>
    <cellStyle name="Percent 3 2 20 3 3 2" xfId="31226"/>
    <cellStyle name="Percent 3 2 20 3 4" xfId="17700"/>
    <cellStyle name="Percent 3 2 20 3 4 2" xfId="37378"/>
    <cellStyle name="Percent 3 2 20 3 5" xfId="25062"/>
    <cellStyle name="Percent 3 2 20 4" xfId="6886"/>
    <cellStyle name="Percent 3 2 20 4 2" xfId="13080"/>
    <cellStyle name="Percent 3 2 20 4 2 2" xfId="32758"/>
    <cellStyle name="Percent 3 2 20 4 3" xfId="19232"/>
    <cellStyle name="Percent 3 2 20 4 3 2" xfId="38910"/>
    <cellStyle name="Percent 3 2 20 4 4" xfId="26594"/>
    <cellStyle name="Percent 3 2 20 5" xfId="10014"/>
    <cellStyle name="Percent 3 2 20 5 2" xfId="29692"/>
    <cellStyle name="Percent 3 2 20 6" xfId="16166"/>
    <cellStyle name="Percent 3 2 20 6 2" xfId="35844"/>
    <cellStyle name="Percent 3 2 20 7" xfId="23511"/>
    <cellStyle name="Percent 3 2 21" xfId="3440"/>
    <cellStyle name="Percent 3 2 21 2" xfId="3441"/>
    <cellStyle name="Percent 3 2 21 2 2" xfId="4480"/>
    <cellStyle name="Percent 3 2 21 2 2 2" xfId="6105"/>
    <cellStyle name="Percent 3 2 21 2 2 2 2" xfId="9191"/>
    <cellStyle name="Percent 3 2 21 2 2 2 2 2" xfId="15384"/>
    <cellStyle name="Percent 3 2 21 2 2 2 2 2 2" xfId="35062"/>
    <cellStyle name="Percent 3 2 21 2 2 2 2 3" xfId="21536"/>
    <cellStyle name="Percent 3 2 21 2 2 2 2 3 2" xfId="41214"/>
    <cellStyle name="Percent 3 2 21 2 2 2 2 4" xfId="28898"/>
    <cellStyle name="Percent 3 2 21 2 2 2 3" xfId="12318"/>
    <cellStyle name="Percent 3 2 21 2 2 2 3 2" xfId="31996"/>
    <cellStyle name="Percent 3 2 21 2 2 2 4" xfId="18470"/>
    <cellStyle name="Percent 3 2 21 2 2 2 4 2" xfId="38148"/>
    <cellStyle name="Percent 3 2 21 2 2 2 5" xfId="25832"/>
    <cellStyle name="Percent 3 2 21 2 2 3" xfId="7656"/>
    <cellStyle name="Percent 3 2 21 2 2 3 2" xfId="13850"/>
    <cellStyle name="Percent 3 2 21 2 2 3 2 2" xfId="33528"/>
    <cellStyle name="Percent 3 2 21 2 2 3 3" xfId="20002"/>
    <cellStyle name="Percent 3 2 21 2 2 3 3 2" xfId="39680"/>
    <cellStyle name="Percent 3 2 21 2 2 3 4" xfId="27364"/>
    <cellStyle name="Percent 3 2 21 2 2 4" xfId="10784"/>
    <cellStyle name="Percent 3 2 21 2 2 4 2" xfId="30462"/>
    <cellStyle name="Percent 3 2 21 2 2 5" xfId="16936"/>
    <cellStyle name="Percent 3 2 21 2 2 5 2" xfId="36614"/>
    <cellStyle name="Percent 3 2 21 2 2 6" xfId="24298"/>
    <cellStyle name="Percent 3 2 21 2 3" xfId="5330"/>
    <cellStyle name="Percent 3 2 21 2 3 2" xfId="8422"/>
    <cellStyle name="Percent 3 2 21 2 3 2 2" xfId="14615"/>
    <cellStyle name="Percent 3 2 21 2 3 2 2 2" xfId="34293"/>
    <cellStyle name="Percent 3 2 21 2 3 2 3" xfId="20767"/>
    <cellStyle name="Percent 3 2 21 2 3 2 3 2" xfId="40445"/>
    <cellStyle name="Percent 3 2 21 2 3 2 4" xfId="28129"/>
    <cellStyle name="Percent 3 2 21 2 3 3" xfId="11549"/>
    <cellStyle name="Percent 3 2 21 2 3 3 2" xfId="31227"/>
    <cellStyle name="Percent 3 2 21 2 3 4" xfId="17701"/>
    <cellStyle name="Percent 3 2 21 2 3 4 2" xfId="37379"/>
    <cellStyle name="Percent 3 2 21 2 3 5" xfId="25063"/>
    <cellStyle name="Percent 3 2 21 2 4" xfId="6887"/>
    <cellStyle name="Percent 3 2 21 2 4 2" xfId="13081"/>
    <cellStyle name="Percent 3 2 21 2 4 2 2" xfId="32759"/>
    <cellStyle name="Percent 3 2 21 2 4 3" xfId="19233"/>
    <cellStyle name="Percent 3 2 21 2 4 3 2" xfId="38911"/>
    <cellStyle name="Percent 3 2 21 2 4 4" xfId="26595"/>
    <cellStyle name="Percent 3 2 21 2 5" xfId="10015"/>
    <cellStyle name="Percent 3 2 21 2 5 2" xfId="29693"/>
    <cellStyle name="Percent 3 2 21 2 6" xfId="16167"/>
    <cellStyle name="Percent 3 2 21 2 6 2" xfId="35845"/>
    <cellStyle name="Percent 3 2 21 2 7" xfId="23512"/>
    <cellStyle name="Percent 3 2 21 3" xfId="3442"/>
    <cellStyle name="Percent 3 2 21 4" xfId="3443"/>
    <cellStyle name="Percent 3 2 22" xfId="3444"/>
    <cellStyle name="Percent 3 2 23" xfId="4464"/>
    <cellStyle name="Percent 3 2 23 2" xfId="6089"/>
    <cellStyle name="Percent 3 2 23 2 2" xfId="9175"/>
    <cellStyle name="Percent 3 2 23 2 2 2" xfId="15368"/>
    <cellStyle name="Percent 3 2 23 2 2 2 2" xfId="35046"/>
    <cellStyle name="Percent 3 2 23 2 2 3" xfId="21520"/>
    <cellStyle name="Percent 3 2 23 2 2 3 2" xfId="41198"/>
    <cellStyle name="Percent 3 2 23 2 2 4" xfId="28882"/>
    <cellStyle name="Percent 3 2 23 2 3" xfId="12302"/>
    <cellStyle name="Percent 3 2 23 2 3 2" xfId="31980"/>
    <cellStyle name="Percent 3 2 23 2 4" xfId="18454"/>
    <cellStyle name="Percent 3 2 23 2 4 2" xfId="38132"/>
    <cellStyle name="Percent 3 2 23 2 5" xfId="25816"/>
    <cellStyle name="Percent 3 2 23 3" xfId="7640"/>
    <cellStyle name="Percent 3 2 23 3 2" xfId="13834"/>
    <cellStyle name="Percent 3 2 23 3 2 2" xfId="33512"/>
    <cellStyle name="Percent 3 2 23 3 3" xfId="19986"/>
    <cellStyle name="Percent 3 2 23 3 3 2" xfId="39664"/>
    <cellStyle name="Percent 3 2 23 3 4" xfId="27348"/>
    <cellStyle name="Percent 3 2 23 4" xfId="10768"/>
    <cellStyle name="Percent 3 2 23 4 2" xfId="30446"/>
    <cellStyle name="Percent 3 2 23 5" xfId="16920"/>
    <cellStyle name="Percent 3 2 23 5 2" xfId="36598"/>
    <cellStyle name="Percent 3 2 23 6" xfId="24282"/>
    <cellStyle name="Percent 3 2 24" xfId="5314"/>
    <cellStyle name="Percent 3 2 24 2" xfId="8406"/>
    <cellStyle name="Percent 3 2 24 2 2" xfId="14599"/>
    <cellStyle name="Percent 3 2 24 2 2 2" xfId="34277"/>
    <cellStyle name="Percent 3 2 24 2 3" xfId="20751"/>
    <cellStyle name="Percent 3 2 24 2 3 2" xfId="40429"/>
    <cellStyle name="Percent 3 2 24 2 4" xfId="28113"/>
    <cellStyle name="Percent 3 2 24 3" xfId="11533"/>
    <cellStyle name="Percent 3 2 24 3 2" xfId="31211"/>
    <cellStyle name="Percent 3 2 24 4" xfId="17685"/>
    <cellStyle name="Percent 3 2 24 4 2" xfId="37363"/>
    <cellStyle name="Percent 3 2 24 5" xfId="25047"/>
    <cellStyle name="Percent 3 2 25" xfId="6871"/>
    <cellStyle name="Percent 3 2 25 2" xfId="13065"/>
    <cellStyle name="Percent 3 2 25 2 2" xfId="32743"/>
    <cellStyle name="Percent 3 2 25 3" xfId="19217"/>
    <cellStyle name="Percent 3 2 25 3 2" xfId="38895"/>
    <cellStyle name="Percent 3 2 25 4" xfId="26579"/>
    <cellStyle name="Percent 3 2 26" xfId="9999"/>
    <cellStyle name="Percent 3 2 26 2" xfId="29677"/>
    <cellStyle name="Percent 3 2 27" xfId="16151"/>
    <cellStyle name="Percent 3 2 27 2" xfId="35829"/>
    <cellStyle name="Percent 3 2 28" xfId="3423"/>
    <cellStyle name="Percent 3 2 28 2" xfId="23496"/>
    <cellStyle name="Percent 3 2 29" xfId="42054"/>
    <cellStyle name="Percent 3 2 3" xfId="3445"/>
    <cellStyle name="Percent 3 2 3 10" xfId="16168"/>
    <cellStyle name="Percent 3 2 3 10 2" xfId="35846"/>
    <cellStyle name="Percent 3 2 3 11" xfId="23513"/>
    <cellStyle name="Percent 3 2 3 2" xfId="3446"/>
    <cellStyle name="Percent 3 2 3 2 2" xfId="4482"/>
    <cellStyle name="Percent 3 2 3 2 2 2" xfId="6107"/>
    <cellStyle name="Percent 3 2 3 2 2 2 2" xfId="9193"/>
    <cellStyle name="Percent 3 2 3 2 2 2 2 2" xfId="15386"/>
    <cellStyle name="Percent 3 2 3 2 2 2 2 2 2" xfId="35064"/>
    <cellStyle name="Percent 3 2 3 2 2 2 2 3" xfId="21538"/>
    <cellStyle name="Percent 3 2 3 2 2 2 2 3 2" xfId="41216"/>
    <cellStyle name="Percent 3 2 3 2 2 2 2 4" xfId="28900"/>
    <cellStyle name="Percent 3 2 3 2 2 2 3" xfId="12320"/>
    <cellStyle name="Percent 3 2 3 2 2 2 3 2" xfId="31998"/>
    <cellStyle name="Percent 3 2 3 2 2 2 4" xfId="18472"/>
    <cellStyle name="Percent 3 2 3 2 2 2 4 2" xfId="38150"/>
    <cellStyle name="Percent 3 2 3 2 2 2 5" xfId="25834"/>
    <cellStyle name="Percent 3 2 3 2 2 3" xfId="7658"/>
    <cellStyle name="Percent 3 2 3 2 2 3 2" xfId="13852"/>
    <cellStyle name="Percent 3 2 3 2 2 3 2 2" xfId="33530"/>
    <cellStyle name="Percent 3 2 3 2 2 3 3" xfId="20004"/>
    <cellStyle name="Percent 3 2 3 2 2 3 3 2" xfId="39682"/>
    <cellStyle name="Percent 3 2 3 2 2 3 4" xfId="27366"/>
    <cellStyle name="Percent 3 2 3 2 2 4" xfId="10786"/>
    <cellStyle name="Percent 3 2 3 2 2 4 2" xfId="30464"/>
    <cellStyle name="Percent 3 2 3 2 2 5" xfId="16938"/>
    <cellStyle name="Percent 3 2 3 2 2 5 2" xfId="36616"/>
    <cellStyle name="Percent 3 2 3 2 2 6" xfId="24300"/>
    <cellStyle name="Percent 3 2 3 2 3" xfId="5334"/>
    <cellStyle name="Percent 3 2 3 2 3 2" xfId="8424"/>
    <cellStyle name="Percent 3 2 3 2 3 2 2" xfId="14617"/>
    <cellStyle name="Percent 3 2 3 2 3 2 2 2" xfId="34295"/>
    <cellStyle name="Percent 3 2 3 2 3 2 3" xfId="20769"/>
    <cellStyle name="Percent 3 2 3 2 3 2 3 2" xfId="40447"/>
    <cellStyle name="Percent 3 2 3 2 3 2 4" xfId="28131"/>
    <cellStyle name="Percent 3 2 3 2 3 3" xfId="11551"/>
    <cellStyle name="Percent 3 2 3 2 3 3 2" xfId="31229"/>
    <cellStyle name="Percent 3 2 3 2 3 4" xfId="17703"/>
    <cellStyle name="Percent 3 2 3 2 3 4 2" xfId="37381"/>
    <cellStyle name="Percent 3 2 3 2 3 5" xfId="25065"/>
    <cellStyle name="Percent 3 2 3 2 4" xfId="6889"/>
    <cellStyle name="Percent 3 2 3 2 4 2" xfId="13083"/>
    <cellStyle name="Percent 3 2 3 2 4 2 2" xfId="32761"/>
    <cellStyle name="Percent 3 2 3 2 4 3" xfId="19235"/>
    <cellStyle name="Percent 3 2 3 2 4 3 2" xfId="38913"/>
    <cellStyle name="Percent 3 2 3 2 4 4" xfId="26597"/>
    <cellStyle name="Percent 3 2 3 2 5" xfId="10017"/>
    <cellStyle name="Percent 3 2 3 2 5 2" xfId="29695"/>
    <cellStyle name="Percent 3 2 3 2 6" xfId="16169"/>
    <cellStyle name="Percent 3 2 3 2 6 2" xfId="35847"/>
    <cellStyle name="Percent 3 2 3 2 7" xfId="23514"/>
    <cellStyle name="Percent 3 2 3 3" xfId="3447"/>
    <cellStyle name="Percent 3 2 3 3 2" xfId="4483"/>
    <cellStyle name="Percent 3 2 3 3 2 2" xfId="6108"/>
    <cellStyle name="Percent 3 2 3 3 2 2 2" xfId="9194"/>
    <cellStyle name="Percent 3 2 3 3 2 2 2 2" xfId="15387"/>
    <cellStyle name="Percent 3 2 3 3 2 2 2 2 2" xfId="35065"/>
    <cellStyle name="Percent 3 2 3 3 2 2 2 3" xfId="21539"/>
    <cellStyle name="Percent 3 2 3 3 2 2 2 3 2" xfId="41217"/>
    <cellStyle name="Percent 3 2 3 3 2 2 2 4" xfId="28901"/>
    <cellStyle name="Percent 3 2 3 3 2 2 3" xfId="12321"/>
    <cellStyle name="Percent 3 2 3 3 2 2 3 2" xfId="31999"/>
    <cellStyle name="Percent 3 2 3 3 2 2 4" xfId="18473"/>
    <cellStyle name="Percent 3 2 3 3 2 2 4 2" xfId="38151"/>
    <cellStyle name="Percent 3 2 3 3 2 2 5" xfId="25835"/>
    <cellStyle name="Percent 3 2 3 3 2 3" xfId="7659"/>
    <cellStyle name="Percent 3 2 3 3 2 3 2" xfId="13853"/>
    <cellStyle name="Percent 3 2 3 3 2 3 2 2" xfId="33531"/>
    <cellStyle name="Percent 3 2 3 3 2 3 3" xfId="20005"/>
    <cellStyle name="Percent 3 2 3 3 2 3 3 2" xfId="39683"/>
    <cellStyle name="Percent 3 2 3 3 2 3 4" xfId="27367"/>
    <cellStyle name="Percent 3 2 3 3 2 4" xfId="10787"/>
    <cellStyle name="Percent 3 2 3 3 2 4 2" xfId="30465"/>
    <cellStyle name="Percent 3 2 3 3 2 5" xfId="16939"/>
    <cellStyle name="Percent 3 2 3 3 2 5 2" xfId="36617"/>
    <cellStyle name="Percent 3 2 3 3 2 6" xfId="24301"/>
    <cellStyle name="Percent 3 2 3 3 3" xfId="5335"/>
    <cellStyle name="Percent 3 2 3 3 3 2" xfId="8425"/>
    <cellStyle name="Percent 3 2 3 3 3 2 2" xfId="14618"/>
    <cellStyle name="Percent 3 2 3 3 3 2 2 2" xfId="34296"/>
    <cellStyle name="Percent 3 2 3 3 3 2 3" xfId="20770"/>
    <cellStyle name="Percent 3 2 3 3 3 2 3 2" xfId="40448"/>
    <cellStyle name="Percent 3 2 3 3 3 2 4" xfId="28132"/>
    <cellStyle name="Percent 3 2 3 3 3 3" xfId="11552"/>
    <cellStyle name="Percent 3 2 3 3 3 3 2" xfId="31230"/>
    <cellStyle name="Percent 3 2 3 3 3 4" xfId="17704"/>
    <cellStyle name="Percent 3 2 3 3 3 4 2" xfId="37382"/>
    <cellStyle name="Percent 3 2 3 3 3 5" xfId="25066"/>
    <cellStyle name="Percent 3 2 3 3 4" xfId="6890"/>
    <cellStyle name="Percent 3 2 3 3 4 2" xfId="13084"/>
    <cellStyle name="Percent 3 2 3 3 4 2 2" xfId="32762"/>
    <cellStyle name="Percent 3 2 3 3 4 3" xfId="19236"/>
    <cellStyle name="Percent 3 2 3 3 4 3 2" xfId="38914"/>
    <cellStyle name="Percent 3 2 3 3 4 4" xfId="26598"/>
    <cellStyle name="Percent 3 2 3 3 5" xfId="10018"/>
    <cellStyle name="Percent 3 2 3 3 5 2" xfId="29696"/>
    <cellStyle name="Percent 3 2 3 3 6" xfId="16170"/>
    <cellStyle name="Percent 3 2 3 3 6 2" xfId="35848"/>
    <cellStyle name="Percent 3 2 3 3 7" xfId="23515"/>
    <cellStyle name="Percent 3 2 3 4" xfId="3448"/>
    <cellStyle name="Percent 3 2 3 4 2" xfId="4484"/>
    <cellStyle name="Percent 3 2 3 4 2 2" xfId="6109"/>
    <cellStyle name="Percent 3 2 3 4 2 2 2" xfId="9195"/>
    <cellStyle name="Percent 3 2 3 4 2 2 2 2" xfId="15388"/>
    <cellStyle name="Percent 3 2 3 4 2 2 2 2 2" xfId="35066"/>
    <cellStyle name="Percent 3 2 3 4 2 2 2 3" xfId="21540"/>
    <cellStyle name="Percent 3 2 3 4 2 2 2 3 2" xfId="41218"/>
    <cellStyle name="Percent 3 2 3 4 2 2 2 4" xfId="28902"/>
    <cellStyle name="Percent 3 2 3 4 2 2 3" xfId="12322"/>
    <cellStyle name="Percent 3 2 3 4 2 2 3 2" xfId="32000"/>
    <cellStyle name="Percent 3 2 3 4 2 2 4" xfId="18474"/>
    <cellStyle name="Percent 3 2 3 4 2 2 4 2" xfId="38152"/>
    <cellStyle name="Percent 3 2 3 4 2 2 5" xfId="25836"/>
    <cellStyle name="Percent 3 2 3 4 2 3" xfId="7660"/>
    <cellStyle name="Percent 3 2 3 4 2 3 2" xfId="13854"/>
    <cellStyle name="Percent 3 2 3 4 2 3 2 2" xfId="33532"/>
    <cellStyle name="Percent 3 2 3 4 2 3 3" xfId="20006"/>
    <cellStyle name="Percent 3 2 3 4 2 3 3 2" xfId="39684"/>
    <cellStyle name="Percent 3 2 3 4 2 3 4" xfId="27368"/>
    <cellStyle name="Percent 3 2 3 4 2 4" xfId="10788"/>
    <cellStyle name="Percent 3 2 3 4 2 4 2" xfId="30466"/>
    <cellStyle name="Percent 3 2 3 4 2 5" xfId="16940"/>
    <cellStyle name="Percent 3 2 3 4 2 5 2" xfId="36618"/>
    <cellStyle name="Percent 3 2 3 4 2 6" xfId="24302"/>
    <cellStyle name="Percent 3 2 3 4 3" xfId="5336"/>
    <cellStyle name="Percent 3 2 3 4 3 2" xfId="8426"/>
    <cellStyle name="Percent 3 2 3 4 3 2 2" xfId="14619"/>
    <cellStyle name="Percent 3 2 3 4 3 2 2 2" xfId="34297"/>
    <cellStyle name="Percent 3 2 3 4 3 2 3" xfId="20771"/>
    <cellStyle name="Percent 3 2 3 4 3 2 3 2" xfId="40449"/>
    <cellStyle name="Percent 3 2 3 4 3 2 4" xfId="28133"/>
    <cellStyle name="Percent 3 2 3 4 3 3" xfId="11553"/>
    <cellStyle name="Percent 3 2 3 4 3 3 2" xfId="31231"/>
    <cellStyle name="Percent 3 2 3 4 3 4" xfId="17705"/>
    <cellStyle name="Percent 3 2 3 4 3 4 2" xfId="37383"/>
    <cellStyle name="Percent 3 2 3 4 3 5" xfId="25067"/>
    <cellStyle name="Percent 3 2 3 4 4" xfId="6891"/>
    <cellStyle name="Percent 3 2 3 4 4 2" xfId="13085"/>
    <cellStyle name="Percent 3 2 3 4 4 2 2" xfId="32763"/>
    <cellStyle name="Percent 3 2 3 4 4 3" xfId="19237"/>
    <cellStyle name="Percent 3 2 3 4 4 3 2" xfId="38915"/>
    <cellStyle name="Percent 3 2 3 4 4 4" xfId="26599"/>
    <cellStyle name="Percent 3 2 3 4 5" xfId="10019"/>
    <cellStyle name="Percent 3 2 3 4 5 2" xfId="29697"/>
    <cellStyle name="Percent 3 2 3 4 6" xfId="16171"/>
    <cellStyle name="Percent 3 2 3 4 6 2" xfId="35849"/>
    <cellStyle name="Percent 3 2 3 4 7" xfId="23516"/>
    <cellStyle name="Percent 3 2 3 5" xfId="3449"/>
    <cellStyle name="Percent 3 2 3 5 2" xfId="4485"/>
    <cellStyle name="Percent 3 2 3 5 2 2" xfId="6110"/>
    <cellStyle name="Percent 3 2 3 5 2 2 2" xfId="9196"/>
    <cellStyle name="Percent 3 2 3 5 2 2 2 2" xfId="15389"/>
    <cellStyle name="Percent 3 2 3 5 2 2 2 2 2" xfId="35067"/>
    <cellStyle name="Percent 3 2 3 5 2 2 2 3" xfId="21541"/>
    <cellStyle name="Percent 3 2 3 5 2 2 2 3 2" xfId="41219"/>
    <cellStyle name="Percent 3 2 3 5 2 2 2 4" xfId="28903"/>
    <cellStyle name="Percent 3 2 3 5 2 2 3" xfId="12323"/>
    <cellStyle name="Percent 3 2 3 5 2 2 3 2" xfId="32001"/>
    <cellStyle name="Percent 3 2 3 5 2 2 4" xfId="18475"/>
    <cellStyle name="Percent 3 2 3 5 2 2 4 2" xfId="38153"/>
    <cellStyle name="Percent 3 2 3 5 2 2 5" xfId="25837"/>
    <cellStyle name="Percent 3 2 3 5 2 3" xfId="7661"/>
    <cellStyle name="Percent 3 2 3 5 2 3 2" xfId="13855"/>
    <cellStyle name="Percent 3 2 3 5 2 3 2 2" xfId="33533"/>
    <cellStyle name="Percent 3 2 3 5 2 3 3" xfId="20007"/>
    <cellStyle name="Percent 3 2 3 5 2 3 3 2" xfId="39685"/>
    <cellStyle name="Percent 3 2 3 5 2 3 4" xfId="27369"/>
    <cellStyle name="Percent 3 2 3 5 2 4" xfId="10789"/>
    <cellStyle name="Percent 3 2 3 5 2 4 2" xfId="30467"/>
    <cellStyle name="Percent 3 2 3 5 2 5" xfId="16941"/>
    <cellStyle name="Percent 3 2 3 5 2 5 2" xfId="36619"/>
    <cellStyle name="Percent 3 2 3 5 2 6" xfId="24303"/>
    <cellStyle name="Percent 3 2 3 5 3" xfId="5337"/>
    <cellStyle name="Percent 3 2 3 5 3 2" xfId="8427"/>
    <cellStyle name="Percent 3 2 3 5 3 2 2" xfId="14620"/>
    <cellStyle name="Percent 3 2 3 5 3 2 2 2" xfId="34298"/>
    <cellStyle name="Percent 3 2 3 5 3 2 3" xfId="20772"/>
    <cellStyle name="Percent 3 2 3 5 3 2 3 2" xfId="40450"/>
    <cellStyle name="Percent 3 2 3 5 3 2 4" xfId="28134"/>
    <cellStyle name="Percent 3 2 3 5 3 3" xfId="11554"/>
    <cellStyle name="Percent 3 2 3 5 3 3 2" xfId="31232"/>
    <cellStyle name="Percent 3 2 3 5 3 4" xfId="17706"/>
    <cellStyle name="Percent 3 2 3 5 3 4 2" xfId="37384"/>
    <cellStyle name="Percent 3 2 3 5 3 5" xfId="25068"/>
    <cellStyle name="Percent 3 2 3 5 4" xfId="6892"/>
    <cellStyle name="Percent 3 2 3 5 4 2" xfId="13086"/>
    <cellStyle name="Percent 3 2 3 5 4 2 2" xfId="32764"/>
    <cellStyle name="Percent 3 2 3 5 4 3" xfId="19238"/>
    <cellStyle name="Percent 3 2 3 5 4 3 2" xfId="38916"/>
    <cellStyle name="Percent 3 2 3 5 4 4" xfId="26600"/>
    <cellStyle name="Percent 3 2 3 5 5" xfId="10020"/>
    <cellStyle name="Percent 3 2 3 5 5 2" xfId="29698"/>
    <cellStyle name="Percent 3 2 3 5 6" xfId="16172"/>
    <cellStyle name="Percent 3 2 3 5 6 2" xfId="35850"/>
    <cellStyle name="Percent 3 2 3 5 7" xfId="23517"/>
    <cellStyle name="Percent 3 2 3 6" xfId="4481"/>
    <cellStyle name="Percent 3 2 3 6 2" xfId="6106"/>
    <cellStyle name="Percent 3 2 3 6 2 2" xfId="9192"/>
    <cellStyle name="Percent 3 2 3 6 2 2 2" xfId="15385"/>
    <cellStyle name="Percent 3 2 3 6 2 2 2 2" xfId="35063"/>
    <cellStyle name="Percent 3 2 3 6 2 2 3" xfId="21537"/>
    <cellStyle name="Percent 3 2 3 6 2 2 3 2" xfId="41215"/>
    <cellStyle name="Percent 3 2 3 6 2 2 4" xfId="28899"/>
    <cellStyle name="Percent 3 2 3 6 2 3" xfId="12319"/>
    <cellStyle name="Percent 3 2 3 6 2 3 2" xfId="31997"/>
    <cellStyle name="Percent 3 2 3 6 2 4" xfId="18471"/>
    <cellStyle name="Percent 3 2 3 6 2 4 2" xfId="38149"/>
    <cellStyle name="Percent 3 2 3 6 2 5" xfId="25833"/>
    <cellStyle name="Percent 3 2 3 6 3" xfId="7657"/>
    <cellStyle name="Percent 3 2 3 6 3 2" xfId="13851"/>
    <cellStyle name="Percent 3 2 3 6 3 2 2" xfId="33529"/>
    <cellStyle name="Percent 3 2 3 6 3 3" xfId="20003"/>
    <cellStyle name="Percent 3 2 3 6 3 3 2" xfId="39681"/>
    <cellStyle name="Percent 3 2 3 6 3 4" xfId="27365"/>
    <cellStyle name="Percent 3 2 3 6 4" xfId="10785"/>
    <cellStyle name="Percent 3 2 3 6 4 2" xfId="30463"/>
    <cellStyle name="Percent 3 2 3 6 5" xfId="16937"/>
    <cellStyle name="Percent 3 2 3 6 5 2" xfId="36615"/>
    <cellStyle name="Percent 3 2 3 6 6" xfId="24299"/>
    <cellStyle name="Percent 3 2 3 7" xfId="5333"/>
    <cellStyle name="Percent 3 2 3 7 2" xfId="8423"/>
    <cellStyle name="Percent 3 2 3 7 2 2" xfId="14616"/>
    <cellStyle name="Percent 3 2 3 7 2 2 2" xfId="34294"/>
    <cellStyle name="Percent 3 2 3 7 2 3" xfId="20768"/>
    <cellStyle name="Percent 3 2 3 7 2 3 2" xfId="40446"/>
    <cellStyle name="Percent 3 2 3 7 2 4" xfId="28130"/>
    <cellStyle name="Percent 3 2 3 7 3" xfId="11550"/>
    <cellStyle name="Percent 3 2 3 7 3 2" xfId="31228"/>
    <cellStyle name="Percent 3 2 3 7 4" xfId="17702"/>
    <cellStyle name="Percent 3 2 3 7 4 2" xfId="37380"/>
    <cellStyle name="Percent 3 2 3 7 5" xfId="25064"/>
    <cellStyle name="Percent 3 2 3 8" xfId="6888"/>
    <cellStyle name="Percent 3 2 3 8 2" xfId="13082"/>
    <cellStyle name="Percent 3 2 3 8 2 2" xfId="32760"/>
    <cellStyle name="Percent 3 2 3 8 3" xfId="19234"/>
    <cellStyle name="Percent 3 2 3 8 3 2" xfId="38912"/>
    <cellStyle name="Percent 3 2 3 8 4" xfId="26596"/>
    <cellStyle name="Percent 3 2 3 9" xfId="10016"/>
    <cellStyle name="Percent 3 2 3 9 2" xfId="29694"/>
    <cellStyle name="Percent 3 2 4" xfId="3450"/>
    <cellStyle name="Percent 3 2 4 2" xfId="3451"/>
    <cellStyle name="Percent 3 2 4 2 2" xfId="4487"/>
    <cellStyle name="Percent 3 2 4 2 2 2" xfId="6112"/>
    <cellStyle name="Percent 3 2 4 2 2 2 2" xfId="9198"/>
    <cellStyle name="Percent 3 2 4 2 2 2 2 2" xfId="15391"/>
    <cellStyle name="Percent 3 2 4 2 2 2 2 2 2" xfId="35069"/>
    <cellStyle name="Percent 3 2 4 2 2 2 2 3" xfId="21543"/>
    <cellStyle name="Percent 3 2 4 2 2 2 2 3 2" xfId="41221"/>
    <cellStyle name="Percent 3 2 4 2 2 2 2 4" xfId="28905"/>
    <cellStyle name="Percent 3 2 4 2 2 2 3" xfId="12325"/>
    <cellStyle name="Percent 3 2 4 2 2 2 3 2" xfId="32003"/>
    <cellStyle name="Percent 3 2 4 2 2 2 4" xfId="18477"/>
    <cellStyle name="Percent 3 2 4 2 2 2 4 2" xfId="38155"/>
    <cellStyle name="Percent 3 2 4 2 2 2 5" xfId="25839"/>
    <cellStyle name="Percent 3 2 4 2 2 3" xfId="7663"/>
    <cellStyle name="Percent 3 2 4 2 2 3 2" xfId="13857"/>
    <cellStyle name="Percent 3 2 4 2 2 3 2 2" xfId="33535"/>
    <cellStyle name="Percent 3 2 4 2 2 3 3" xfId="20009"/>
    <cellStyle name="Percent 3 2 4 2 2 3 3 2" xfId="39687"/>
    <cellStyle name="Percent 3 2 4 2 2 3 4" xfId="27371"/>
    <cellStyle name="Percent 3 2 4 2 2 4" xfId="10791"/>
    <cellStyle name="Percent 3 2 4 2 2 4 2" xfId="30469"/>
    <cellStyle name="Percent 3 2 4 2 2 5" xfId="16943"/>
    <cellStyle name="Percent 3 2 4 2 2 5 2" xfId="36621"/>
    <cellStyle name="Percent 3 2 4 2 2 6" xfId="24305"/>
    <cellStyle name="Percent 3 2 4 2 3" xfId="5339"/>
    <cellStyle name="Percent 3 2 4 2 3 2" xfId="8429"/>
    <cellStyle name="Percent 3 2 4 2 3 2 2" xfId="14622"/>
    <cellStyle name="Percent 3 2 4 2 3 2 2 2" xfId="34300"/>
    <cellStyle name="Percent 3 2 4 2 3 2 3" xfId="20774"/>
    <cellStyle name="Percent 3 2 4 2 3 2 3 2" xfId="40452"/>
    <cellStyle name="Percent 3 2 4 2 3 2 4" xfId="28136"/>
    <cellStyle name="Percent 3 2 4 2 3 3" xfId="11556"/>
    <cellStyle name="Percent 3 2 4 2 3 3 2" xfId="31234"/>
    <cellStyle name="Percent 3 2 4 2 3 4" xfId="17708"/>
    <cellStyle name="Percent 3 2 4 2 3 4 2" xfId="37386"/>
    <cellStyle name="Percent 3 2 4 2 3 5" xfId="25070"/>
    <cellStyle name="Percent 3 2 4 2 4" xfId="6894"/>
    <cellStyle name="Percent 3 2 4 2 4 2" xfId="13088"/>
    <cellStyle name="Percent 3 2 4 2 4 2 2" xfId="32766"/>
    <cellStyle name="Percent 3 2 4 2 4 3" xfId="19240"/>
    <cellStyle name="Percent 3 2 4 2 4 3 2" xfId="38918"/>
    <cellStyle name="Percent 3 2 4 2 4 4" xfId="26602"/>
    <cellStyle name="Percent 3 2 4 2 5" xfId="10022"/>
    <cellStyle name="Percent 3 2 4 2 5 2" xfId="29700"/>
    <cellStyle name="Percent 3 2 4 2 6" xfId="16174"/>
    <cellStyle name="Percent 3 2 4 2 6 2" xfId="35852"/>
    <cellStyle name="Percent 3 2 4 2 7" xfId="23519"/>
    <cellStyle name="Percent 3 2 4 3" xfId="4486"/>
    <cellStyle name="Percent 3 2 4 3 2" xfId="6111"/>
    <cellStyle name="Percent 3 2 4 3 2 2" xfId="9197"/>
    <cellStyle name="Percent 3 2 4 3 2 2 2" xfId="15390"/>
    <cellStyle name="Percent 3 2 4 3 2 2 2 2" xfId="35068"/>
    <cellStyle name="Percent 3 2 4 3 2 2 3" xfId="21542"/>
    <cellStyle name="Percent 3 2 4 3 2 2 3 2" xfId="41220"/>
    <cellStyle name="Percent 3 2 4 3 2 2 4" xfId="28904"/>
    <cellStyle name="Percent 3 2 4 3 2 3" xfId="12324"/>
    <cellStyle name="Percent 3 2 4 3 2 3 2" xfId="32002"/>
    <cellStyle name="Percent 3 2 4 3 2 4" xfId="18476"/>
    <cellStyle name="Percent 3 2 4 3 2 4 2" xfId="38154"/>
    <cellStyle name="Percent 3 2 4 3 2 5" xfId="25838"/>
    <cellStyle name="Percent 3 2 4 3 3" xfId="7662"/>
    <cellStyle name="Percent 3 2 4 3 3 2" xfId="13856"/>
    <cellStyle name="Percent 3 2 4 3 3 2 2" xfId="33534"/>
    <cellStyle name="Percent 3 2 4 3 3 3" xfId="20008"/>
    <cellStyle name="Percent 3 2 4 3 3 3 2" xfId="39686"/>
    <cellStyle name="Percent 3 2 4 3 3 4" xfId="27370"/>
    <cellStyle name="Percent 3 2 4 3 4" xfId="10790"/>
    <cellStyle name="Percent 3 2 4 3 4 2" xfId="30468"/>
    <cellStyle name="Percent 3 2 4 3 5" xfId="16942"/>
    <cellStyle name="Percent 3 2 4 3 5 2" xfId="36620"/>
    <cellStyle name="Percent 3 2 4 3 6" xfId="24304"/>
    <cellStyle name="Percent 3 2 4 4" xfId="5338"/>
    <cellStyle name="Percent 3 2 4 4 2" xfId="8428"/>
    <cellStyle name="Percent 3 2 4 4 2 2" xfId="14621"/>
    <cellStyle name="Percent 3 2 4 4 2 2 2" xfId="34299"/>
    <cellStyle name="Percent 3 2 4 4 2 3" xfId="20773"/>
    <cellStyle name="Percent 3 2 4 4 2 3 2" xfId="40451"/>
    <cellStyle name="Percent 3 2 4 4 2 4" xfId="28135"/>
    <cellStyle name="Percent 3 2 4 4 3" xfId="11555"/>
    <cellStyle name="Percent 3 2 4 4 3 2" xfId="31233"/>
    <cellStyle name="Percent 3 2 4 4 4" xfId="17707"/>
    <cellStyle name="Percent 3 2 4 4 4 2" xfId="37385"/>
    <cellStyle name="Percent 3 2 4 4 5" xfId="25069"/>
    <cellStyle name="Percent 3 2 4 5" xfId="6893"/>
    <cellStyle name="Percent 3 2 4 5 2" xfId="13087"/>
    <cellStyle name="Percent 3 2 4 5 2 2" xfId="32765"/>
    <cellStyle name="Percent 3 2 4 5 3" xfId="19239"/>
    <cellStyle name="Percent 3 2 4 5 3 2" xfId="38917"/>
    <cellStyle name="Percent 3 2 4 5 4" xfId="26601"/>
    <cellStyle name="Percent 3 2 4 6" xfId="10021"/>
    <cellStyle name="Percent 3 2 4 6 2" xfId="29699"/>
    <cellStyle name="Percent 3 2 4 7" xfId="16173"/>
    <cellStyle name="Percent 3 2 4 7 2" xfId="35851"/>
    <cellStyle name="Percent 3 2 4 8" xfId="23518"/>
    <cellStyle name="Percent 3 2 5" xfId="3452"/>
    <cellStyle name="Percent 3 2 5 2" xfId="3453"/>
    <cellStyle name="Percent 3 2 5 2 2" xfId="4489"/>
    <cellStyle name="Percent 3 2 5 2 2 2" xfId="6114"/>
    <cellStyle name="Percent 3 2 5 2 2 2 2" xfId="9200"/>
    <cellStyle name="Percent 3 2 5 2 2 2 2 2" xfId="15393"/>
    <cellStyle name="Percent 3 2 5 2 2 2 2 2 2" xfId="35071"/>
    <cellStyle name="Percent 3 2 5 2 2 2 2 3" xfId="21545"/>
    <cellStyle name="Percent 3 2 5 2 2 2 2 3 2" xfId="41223"/>
    <cellStyle name="Percent 3 2 5 2 2 2 2 4" xfId="28907"/>
    <cellStyle name="Percent 3 2 5 2 2 2 3" xfId="12327"/>
    <cellStyle name="Percent 3 2 5 2 2 2 3 2" xfId="32005"/>
    <cellStyle name="Percent 3 2 5 2 2 2 4" xfId="18479"/>
    <cellStyle name="Percent 3 2 5 2 2 2 4 2" xfId="38157"/>
    <cellStyle name="Percent 3 2 5 2 2 2 5" xfId="25841"/>
    <cellStyle name="Percent 3 2 5 2 2 3" xfId="7665"/>
    <cellStyle name="Percent 3 2 5 2 2 3 2" xfId="13859"/>
    <cellStyle name="Percent 3 2 5 2 2 3 2 2" xfId="33537"/>
    <cellStyle name="Percent 3 2 5 2 2 3 3" xfId="20011"/>
    <cellStyle name="Percent 3 2 5 2 2 3 3 2" xfId="39689"/>
    <cellStyle name="Percent 3 2 5 2 2 3 4" xfId="27373"/>
    <cellStyle name="Percent 3 2 5 2 2 4" xfId="10793"/>
    <cellStyle name="Percent 3 2 5 2 2 4 2" xfId="30471"/>
    <cellStyle name="Percent 3 2 5 2 2 5" xfId="16945"/>
    <cellStyle name="Percent 3 2 5 2 2 5 2" xfId="36623"/>
    <cellStyle name="Percent 3 2 5 2 2 6" xfId="24307"/>
    <cellStyle name="Percent 3 2 5 2 3" xfId="5341"/>
    <cellStyle name="Percent 3 2 5 2 3 2" xfId="8431"/>
    <cellStyle name="Percent 3 2 5 2 3 2 2" xfId="14624"/>
    <cellStyle name="Percent 3 2 5 2 3 2 2 2" xfId="34302"/>
    <cellStyle name="Percent 3 2 5 2 3 2 3" xfId="20776"/>
    <cellStyle name="Percent 3 2 5 2 3 2 3 2" xfId="40454"/>
    <cellStyle name="Percent 3 2 5 2 3 2 4" xfId="28138"/>
    <cellStyle name="Percent 3 2 5 2 3 3" xfId="11558"/>
    <cellStyle name="Percent 3 2 5 2 3 3 2" xfId="31236"/>
    <cellStyle name="Percent 3 2 5 2 3 4" xfId="17710"/>
    <cellStyle name="Percent 3 2 5 2 3 4 2" xfId="37388"/>
    <cellStyle name="Percent 3 2 5 2 3 5" xfId="25072"/>
    <cellStyle name="Percent 3 2 5 2 4" xfId="6896"/>
    <cellStyle name="Percent 3 2 5 2 4 2" xfId="13090"/>
    <cellStyle name="Percent 3 2 5 2 4 2 2" xfId="32768"/>
    <cellStyle name="Percent 3 2 5 2 4 3" xfId="19242"/>
    <cellStyle name="Percent 3 2 5 2 4 3 2" xfId="38920"/>
    <cellStyle name="Percent 3 2 5 2 4 4" xfId="26604"/>
    <cellStyle name="Percent 3 2 5 2 5" xfId="10024"/>
    <cellStyle name="Percent 3 2 5 2 5 2" xfId="29702"/>
    <cellStyle name="Percent 3 2 5 2 6" xfId="16176"/>
    <cellStyle name="Percent 3 2 5 2 6 2" xfId="35854"/>
    <cellStyle name="Percent 3 2 5 2 7" xfId="23521"/>
    <cellStyle name="Percent 3 2 5 3" xfId="4488"/>
    <cellStyle name="Percent 3 2 5 3 2" xfId="6113"/>
    <cellStyle name="Percent 3 2 5 3 2 2" xfId="9199"/>
    <cellStyle name="Percent 3 2 5 3 2 2 2" xfId="15392"/>
    <cellStyle name="Percent 3 2 5 3 2 2 2 2" xfId="35070"/>
    <cellStyle name="Percent 3 2 5 3 2 2 3" xfId="21544"/>
    <cellStyle name="Percent 3 2 5 3 2 2 3 2" xfId="41222"/>
    <cellStyle name="Percent 3 2 5 3 2 2 4" xfId="28906"/>
    <cellStyle name="Percent 3 2 5 3 2 3" xfId="12326"/>
    <cellStyle name="Percent 3 2 5 3 2 3 2" xfId="32004"/>
    <cellStyle name="Percent 3 2 5 3 2 4" xfId="18478"/>
    <cellStyle name="Percent 3 2 5 3 2 4 2" xfId="38156"/>
    <cellStyle name="Percent 3 2 5 3 2 5" xfId="25840"/>
    <cellStyle name="Percent 3 2 5 3 3" xfId="7664"/>
    <cellStyle name="Percent 3 2 5 3 3 2" xfId="13858"/>
    <cellStyle name="Percent 3 2 5 3 3 2 2" xfId="33536"/>
    <cellStyle name="Percent 3 2 5 3 3 3" xfId="20010"/>
    <cellStyle name="Percent 3 2 5 3 3 3 2" xfId="39688"/>
    <cellStyle name="Percent 3 2 5 3 3 4" xfId="27372"/>
    <cellStyle name="Percent 3 2 5 3 4" xfId="10792"/>
    <cellStyle name="Percent 3 2 5 3 4 2" xfId="30470"/>
    <cellStyle name="Percent 3 2 5 3 5" xfId="16944"/>
    <cellStyle name="Percent 3 2 5 3 5 2" xfId="36622"/>
    <cellStyle name="Percent 3 2 5 3 6" xfId="24306"/>
    <cellStyle name="Percent 3 2 5 4" xfId="5340"/>
    <cellStyle name="Percent 3 2 5 4 2" xfId="8430"/>
    <cellStyle name="Percent 3 2 5 4 2 2" xfId="14623"/>
    <cellStyle name="Percent 3 2 5 4 2 2 2" xfId="34301"/>
    <cellStyle name="Percent 3 2 5 4 2 3" xfId="20775"/>
    <cellStyle name="Percent 3 2 5 4 2 3 2" xfId="40453"/>
    <cellStyle name="Percent 3 2 5 4 2 4" xfId="28137"/>
    <cellStyle name="Percent 3 2 5 4 3" xfId="11557"/>
    <cellStyle name="Percent 3 2 5 4 3 2" xfId="31235"/>
    <cellStyle name="Percent 3 2 5 4 4" xfId="17709"/>
    <cellStyle name="Percent 3 2 5 4 4 2" xfId="37387"/>
    <cellStyle name="Percent 3 2 5 4 5" xfId="25071"/>
    <cellStyle name="Percent 3 2 5 5" xfId="6895"/>
    <cellStyle name="Percent 3 2 5 5 2" xfId="13089"/>
    <cellStyle name="Percent 3 2 5 5 2 2" xfId="32767"/>
    <cellStyle name="Percent 3 2 5 5 3" xfId="19241"/>
    <cellStyle name="Percent 3 2 5 5 3 2" xfId="38919"/>
    <cellStyle name="Percent 3 2 5 5 4" xfId="26603"/>
    <cellStyle name="Percent 3 2 5 6" xfId="10023"/>
    <cellStyle name="Percent 3 2 5 6 2" xfId="29701"/>
    <cellStyle name="Percent 3 2 5 7" xfId="16175"/>
    <cellStyle name="Percent 3 2 5 7 2" xfId="35853"/>
    <cellStyle name="Percent 3 2 5 8" xfId="23520"/>
    <cellStyle name="Percent 3 2 6" xfId="3454"/>
    <cellStyle name="Percent 3 2 6 2" xfId="3455"/>
    <cellStyle name="Percent 3 2 6 2 2" xfId="4491"/>
    <cellStyle name="Percent 3 2 6 2 2 2" xfId="6116"/>
    <cellStyle name="Percent 3 2 6 2 2 2 2" xfId="9202"/>
    <cellStyle name="Percent 3 2 6 2 2 2 2 2" xfId="15395"/>
    <cellStyle name="Percent 3 2 6 2 2 2 2 2 2" xfId="35073"/>
    <cellStyle name="Percent 3 2 6 2 2 2 2 3" xfId="21547"/>
    <cellStyle name="Percent 3 2 6 2 2 2 2 3 2" xfId="41225"/>
    <cellStyle name="Percent 3 2 6 2 2 2 2 4" xfId="28909"/>
    <cellStyle name="Percent 3 2 6 2 2 2 3" xfId="12329"/>
    <cellStyle name="Percent 3 2 6 2 2 2 3 2" xfId="32007"/>
    <cellStyle name="Percent 3 2 6 2 2 2 4" xfId="18481"/>
    <cellStyle name="Percent 3 2 6 2 2 2 4 2" xfId="38159"/>
    <cellStyle name="Percent 3 2 6 2 2 2 5" xfId="25843"/>
    <cellStyle name="Percent 3 2 6 2 2 3" xfId="7667"/>
    <cellStyle name="Percent 3 2 6 2 2 3 2" xfId="13861"/>
    <cellStyle name="Percent 3 2 6 2 2 3 2 2" xfId="33539"/>
    <cellStyle name="Percent 3 2 6 2 2 3 3" xfId="20013"/>
    <cellStyle name="Percent 3 2 6 2 2 3 3 2" xfId="39691"/>
    <cellStyle name="Percent 3 2 6 2 2 3 4" xfId="27375"/>
    <cellStyle name="Percent 3 2 6 2 2 4" xfId="10795"/>
    <cellStyle name="Percent 3 2 6 2 2 4 2" xfId="30473"/>
    <cellStyle name="Percent 3 2 6 2 2 5" xfId="16947"/>
    <cellStyle name="Percent 3 2 6 2 2 5 2" xfId="36625"/>
    <cellStyle name="Percent 3 2 6 2 2 6" xfId="24309"/>
    <cellStyle name="Percent 3 2 6 2 3" xfId="5343"/>
    <cellStyle name="Percent 3 2 6 2 3 2" xfId="8433"/>
    <cellStyle name="Percent 3 2 6 2 3 2 2" xfId="14626"/>
    <cellStyle name="Percent 3 2 6 2 3 2 2 2" xfId="34304"/>
    <cellStyle name="Percent 3 2 6 2 3 2 3" xfId="20778"/>
    <cellStyle name="Percent 3 2 6 2 3 2 3 2" xfId="40456"/>
    <cellStyle name="Percent 3 2 6 2 3 2 4" xfId="28140"/>
    <cellStyle name="Percent 3 2 6 2 3 3" xfId="11560"/>
    <cellStyle name="Percent 3 2 6 2 3 3 2" xfId="31238"/>
    <cellStyle name="Percent 3 2 6 2 3 4" xfId="17712"/>
    <cellStyle name="Percent 3 2 6 2 3 4 2" xfId="37390"/>
    <cellStyle name="Percent 3 2 6 2 3 5" xfId="25074"/>
    <cellStyle name="Percent 3 2 6 2 4" xfId="6898"/>
    <cellStyle name="Percent 3 2 6 2 4 2" xfId="13092"/>
    <cellStyle name="Percent 3 2 6 2 4 2 2" xfId="32770"/>
    <cellStyle name="Percent 3 2 6 2 4 3" xfId="19244"/>
    <cellStyle name="Percent 3 2 6 2 4 3 2" xfId="38922"/>
    <cellStyle name="Percent 3 2 6 2 4 4" xfId="26606"/>
    <cellStyle name="Percent 3 2 6 2 5" xfId="10026"/>
    <cellStyle name="Percent 3 2 6 2 5 2" xfId="29704"/>
    <cellStyle name="Percent 3 2 6 2 6" xfId="16178"/>
    <cellStyle name="Percent 3 2 6 2 6 2" xfId="35856"/>
    <cellStyle name="Percent 3 2 6 2 7" xfId="23523"/>
    <cellStyle name="Percent 3 2 6 3" xfId="4490"/>
    <cellStyle name="Percent 3 2 6 3 2" xfId="6115"/>
    <cellStyle name="Percent 3 2 6 3 2 2" xfId="9201"/>
    <cellStyle name="Percent 3 2 6 3 2 2 2" xfId="15394"/>
    <cellStyle name="Percent 3 2 6 3 2 2 2 2" xfId="35072"/>
    <cellStyle name="Percent 3 2 6 3 2 2 3" xfId="21546"/>
    <cellStyle name="Percent 3 2 6 3 2 2 3 2" xfId="41224"/>
    <cellStyle name="Percent 3 2 6 3 2 2 4" xfId="28908"/>
    <cellStyle name="Percent 3 2 6 3 2 3" xfId="12328"/>
    <cellStyle name="Percent 3 2 6 3 2 3 2" xfId="32006"/>
    <cellStyle name="Percent 3 2 6 3 2 4" xfId="18480"/>
    <cellStyle name="Percent 3 2 6 3 2 4 2" xfId="38158"/>
    <cellStyle name="Percent 3 2 6 3 2 5" xfId="25842"/>
    <cellStyle name="Percent 3 2 6 3 3" xfId="7666"/>
    <cellStyle name="Percent 3 2 6 3 3 2" xfId="13860"/>
    <cellStyle name="Percent 3 2 6 3 3 2 2" xfId="33538"/>
    <cellStyle name="Percent 3 2 6 3 3 3" xfId="20012"/>
    <cellStyle name="Percent 3 2 6 3 3 3 2" xfId="39690"/>
    <cellStyle name="Percent 3 2 6 3 3 4" xfId="27374"/>
    <cellStyle name="Percent 3 2 6 3 4" xfId="10794"/>
    <cellStyle name="Percent 3 2 6 3 4 2" xfId="30472"/>
    <cellStyle name="Percent 3 2 6 3 5" xfId="16946"/>
    <cellStyle name="Percent 3 2 6 3 5 2" xfId="36624"/>
    <cellStyle name="Percent 3 2 6 3 6" xfId="24308"/>
    <cellStyle name="Percent 3 2 6 4" xfId="5342"/>
    <cellStyle name="Percent 3 2 6 4 2" xfId="8432"/>
    <cellStyle name="Percent 3 2 6 4 2 2" xfId="14625"/>
    <cellStyle name="Percent 3 2 6 4 2 2 2" xfId="34303"/>
    <cellStyle name="Percent 3 2 6 4 2 3" xfId="20777"/>
    <cellStyle name="Percent 3 2 6 4 2 3 2" xfId="40455"/>
    <cellStyle name="Percent 3 2 6 4 2 4" xfId="28139"/>
    <cellStyle name="Percent 3 2 6 4 3" xfId="11559"/>
    <cellStyle name="Percent 3 2 6 4 3 2" xfId="31237"/>
    <cellStyle name="Percent 3 2 6 4 4" xfId="17711"/>
    <cellStyle name="Percent 3 2 6 4 4 2" xfId="37389"/>
    <cellStyle name="Percent 3 2 6 4 5" xfId="25073"/>
    <cellStyle name="Percent 3 2 6 5" xfId="6897"/>
    <cellStyle name="Percent 3 2 6 5 2" xfId="13091"/>
    <cellStyle name="Percent 3 2 6 5 2 2" xfId="32769"/>
    <cellStyle name="Percent 3 2 6 5 3" xfId="19243"/>
    <cellStyle name="Percent 3 2 6 5 3 2" xfId="38921"/>
    <cellStyle name="Percent 3 2 6 5 4" xfId="26605"/>
    <cellStyle name="Percent 3 2 6 6" xfId="10025"/>
    <cellStyle name="Percent 3 2 6 6 2" xfId="29703"/>
    <cellStyle name="Percent 3 2 6 7" xfId="16177"/>
    <cellStyle name="Percent 3 2 6 7 2" xfId="35855"/>
    <cellStyle name="Percent 3 2 6 8" xfId="23522"/>
    <cellStyle name="Percent 3 2 7" xfId="3456"/>
    <cellStyle name="Percent 3 2 7 2" xfId="4492"/>
    <cellStyle name="Percent 3 2 7 2 2" xfId="6117"/>
    <cellStyle name="Percent 3 2 7 2 2 2" xfId="9203"/>
    <cellStyle name="Percent 3 2 7 2 2 2 2" xfId="15396"/>
    <cellStyle name="Percent 3 2 7 2 2 2 2 2" xfId="35074"/>
    <cellStyle name="Percent 3 2 7 2 2 2 3" xfId="21548"/>
    <cellStyle name="Percent 3 2 7 2 2 2 3 2" xfId="41226"/>
    <cellStyle name="Percent 3 2 7 2 2 2 4" xfId="28910"/>
    <cellStyle name="Percent 3 2 7 2 2 3" xfId="12330"/>
    <cellStyle name="Percent 3 2 7 2 2 3 2" xfId="32008"/>
    <cellStyle name="Percent 3 2 7 2 2 4" xfId="18482"/>
    <cellStyle name="Percent 3 2 7 2 2 4 2" xfId="38160"/>
    <cellStyle name="Percent 3 2 7 2 2 5" xfId="25844"/>
    <cellStyle name="Percent 3 2 7 2 3" xfId="7668"/>
    <cellStyle name="Percent 3 2 7 2 3 2" xfId="13862"/>
    <cellStyle name="Percent 3 2 7 2 3 2 2" xfId="33540"/>
    <cellStyle name="Percent 3 2 7 2 3 3" xfId="20014"/>
    <cellStyle name="Percent 3 2 7 2 3 3 2" xfId="39692"/>
    <cellStyle name="Percent 3 2 7 2 3 4" xfId="27376"/>
    <cellStyle name="Percent 3 2 7 2 4" xfId="10796"/>
    <cellStyle name="Percent 3 2 7 2 4 2" xfId="30474"/>
    <cellStyle name="Percent 3 2 7 2 5" xfId="16948"/>
    <cellStyle name="Percent 3 2 7 2 5 2" xfId="36626"/>
    <cellStyle name="Percent 3 2 7 2 6" xfId="24310"/>
    <cellStyle name="Percent 3 2 7 3" xfId="5344"/>
    <cellStyle name="Percent 3 2 7 3 2" xfId="8434"/>
    <cellStyle name="Percent 3 2 7 3 2 2" xfId="14627"/>
    <cellStyle name="Percent 3 2 7 3 2 2 2" xfId="34305"/>
    <cellStyle name="Percent 3 2 7 3 2 3" xfId="20779"/>
    <cellStyle name="Percent 3 2 7 3 2 3 2" xfId="40457"/>
    <cellStyle name="Percent 3 2 7 3 2 4" xfId="28141"/>
    <cellStyle name="Percent 3 2 7 3 3" xfId="11561"/>
    <cellStyle name="Percent 3 2 7 3 3 2" xfId="31239"/>
    <cellStyle name="Percent 3 2 7 3 4" xfId="17713"/>
    <cellStyle name="Percent 3 2 7 3 4 2" xfId="37391"/>
    <cellStyle name="Percent 3 2 7 3 5" xfId="25075"/>
    <cellStyle name="Percent 3 2 7 4" xfId="6899"/>
    <cellStyle name="Percent 3 2 7 4 2" xfId="13093"/>
    <cellStyle name="Percent 3 2 7 4 2 2" xfId="32771"/>
    <cellStyle name="Percent 3 2 7 4 3" xfId="19245"/>
    <cellStyle name="Percent 3 2 7 4 3 2" xfId="38923"/>
    <cellStyle name="Percent 3 2 7 4 4" xfId="26607"/>
    <cellStyle name="Percent 3 2 7 5" xfId="10027"/>
    <cellStyle name="Percent 3 2 7 5 2" xfId="29705"/>
    <cellStyle name="Percent 3 2 7 6" xfId="16179"/>
    <cellStyle name="Percent 3 2 7 6 2" xfId="35857"/>
    <cellStyle name="Percent 3 2 7 7" xfId="23524"/>
    <cellStyle name="Percent 3 2 8" xfId="3457"/>
    <cellStyle name="Percent 3 2 8 2" xfId="4493"/>
    <cellStyle name="Percent 3 2 8 2 2" xfId="6118"/>
    <cellStyle name="Percent 3 2 8 2 2 2" xfId="9204"/>
    <cellStyle name="Percent 3 2 8 2 2 2 2" xfId="15397"/>
    <cellStyle name="Percent 3 2 8 2 2 2 2 2" xfId="35075"/>
    <cellStyle name="Percent 3 2 8 2 2 2 3" xfId="21549"/>
    <cellStyle name="Percent 3 2 8 2 2 2 3 2" xfId="41227"/>
    <cellStyle name="Percent 3 2 8 2 2 2 4" xfId="28911"/>
    <cellStyle name="Percent 3 2 8 2 2 3" xfId="12331"/>
    <cellStyle name="Percent 3 2 8 2 2 3 2" xfId="32009"/>
    <cellStyle name="Percent 3 2 8 2 2 4" xfId="18483"/>
    <cellStyle name="Percent 3 2 8 2 2 4 2" xfId="38161"/>
    <cellStyle name="Percent 3 2 8 2 2 5" xfId="25845"/>
    <cellStyle name="Percent 3 2 8 2 3" xfId="7669"/>
    <cellStyle name="Percent 3 2 8 2 3 2" xfId="13863"/>
    <cellStyle name="Percent 3 2 8 2 3 2 2" xfId="33541"/>
    <cellStyle name="Percent 3 2 8 2 3 3" xfId="20015"/>
    <cellStyle name="Percent 3 2 8 2 3 3 2" xfId="39693"/>
    <cellStyle name="Percent 3 2 8 2 3 4" xfId="27377"/>
    <cellStyle name="Percent 3 2 8 2 4" xfId="10797"/>
    <cellStyle name="Percent 3 2 8 2 4 2" xfId="30475"/>
    <cellStyle name="Percent 3 2 8 2 5" xfId="16949"/>
    <cellStyle name="Percent 3 2 8 2 5 2" xfId="36627"/>
    <cellStyle name="Percent 3 2 8 2 6" xfId="24311"/>
    <cellStyle name="Percent 3 2 8 3" xfId="5345"/>
    <cellStyle name="Percent 3 2 8 3 2" xfId="8435"/>
    <cellStyle name="Percent 3 2 8 3 2 2" xfId="14628"/>
    <cellStyle name="Percent 3 2 8 3 2 2 2" xfId="34306"/>
    <cellStyle name="Percent 3 2 8 3 2 3" xfId="20780"/>
    <cellStyle name="Percent 3 2 8 3 2 3 2" xfId="40458"/>
    <cellStyle name="Percent 3 2 8 3 2 4" xfId="28142"/>
    <cellStyle name="Percent 3 2 8 3 3" xfId="11562"/>
    <cellStyle name="Percent 3 2 8 3 3 2" xfId="31240"/>
    <cellStyle name="Percent 3 2 8 3 4" xfId="17714"/>
    <cellStyle name="Percent 3 2 8 3 4 2" xfId="37392"/>
    <cellStyle name="Percent 3 2 8 3 5" xfId="25076"/>
    <cellStyle name="Percent 3 2 8 4" xfId="6900"/>
    <cellStyle name="Percent 3 2 8 4 2" xfId="13094"/>
    <cellStyle name="Percent 3 2 8 4 2 2" xfId="32772"/>
    <cellStyle name="Percent 3 2 8 4 3" xfId="19246"/>
    <cellStyle name="Percent 3 2 8 4 3 2" xfId="38924"/>
    <cellStyle name="Percent 3 2 8 4 4" xfId="26608"/>
    <cellStyle name="Percent 3 2 8 5" xfId="10028"/>
    <cellStyle name="Percent 3 2 8 5 2" xfId="29706"/>
    <cellStyle name="Percent 3 2 8 6" xfId="16180"/>
    <cellStyle name="Percent 3 2 8 6 2" xfId="35858"/>
    <cellStyle name="Percent 3 2 8 7" xfId="23525"/>
    <cellStyle name="Percent 3 2 9" xfId="3458"/>
    <cellStyle name="Percent 3 2 9 2" xfId="4494"/>
    <cellStyle name="Percent 3 2 9 2 2" xfId="6119"/>
    <cellStyle name="Percent 3 2 9 2 2 2" xfId="9205"/>
    <cellStyle name="Percent 3 2 9 2 2 2 2" xfId="15398"/>
    <cellStyle name="Percent 3 2 9 2 2 2 2 2" xfId="35076"/>
    <cellStyle name="Percent 3 2 9 2 2 2 3" xfId="21550"/>
    <cellStyle name="Percent 3 2 9 2 2 2 3 2" xfId="41228"/>
    <cellStyle name="Percent 3 2 9 2 2 2 4" xfId="28912"/>
    <cellStyle name="Percent 3 2 9 2 2 3" xfId="12332"/>
    <cellStyle name="Percent 3 2 9 2 2 3 2" xfId="32010"/>
    <cellStyle name="Percent 3 2 9 2 2 4" xfId="18484"/>
    <cellStyle name="Percent 3 2 9 2 2 4 2" xfId="38162"/>
    <cellStyle name="Percent 3 2 9 2 2 5" xfId="25846"/>
    <cellStyle name="Percent 3 2 9 2 3" xfId="7670"/>
    <cellStyle name="Percent 3 2 9 2 3 2" xfId="13864"/>
    <cellStyle name="Percent 3 2 9 2 3 2 2" xfId="33542"/>
    <cellStyle name="Percent 3 2 9 2 3 3" xfId="20016"/>
    <cellStyle name="Percent 3 2 9 2 3 3 2" xfId="39694"/>
    <cellStyle name="Percent 3 2 9 2 3 4" xfId="27378"/>
    <cellStyle name="Percent 3 2 9 2 4" xfId="10798"/>
    <cellStyle name="Percent 3 2 9 2 4 2" xfId="30476"/>
    <cellStyle name="Percent 3 2 9 2 5" xfId="16950"/>
    <cellStyle name="Percent 3 2 9 2 5 2" xfId="36628"/>
    <cellStyle name="Percent 3 2 9 2 6" xfId="24312"/>
    <cellStyle name="Percent 3 2 9 3" xfId="5346"/>
    <cellStyle name="Percent 3 2 9 3 2" xfId="8436"/>
    <cellStyle name="Percent 3 2 9 3 2 2" xfId="14629"/>
    <cellStyle name="Percent 3 2 9 3 2 2 2" xfId="34307"/>
    <cellStyle name="Percent 3 2 9 3 2 3" xfId="20781"/>
    <cellStyle name="Percent 3 2 9 3 2 3 2" xfId="40459"/>
    <cellStyle name="Percent 3 2 9 3 2 4" xfId="28143"/>
    <cellStyle name="Percent 3 2 9 3 3" xfId="11563"/>
    <cellStyle name="Percent 3 2 9 3 3 2" xfId="31241"/>
    <cellStyle name="Percent 3 2 9 3 4" xfId="17715"/>
    <cellStyle name="Percent 3 2 9 3 4 2" xfId="37393"/>
    <cellStyle name="Percent 3 2 9 3 5" xfId="25077"/>
    <cellStyle name="Percent 3 2 9 4" xfId="6901"/>
    <cellStyle name="Percent 3 2 9 4 2" xfId="13095"/>
    <cellStyle name="Percent 3 2 9 4 2 2" xfId="32773"/>
    <cellStyle name="Percent 3 2 9 4 3" xfId="19247"/>
    <cellStyle name="Percent 3 2 9 4 3 2" xfId="38925"/>
    <cellStyle name="Percent 3 2 9 4 4" xfId="26609"/>
    <cellStyle name="Percent 3 2 9 5" xfId="10029"/>
    <cellStyle name="Percent 3 2 9 5 2" xfId="29707"/>
    <cellStyle name="Percent 3 2 9 6" xfId="16181"/>
    <cellStyle name="Percent 3 2 9 6 2" xfId="35859"/>
    <cellStyle name="Percent 3 2 9 7" xfId="23526"/>
    <cellStyle name="Percent 3 20" xfId="3459"/>
    <cellStyle name="Percent 3 20 2" xfId="4495"/>
    <cellStyle name="Percent 3 20 2 2" xfId="6120"/>
    <cellStyle name="Percent 3 20 2 2 2" xfId="9206"/>
    <cellStyle name="Percent 3 20 2 2 2 2" xfId="15399"/>
    <cellStyle name="Percent 3 20 2 2 2 2 2" xfId="35077"/>
    <cellStyle name="Percent 3 20 2 2 2 3" xfId="21551"/>
    <cellStyle name="Percent 3 20 2 2 2 3 2" xfId="41229"/>
    <cellStyle name="Percent 3 20 2 2 2 4" xfId="28913"/>
    <cellStyle name="Percent 3 20 2 2 3" xfId="12333"/>
    <cellStyle name="Percent 3 20 2 2 3 2" xfId="32011"/>
    <cellStyle name="Percent 3 20 2 2 4" xfId="18485"/>
    <cellStyle name="Percent 3 20 2 2 4 2" xfId="38163"/>
    <cellStyle name="Percent 3 20 2 2 5" xfId="25847"/>
    <cellStyle name="Percent 3 20 2 3" xfId="7671"/>
    <cellStyle name="Percent 3 20 2 3 2" xfId="13865"/>
    <cellStyle name="Percent 3 20 2 3 2 2" xfId="33543"/>
    <cellStyle name="Percent 3 20 2 3 3" xfId="20017"/>
    <cellStyle name="Percent 3 20 2 3 3 2" xfId="39695"/>
    <cellStyle name="Percent 3 20 2 3 4" xfId="27379"/>
    <cellStyle name="Percent 3 20 2 4" xfId="10799"/>
    <cellStyle name="Percent 3 20 2 4 2" xfId="30477"/>
    <cellStyle name="Percent 3 20 2 5" xfId="16951"/>
    <cellStyle name="Percent 3 20 2 5 2" xfId="36629"/>
    <cellStyle name="Percent 3 20 2 6" xfId="24313"/>
    <cellStyle name="Percent 3 20 3" xfId="5347"/>
    <cellStyle name="Percent 3 20 3 2" xfId="8437"/>
    <cellStyle name="Percent 3 20 3 2 2" xfId="14630"/>
    <cellStyle name="Percent 3 20 3 2 2 2" xfId="34308"/>
    <cellStyle name="Percent 3 20 3 2 3" xfId="20782"/>
    <cellStyle name="Percent 3 20 3 2 3 2" xfId="40460"/>
    <cellStyle name="Percent 3 20 3 2 4" xfId="28144"/>
    <cellStyle name="Percent 3 20 3 3" xfId="11564"/>
    <cellStyle name="Percent 3 20 3 3 2" xfId="31242"/>
    <cellStyle name="Percent 3 20 3 4" xfId="17716"/>
    <cellStyle name="Percent 3 20 3 4 2" xfId="37394"/>
    <cellStyle name="Percent 3 20 3 5" xfId="25078"/>
    <cellStyle name="Percent 3 20 4" xfId="6902"/>
    <cellStyle name="Percent 3 20 4 2" xfId="13096"/>
    <cellStyle name="Percent 3 20 4 2 2" xfId="32774"/>
    <cellStyle name="Percent 3 20 4 3" xfId="19248"/>
    <cellStyle name="Percent 3 20 4 3 2" xfId="38926"/>
    <cellStyle name="Percent 3 20 4 4" xfId="26610"/>
    <cellStyle name="Percent 3 20 5" xfId="10030"/>
    <cellStyle name="Percent 3 20 5 2" xfId="29708"/>
    <cellStyle name="Percent 3 20 6" xfId="16182"/>
    <cellStyle name="Percent 3 20 6 2" xfId="35860"/>
    <cellStyle name="Percent 3 20 7" xfId="23527"/>
    <cellStyle name="Percent 3 20 8" xfId="22073"/>
    <cellStyle name="Percent 3 21" xfId="3460"/>
    <cellStyle name="Percent 3 21 2" xfId="4496"/>
    <cellStyle name="Percent 3 21 2 2" xfId="6121"/>
    <cellStyle name="Percent 3 21 2 2 2" xfId="9207"/>
    <cellStyle name="Percent 3 21 2 2 2 2" xfId="15400"/>
    <cellStyle name="Percent 3 21 2 2 2 2 2" xfId="35078"/>
    <cellStyle name="Percent 3 21 2 2 2 3" xfId="21552"/>
    <cellStyle name="Percent 3 21 2 2 2 3 2" xfId="41230"/>
    <cellStyle name="Percent 3 21 2 2 2 4" xfId="28914"/>
    <cellStyle name="Percent 3 21 2 2 3" xfId="12334"/>
    <cellStyle name="Percent 3 21 2 2 3 2" xfId="32012"/>
    <cellStyle name="Percent 3 21 2 2 4" xfId="18486"/>
    <cellStyle name="Percent 3 21 2 2 4 2" xfId="38164"/>
    <cellStyle name="Percent 3 21 2 2 5" xfId="25848"/>
    <cellStyle name="Percent 3 21 2 3" xfId="7672"/>
    <cellStyle name="Percent 3 21 2 3 2" xfId="13866"/>
    <cellStyle name="Percent 3 21 2 3 2 2" xfId="33544"/>
    <cellStyle name="Percent 3 21 2 3 3" xfId="20018"/>
    <cellStyle name="Percent 3 21 2 3 3 2" xfId="39696"/>
    <cellStyle name="Percent 3 21 2 3 4" xfId="27380"/>
    <cellStyle name="Percent 3 21 2 4" xfId="10800"/>
    <cellStyle name="Percent 3 21 2 4 2" xfId="30478"/>
    <cellStyle name="Percent 3 21 2 5" xfId="16952"/>
    <cellStyle name="Percent 3 21 2 5 2" xfId="36630"/>
    <cellStyle name="Percent 3 21 2 6" xfId="24314"/>
    <cellStyle name="Percent 3 21 3" xfId="5348"/>
    <cellStyle name="Percent 3 21 3 2" xfId="8438"/>
    <cellStyle name="Percent 3 21 3 2 2" xfId="14631"/>
    <cellStyle name="Percent 3 21 3 2 2 2" xfId="34309"/>
    <cellStyle name="Percent 3 21 3 2 3" xfId="20783"/>
    <cellStyle name="Percent 3 21 3 2 3 2" xfId="40461"/>
    <cellStyle name="Percent 3 21 3 2 4" xfId="28145"/>
    <cellStyle name="Percent 3 21 3 3" xfId="11565"/>
    <cellStyle name="Percent 3 21 3 3 2" xfId="31243"/>
    <cellStyle name="Percent 3 21 3 4" xfId="17717"/>
    <cellStyle name="Percent 3 21 3 4 2" xfId="37395"/>
    <cellStyle name="Percent 3 21 3 5" xfId="25079"/>
    <cellStyle name="Percent 3 21 4" xfId="6903"/>
    <cellStyle name="Percent 3 21 4 2" xfId="13097"/>
    <cellStyle name="Percent 3 21 4 2 2" xfId="32775"/>
    <cellStyle name="Percent 3 21 4 3" xfId="19249"/>
    <cellStyle name="Percent 3 21 4 3 2" xfId="38927"/>
    <cellStyle name="Percent 3 21 4 4" xfId="26611"/>
    <cellStyle name="Percent 3 21 5" xfId="10031"/>
    <cellStyle name="Percent 3 21 5 2" xfId="29709"/>
    <cellStyle name="Percent 3 21 6" xfId="16183"/>
    <cellStyle name="Percent 3 21 6 2" xfId="35861"/>
    <cellStyle name="Percent 3 21 7" xfId="23528"/>
    <cellStyle name="Percent 3 21 8" xfId="22100"/>
    <cellStyle name="Percent 3 22" xfId="9300"/>
    <cellStyle name="Percent 3 22 2" xfId="28998"/>
    <cellStyle name="Percent 3 22 3" xfId="22090"/>
    <cellStyle name="Percent 3 23" xfId="318"/>
    <cellStyle name="Percent 3 24" xfId="22206"/>
    <cellStyle name="Percent 3 25" xfId="22232"/>
    <cellStyle name="Percent 3 26" xfId="22238"/>
    <cellStyle name="Percent 3 27" xfId="22266"/>
    <cellStyle name="Percent 3 28" xfId="22291"/>
    <cellStyle name="Percent 3 29" xfId="22315"/>
    <cellStyle name="Percent 3 3" xfId="67"/>
    <cellStyle name="Percent 3 3 2" xfId="3462"/>
    <cellStyle name="Percent 3 3 2 2" xfId="4497"/>
    <cellStyle name="Percent 3 3 2 2 2" xfId="6122"/>
    <cellStyle name="Percent 3 3 2 2 2 2" xfId="9208"/>
    <cellStyle name="Percent 3 3 2 2 2 2 2" xfId="15401"/>
    <cellStyle name="Percent 3 3 2 2 2 2 2 2" xfId="35079"/>
    <cellStyle name="Percent 3 3 2 2 2 2 3" xfId="21553"/>
    <cellStyle name="Percent 3 3 2 2 2 2 3 2" xfId="41231"/>
    <cellStyle name="Percent 3 3 2 2 2 2 4" xfId="28915"/>
    <cellStyle name="Percent 3 3 2 2 2 3" xfId="12335"/>
    <cellStyle name="Percent 3 3 2 2 2 3 2" xfId="32013"/>
    <cellStyle name="Percent 3 3 2 2 2 4" xfId="18487"/>
    <cellStyle name="Percent 3 3 2 2 2 4 2" xfId="38165"/>
    <cellStyle name="Percent 3 3 2 2 2 5" xfId="25849"/>
    <cellStyle name="Percent 3 3 2 2 3" xfId="7673"/>
    <cellStyle name="Percent 3 3 2 2 3 2" xfId="13867"/>
    <cellStyle name="Percent 3 3 2 2 3 2 2" xfId="33545"/>
    <cellStyle name="Percent 3 3 2 2 3 3" xfId="20019"/>
    <cellStyle name="Percent 3 3 2 2 3 3 2" xfId="39697"/>
    <cellStyle name="Percent 3 3 2 2 3 4" xfId="27381"/>
    <cellStyle name="Percent 3 3 2 2 4" xfId="10801"/>
    <cellStyle name="Percent 3 3 2 2 4 2" xfId="30479"/>
    <cellStyle name="Percent 3 3 2 2 5" xfId="16953"/>
    <cellStyle name="Percent 3 3 2 2 5 2" xfId="36631"/>
    <cellStyle name="Percent 3 3 2 2 6" xfId="24315"/>
    <cellStyle name="Percent 3 3 2 3" xfId="5349"/>
    <cellStyle name="Percent 3 3 2 3 2" xfId="8439"/>
    <cellStyle name="Percent 3 3 2 3 2 2" xfId="14632"/>
    <cellStyle name="Percent 3 3 2 3 2 2 2" xfId="34310"/>
    <cellStyle name="Percent 3 3 2 3 2 3" xfId="20784"/>
    <cellStyle name="Percent 3 3 2 3 2 3 2" xfId="40462"/>
    <cellStyle name="Percent 3 3 2 3 2 4" xfId="28146"/>
    <cellStyle name="Percent 3 3 2 3 3" xfId="11566"/>
    <cellStyle name="Percent 3 3 2 3 3 2" xfId="31244"/>
    <cellStyle name="Percent 3 3 2 3 4" xfId="17718"/>
    <cellStyle name="Percent 3 3 2 3 4 2" xfId="37396"/>
    <cellStyle name="Percent 3 3 2 3 5" xfId="25080"/>
    <cellStyle name="Percent 3 3 2 4" xfId="6904"/>
    <cellStyle name="Percent 3 3 2 4 2" xfId="13098"/>
    <cellStyle name="Percent 3 3 2 4 2 2" xfId="32776"/>
    <cellStyle name="Percent 3 3 2 4 3" xfId="19250"/>
    <cellStyle name="Percent 3 3 2 4 3 2" xfId="38928"/>
    <cellStyle name="Percent 3 3 2 4 4" xfId="26612"/>
    <cellStyle name="Percent 3 3 2 5" xfId="10032"/>
    <cellStyle name="Percent 3 3 2 5 2" xfId="29710"/>
    <cellStyle name="Percent 3 3 2 6" xfId="16184"/>
    <cellStyle name="Percent 3 3 2 6 2" xfId="35862"/>
    <cellStyle name="Percent 3 3 2 7" xfId="23529"/>
    <cellStyle name="Percent 3 3 2 8" xfId="21803"/>
    <cellStyle name="Percent 3 3 3" xfId="3463"/>
    <cellStyle name="Percent 3 3 3 2" xfId="4498"/>
    <cellStyle name="Percent 3 3 3 2 2" xfId="6123"/>
    <cellStyle name="Percent 3 3 3 2 2 2" xfId="9209"/>
    <cellStyle name="Percent 3 3 3 2 2 2 2" xfId="15402"/>
    <cellStyle name="Percent 3 3 3 2 2 2 2 2" xfId="35080"/>
    <cellStyle name="Percent 3 3 3 2 2 2 3" xfId="21554"/>
    <cellStyle name="Percent 3 3 3 2 2 2 3 2" xfId="41232"/>
    <cellStyle name="Percent 3 3 3 2 2 2 4" xfId="28916"/>
    <cellStyle name="Percent 3 3 3 2 2 3" xfId="12336"/>
    <cellStyle name="Percent 3 3 3 2 2 3 2" xfId="32014"/>
    <cellStyle name="Percent 3 3 3 2 2 4" xfId="18488"/>
    <cellStyle name="Percent 3 3 3 2 2 4 2" xfId="38166"/>
    <cellStyle name="Percent 3 3 3 2 2 5" xfId="25850"/>
    <cellStyle name="Percent 3 3 3 2 3" xfId="7674"/>
    <cellStyle name="Percent 3 3 3 2 3 2" xfId="13868"/>
    <cellStyle name="Percent 3 3 3 2 3 2 2" xfId="33546"/>
    <cellStyle name="Percent 3 3 3 2 3 3" xfId="20020"/>
    <cellStyle name="Percent 3 3 3 2 3 3 2" xfId="39698"/>
    <cellStyle name="Percent 3 3 3 2 3 4" xfId="27382"/>
    <cellStyle name="Percent 3 3 3 2 4" xfId="10802"/>
    <cellStyle name="Percent 3 3 3 2 4 2" xfId="30480"/>
    <cellStyle name="Percent 3 3 3 2 5" xfId="16954"/>
    <cellStyle name="Percent 3 3 3 2 5 2" xfId="36632"/>
    <cellStyle name="Percent 3 3 3 2 6" xfId="24316"/>
    <cellStyle name="Percent 3 3 3 3" xfId="5350"/>
    <cellStyle name="Percent 3 3 3 3 2" xfId="8440"/>
    <cellStyle name="Percent 3 3 3 3 2 2" xfId="14633"/>
    <cellStyle name="Percent 3 3 3 3 2 2 2" xfId="34311"/>
    <cellStyle name="Percent 3 3 3 3 2 3" xfId="20785"/>
    <cellStyle name="Percent 3 3 3 3 2 3 2" xfId="40463"/>
    <cellStyle name="Percent 3 3 3 3 2 4" xfId="28147"/>
    <cellStyle name="Percent 3 3 3 3 3" xfId="11567"/>
    <cellStyle name="Percent 3 3 3 3 3 2" xfId="31245"/>
    <cellStyle name="Percent 3 3 3 3 4" xfId="17719"/>
    <cellStyle name="Percent 3 3 3 3 4 2" xfId="37397"/>
    <cellStyle name="Percent 3 3 3 3 5" xfId="25081"/>
    <cellStyle name="Percent 3 3 3 4" xfId="6905"/>
    <cellStyle name="Percent 3 3 3 4 2" xfId="13099"/>
    <cellStyle name="Percent 3 3 3 4 2 2" xfId="32777"/>
    <cellStyle name="Percent 3 3 3 4 3" xfId="19251"/>
    <cellStyle name="Percent 3 3 3 4 3 2" xfId="38929"/>
    <cellStyle name="Percent 3 3 3 4 4" xfId="26613"/>
    <cellStyle name="Percent 3 3 3 5" xfId="10033"/>
    <cellStyle name="Percent 3 3 3 5 2" xfId="29711"/>
    <cellStyle name="Percent 3 3 3 6" xfId="16185"/>
    <cellStyle name="Percent 3 3 3 6 2" xfId="35863"/>
    <cellStyle name="Percent 3 3 3 7" xfId="23530"/>
    <cellStyle name="Percent 3 3 4" xfId="3464"/>
    <cellStyle name="Percent 3 3 4 2" xfId="4499"/>
    <cellStyle name="Percent 3 3 4 2 2" xfId="6124"/>
    <cellStyle name="Percent 3 3 4 2 2 2" xfId="9210"/>
    <cellStyle name="Percent 3 3 4 2 2 2 2" xfId="15403"/>
    <cellStyle name="Percent 3 3 4 2 2 2 2 2" xfId="35081"/>
    <cellStyle name="Percent 3 3 4 2 2 2 3" xfId="21555"/>
    <cellStyle name="Percent 3 3 4 2 2 2 3 2" xfId="41233"/>
    <cellStyle name="Percent 3 3 4 2 2 2 4" xfId="28917"/>
    <cellStyle name="Percent 3 3 4 2 2 3" xfId="12337"/>
    <cellStyle name="Percent 3 3 4 2 2 3 2" xfId="32015"/>
    <cellStyle name="Percent 3 3 4 2 2 4" xfId="18489"/>
    <cellStyle name="Percent 3 3 4 2 2 4 2" xfId="38167"/>
    <cellStyle name="Percent 3 3 4 2 2 5" xfId="25851"/>
    <cellStyle name="Percent 3 3 4 2 3" xfId="7675"/>
    <cellStyle name="Percent 3 3 4 2 3 2" xfId="13869"/>
    <cellStyle name="Percent 3 3 4 2 3 2 2" xfId="33547"/>
    <cellStyle name="Percent 3 3 4 2 3 3" xfId="20021"/>
    <cellStyle name="Percent 3 3 4 2 3 3 2" xfId="39699"/>
    <cellStyle name="Percent 3 3 4 2 3 4" xfId="27383"/>
    <cellStyle name="Percent 3 3 4 2 4" xfId="10803"/>
    <cellStyle name="Percent 3 3 4 2 4 2" xfId="30481"/>
    <cellStyle name="Percent 3 3 4 2 5" xfId="16955"/>
    <cellStyle name="Percent 3 3 4 2 5 2" xfId="36633"/>
    <cellStyle name="Percent 3 3 4 2 6" xfId="24317"/>
    <cellStyle name="Percent 3 3 4 3" xfId="5351"/>
    <cellStyle name="Percent 3 3 4 3 2" xfId="8441"/>
    <cellStyle name="Percent 3 3 4 3 2 2" xfId="14634"/>
    <cellStyle name="Percent 3 3 4 3 2 2 2" xfId="34312"/>
    <cellStyle name="Percent 3 3 4 3 2 3" xfId="20786"/>
    <cellStyle name="Percent 3 3 4 3 2 3 2" xfId="40464"/>
    <cellStyle name="Percent 3 3 4 3 2 4" xfId="28148"/>
    <cellStyle name="Percent 3 3 4 3 3" xfId="11568"/>
    <cellStyle name="Percent 3 3 4 3 3 2" xfId="31246"/>
    <cellStyle name="Percent 3 3 4 3 4" xfId="17720"/>
    <cellStyle name="Percent 3 3 4 3 4 2" xfId="37398"/>
    <cellStyle name="Percent 3 3 4 3 5" xfId="25082"/>
    <cellStyle name="Percent 3 3 4 4" xfId="6906"/>
    <cellStyle name="Percent 3 3 4 4 2" xfId="13100"/>
    <cellStyle name="Percent 3 3 4 4 2 2" xfId="32778"/>
    <cellStyle name="Percent 3 3 4 4 3" xfId="19252"/>
    <cellStyle name="Percent 3 3 4 4 3 2" xfId="38930"/>
    <cellStyle name="Percent 3 3 4 4 4" xfId="26614"/>
    <cellStyle name="Percent 3 3 4 5" xfId="10034"/>
    <cellStyle name="Percent 3 3 4 5 2" xfId="29712"/>
    <cellStyle name="Percent 3 3 4 6" xfId="16186"/>
    <cellStyle name="Percent 3 3 4 6 2" xfId="35864"/>
    <cellStyle name="Percent 3 3 4 7" xfId="23531"/>
    <cellStyle name="Percent 3 3 5" xfId="3465"/>
    <cellStyle name="Percent 3 3 5 2" xfId="4500"/>
    <cellStyle name="Percent 3 3 5 2 2" xfId="6125"/>
    <cellStyle name="Percent 3 3 5 2 2 2" xfId="9211"/>
    <cellStyle name="Percent 3 3 5 2 2 2 2" xfId="15404"/>
    <cellStyle name="Percent 3 3 5 2 2 2 2 2" xfId="35082"/>
    <cellStyle name="Percent 3 3 5 2 2 2 3" xfId="21556"/>
    <cellStyle name="Percent 3 3 5 2 2 2 3 2" xfId="41234"/>
    <cellStyle name="Percent 3 3 5 2 2 2 4" xfId="28918"/>
    <cellStyle name="Percent 3 3 5 2 2 3" xfId="12338"/>
    <cellStyle name="Percent 3 3 5 2 2 3 2" xfId="32016"/>
    <cellStyle name="Percent 3 3 5 2 2 4" xfId="18490"/>
    <cellStyle name="Percent 3 3 5 2 2 4 2" xfId="38168"/>
    <cellStyle name="Percent 3 3 5 2 2 5" xfId="25852"/>
    <cellStyle name="Percent 3 3 5 2 3" xfId="7676"/>
    <cellStyle name="Percent 3 3 5 2 3 2" xfId="13870"/>
    <cellStyle name="Percent 3 3 5 2 3 2 2" xfId="33548"/>
    <cellStyle name="Percent 3 3 5 2 3 3" xfId="20022"/>
    <cellStyle name="Percent 3 3 5 2 3 3 2" xfId="39700"/>
    <cellStyle name="Percent 3 3 5 2 3 4" xfId="27384"/>
    <cellStyle name="Percent 3 3 5 2 4" xfId="10804"/>
    <cellStyle name="Percent 3 3 5 2 4 2" xfId="30482"/>
    <cellStyle name="Percent 3 3 5 2 5" xfId="16956"/>
    <cellStyle name="Percent 3 3 5 2 5 2" xfId="36634"/>
    <cellStyle name="Percent 3 3 5 2 6" xfId="24318"/>
    <cellStyle name="Percent 3 3 5 3" xfId="5352"/>
    <cellStyle name="Percent 3 3 5 3 2" xfId="8442"/>
    <cellStyle name="Percent 3 3 5 3 2 2" xfId="14635"/>
    <cellStyle name="Percent 3 3 5 3 2 2 2" xfId="34313"/>
    <cellStyle name="Percent 3 3 5 3 2 3" xfId="20787"/>
    <cellStyle name="Percent 3 3 5 3 2 3 2" xfId="40465"/>
    <cellStyle name="Percent 3 3 5 3 2 4" xfId="28149"/>
    <cellStyle name="Percent 3 3 5 3 3" xfId="11569"/>
    <cellStyle name="Percent 3 3 5 3 3 2" xfId="31247"/>
    <cellStyle name="Percent 3 3 5 3 4" xfId="17721"/>
    <cellStyle name="Percent 3 3 5 3 4 2" xfId="37399"/>
    <cellStyle name="Percent 3 3 5 3 5" xfId="25083"/>
    <cellStyle name="Percent 3 3 5 4" xfId="6907"/>
    <cellStyle name="Percent 3 3 5 4 2" xfId="13101"/>
    <cellStyle name="Percent 3 3 5 4 2 2" xfId="32779"/>
    <cellStyle name="Percent 3 3 5 4 3" xfId="19253"/>
    <cellStyle name="Percent 3 3 5 4 3 2" xfId="38931"/>
    <cellStyle name="Percent 3 3 5 4 4" xfId="26615"/>
    <cellStyle name="Percent 3 3 5 5" xfId="10035"/>
    <cellStyle name="Percent 3 3 5 5 2" xfId="29713"/>
    <cellStyle name="Percent 3 3 5 6" xfId="16187"/>
    <cellStyle name="Percent 3 3 5 6 2" xfId="35865"/>
    <cellStyle name="Percent 3 3 5 7" xfId="23532"/>
    <cellStyle name="Percent 3 3 6" xfId="9323"/>
    <cellStyle name="Percent 3 3 7" xfId="3461"/>
    <cellStyle name="Percent 3 3 8" xfId="42055"/>
    <cellStyle name="Percent 3 30" xfId="22372"/>
    <cellStyle name="Percent 3 31" xfId="22374"/>
    <cellStyle name="Percent 3 32" xfId="41558"/>
    <cellStyle name="Percent 3 33" xfId="21755"/>
    <cellStyle name="Percent 3 4" xfId="116"/>
    <cellStyle name="Percent 3 4 10" xfId="16188"/>
    <cellStyle name="Percent 3 4 10 2" xfId="35866"/>
    <cellStyle name="Percent 3 4 11" xfId="3466"/>
    <cellStyle name="Percent 3 4 11 2" xfId="23533"/>
    <cellStyle name="Percent 3 4 12" xfId="21774"/>
    <cellStyle name="Percent 3 4 13" xfId="42056"/>
    <cellStyle name="Percent 3 4 2" xfId="3467"/>
    <cellStyle name="Percent 3 4 2 2" xfId="4502"/>
    <cellStyle name="Percent 3 4 2 2 2" xfId="6127"/>
    <cellStyle name="Percent 3 4 2 2 2 2" xfId="9213"/>
    <cellStyle name="Percent 3 4 2 2 2 2 2" xfId="15406"/>
    <cellStyle name="Percent 3 4 2 2 2 2 2 2" xfId="35084"/>
    <cellStyle name="Percent 3 4 2 2 2 2 3" xfId="21558"/>
    <cellStyle name="Percent 3 4 2 2 2 2 3 2" xfId="41236"/>
    <cellStyle name="Percent 3 4 2 2 2 2 4" xfId="28920"/>
    <cellStyle name="Percent 3 4 2 2 2 3" xfId="12340"/>
    <cellStyle name="Percent 3 4 2 2 2 3 2" xfId="32018"/>
    <cellStyle name="Percent 3 4 2 2 2 4" xfId="18492"/>
    <cellStyle name="Percent 3 4 2 2 2 4 2" xfId="38170"/>
    <cellStyle name="Percent 3 4 2 2 2 5" xfId="25854"/>
    <cellStyle name="Percent 3 4 2 2 3" xfId="7678"/>
    <cellStyle name="Percent 3 4 2 2 3 2" xfId="13872"/>
    <cellStyle name="Percent 3 4 2 2 3 2 2" xfId="33550"/>
    <cellStyle name="Percent 3 4 2 2 3 3" xfId="20024"/>
    <cellStyle name="Percent 3 4 2 2 3 3 2" xfId="39702"/>
    <cellStyle name="Percent 3 4 2 2 3 4" xfId="27386"/>
    <cellStyle name="Percent 3 4 2 2 4" xfId="10806"/>
    <cellStyle name="Percent 3 4 2 2 4 2" xfId="30484"/>
    <cellStyle name="Percent 3 4 2 2 5" xfId="16958"/>
    <cellStyle name="Percent 3 4 2 2 5 2" xfId="36636"/>
    <cellStyle name="Percent 3 4 2 2 6" xfId="24320"/>
    <cellStyle name="Percent 3 4 2 3" xfId="5354"/>
    <cellStyle name="Percent 3 4 2 3 2" xfId="8444"/>
    <cellStyle name="Percent 3 4 2 3 2 2" xfId="14637"/>
    <cellStyle name="Percent 3 4 2 3 2 2 2" xfId="34315"/>
    <cellStyle name="Percent 3 4 2 3 2 3" xfId="20789"/>
    <cellStyle name="Percent 3 4 2 3 2 3 2" xfId="40467"/>
    <cellStyle name="Percent 3 4 2 3 2 4" xfId="28151"/>
    <cellStyle name="Percent 3 4 2 3 3" xfId="11571"/>
    <cellStyle name="Percent 3 4 2 3 3 2" xfId="31249"/>
    <cellStyle name="Percent 3 4 2 3 4" xfId="17723"/>
    <cellStyle name="Percent 3 4 2 3 4 2" xfId="37401"/>
    <cellStyle name="Percent 3 4 2 3 5" xfId="25085"/>
    <cellStyle name="Percent 3 4 2 4" xfId="6909"/>
    <cellStyle name="Percent 3 4 2 4 2" xfId="13103"/>
    <cellStyle name="Percent 3 4 2 4 2 2" xfId="32781"/>
    <cellStyle name="Percent 3 4 2 4 3" xfId="19255"/>
    <cellStyle name="Percent 3 4 2 4 3 2" xfId="38933"/>
    <cellStyle name="Percent 3 4 2 4 4" xfId="26617"/>
    <cellStyle name="Percent 3 4 2 5" xfId="10037"/>
    <cellStyle name="Percent 3 4 2 5 2" xfId="29715"/>
    <cellStyle name="Percent 3 4 2 6" xfId="16189"/>
    <cellStyle name="Percent 3 4 2 6 2" xfId="35867"/>
    <cellStyle name="Percent 3 4 2 7" xfId="23534"/>
    <cellStyle name="Percent 3 4 2 8" xfId="21823"/>
    <cellStyle name="Percent 3 4 3" xfId="3468"/>
    <cellStyle name="Percent 3 4 3 2" xfId="4503"/>
    <cellStyle name="Percent 3 4 3 2 2" xfId="6128"/>
    <cellStyle name="Percent 3 4 3 2 2 2" xfId="9214"/>
    <cellStyle name="Percent 3 4 3 2 2 2 2" xfId="15407"/>
    <cellStyle name="Percent 3 4 3 2 2 2 2 2" xfId="35085"/>
    <cellStyle name="Percent 3 4 3 2 2 2 3" xfId="21559"/>
    <cellStyle name="Percent 3 4 3 2 2 2 3 2" xfId="41237"/>
    <cellStyle name="Percent 3 4 3 2 2 2 4" xfId="28921"/>
    <cellStyle name="Percent 3 4 3 2 2 3" xfId="12341"/>
    <cellStyle name="Percent 3 4 3 2 2 3 2" xfId="32019"/>
    <cellStyle name="Percent 3 4 3 2 2 4" xfId="18493"/>
    <cellStyle name="Percent 3 4 3 2 2 4 2" xfId="38171"/>
    <cellStyle name="Percent 3 4 3 2 2 5" xfId="25855"/>
    <cellStyle name="Percent 3 4 3 2 3" xfId="7679"/>
    <cellStyle name="Percent 3 4 3 2 3 2" xfId="13873"/>
    <cellStyle name="Percent 3 4 3 2 3 2 2" xfId="33551"/>
    <cellStyle name="Percent 3 4 3 2 3 3" xfId="20025"/>
    <cellStyle name="Percent 3 4 3 2 3 3 2" xfId="39703"/>
    <cellStyle name="Percent 3 4 3 2 3 4" xfId="27387"/>
    <cellStyle name="Percent 3 4 3 2 4" xfId="10807"/>
    <cellStyle name="Percent 3 4 3 2 4 2" xfId="30485"/>
    <cellStyle name="Percent 3 4 3 2 5" xfId="16959"/>
    <cellStyle name="Percent 3 4 3 2 5 2" xfId="36637"/>
    <cellStyle name="Percent 3 4 3 2 6" xfId="24321"/>
    <cellStyle name="Percent 3 4 3 3" xfId="5355"/>
    <cellStyle name="Percent 3 4 3 3 2" xfId="8445"/>
    <cellStyle name="Percent 3 4 3 3 2 2" xfId="14638"/>
    <cellStyle name="Percent 3 4 3 3 2 2 2" xfId="34316"/>
    <cellStyle name="Percent 3 4 3 3 2 3" xfId="20790"/>
    <cellStyle name="Percent 3 4 3 3 2 3 2" xfId="40468"/>
    <cellStyle name="Percent 3 4 3 3 2 4" xfId="28152"/>
    <cellStyle name="Percent 3 4 3 3 3" xfId="11572"/>
    <cellStyle name="Percent 3 4 3 3 3 2" xfId="31250"/>
    <cellStyle name="Percent 3 4 3 3 4" xfId="17724"/>
    <cellStyle name="Percent 3 4 3 3 4 2" xfId="37402"/>
    <cellStyle name="Percent 3 4 3 3 5" xfId="25086"/>
    <cellStyle name="Percent 3 4 3 4" xfId="6910"/>
    <cellStyle name="Percent 3 4 3 4 2" xfId="13104"/>
    <cellStyle name="Percent 3 4 3 4 2 2" xfId="32782"/>
    <cellStyle name="Percent 3 4 3 4 3" xfId="19256"/>
    <cellStyle name="Percent 3 4 3 4 3 2" xfId="38934"/>
    <cellStyle name="Percent 3 4 3 4 4" xfId="26618"/>
    <cellStyle name="Percent 3 4 3 5" xfId="10038"/>
    <cellStyle name="Percent 3 4 3 5 2" xfId="29716"/>
    <cellStyle name="Percent 3 4 3 6" xfId="16190"/>
    <cellStyle name="Percent 3 4 3 6 2" xfId="35868"/>
    <cellStyle name="Percent 3 4 3 7" xfId="23535"/>
    <cellStyle name="Percent 3 4 4" xfId="3469"/>
    <cellStyle name="Percent 3 4 4 2" xfId="4504"/>
    <cellStyle name="Percent 3 4 4 2 2" xfId="6129"/>
    <cellStyle name="Percent 3 4 4 2 2 2" xfId="9215"/>
    <cellStyle name="Percent 3 4 4 2 2 2 2" xfId="15408"/>
    <cellStyle name="Percent 3 4 4 2 2 2 2 2" xfId="35086"/>
    <cellStyle name="Percent 3 4 4 2 2 2 3" xfId="21560"/>
    <cellStyle name="Percent 3 4 4 2 2 2 3 2" xfId="41238"/>
    <cellStyle name="Percent 3 4 4 2 2 2 4" xfId="28922"/>
    <cellStyle name="Percent 3 4 4 2 2 3" xfId="12342"/>
    <cellStyle name="Percent 3 4 4 2 2 3 2" xfId="32020"/>
    <cellStyle name="Percent 3 4 4 2 2 4" xfId="18494"/>
    <cellStyle name="Percent 3 4 4 2 2 4 2" xfId="38172"/>
    <cellStyle name="Percent 3 4 4 2 2 5" xfId="25856"/>
    <cellStyle name="Percent 3 4 4 2 3" xfId="7680"/>
    <cellStyle name="Percent 3 4 4 2 3 2" xfId="13874"/>
    <cellStyle name="Percent 3 4 4 2 3 2 2" xfId="33552"/>
    <cellStyle name="Percent 3 4 4 2 3 3" xfId="20026"/>
    <cellStyle name="Percent 3 4 4 2 3 3 2" xfId="39704"/>
    <cellStyle name="Percent 3 4 4 2 3 4" xfId="27388"/>
    <cellStyle name="Percent 3 4 4 2 4" xfId="10808"/>
    <cellStyle name="Percent 3 4 4 2 4 2" xfId="30486"/>
    <cellStyle name="Percent 3 4 4 2 5" xfId="16960"/>
    <cellStyle name="Percent 3 4 4 2 5 2" xfId="36638"/>
    <cellStyle name="Percent 3 4 4 2 6" xfId="24322"/>
    <cellStyle name="Percent 3 4 4 3" xfId="5356"/>
    <cellStyle name="Percent 3 4 4 3 2" xfId="8446"/>
    <cellStyle name="Percent 3 4 4 3 2 2" xfId="14639"/>
    <cellStyle name="Percent 3 4 4 3 2 2 2" xfId="34317"/>
    <cellStyle name="Percent 3 4 4 3 2 3" xfId="20791"/>
    <cellStyle name="Percent 3 4 4 3 2 3 2" xfId="40469"/>
    <cellStyle name="Percent 3 4 4 3 2 4" xfId="28153"/>
    <cellStyle name="Percent 3 4 4 3 3" xfId="11573"/>
    <cellStyle name="Percent 3 4 4 3 3 2" xfId="31251"/>
    <cellStyle name="Percent 3 4 4 3 4" xfId="17725"/>
    <cellStyle name="Percent 3 4 4 3 4 2" xfId="37403"/>
    <cellStyle name="Percent 3 4 4 3 5" xfId="25087"/>
    <cellStyle name="Percent 3 4 4 4" xfId="6911"/>
    <cellStyle name="Percent 3 4 4 4 2" xfId="13105"/>
    <cellStyle name="Percent 3 4 4 4 2 2" xfId="32783"/>
    <cellStyle name="Percent 3 4 4 4 3" xfId="19257"/>
    <cellStyle name="Percent 3 4 4 4 3 2" xfId="38935"/>
    <cellStyle name="Percent 3 4 4 4 4" xfId="26619"/>
    <cellStyle name="Percent 3 4 4 5" xfId="10039"/>
    <cellStyle name="Percent 3 4 4 5 2" xfId="29717"/>
    <cellStyle name="Percent 3 4 4 6" xfId="16191"/>
    <cellStyle name="Percent 3 4 4 6 2" xfId="35869"/>
    <cellStyle name="Percent 3 4 4 7" xfId="23536"/>
    <cellStyle name="Percent 3 4 5" xfId="3470"/>
    <cellStyle name="Percent 3 4 5 2" xfId="4505"/>
    <cellStyle name="Percent 3 4 5 2 2" xfId="6130"/>
    <cellStyle name="Percent 3 4 5 2 2 2" xfId="9216"/>
    <cellStyle name="Percent 3 4 5 2 2 2 2" xfId="15409"/>
    <cellStyle name="Percent 3 4 5 2 2 2 2 2" xfId="35087"/>
    <cellStyle name="Percent 3 4 5 2 2 2 3" xfId="21561"/>
    <cellStyle name="Percent 3 4 5 2 2 2 3 2" xfId="41239"/>
    <cellStyle name="Percent 3 4 5 2 2 2 4" xfId="28923"/>
    <cellStyle name="Percent 3 4 5 2 2 3" xfId="12343"/>
    <cellStyle name="Percent 3 4 5 2 2 3 2" xfId="32021"/>
    <cellStyle name="Percent 3 4 5 2 2 4" xfId="18495"/>
    <cellStyle name="Percent 3 4 5 2 2 4 2" xfId="38173"/>
    <cellStyle name="Percent 3 4 5 2 2 5" xfId="25857"/>
    <cellStyle name="Percent 3 4 5 2 3" xfId="7681"/>
    <cellStyle name="Percent 3 4 5 2 3 2" xfId="13875"/>
    <cellStyle name="Percent 3 4 5 2 3 2 2" xfId="33553"/>
    <cellStyle name="Percent 3 4 5 2 3 3" xfId="20027"/>
    <cellStyle name="Percent 3 4 5 2 3 3 2" xfId="39705"/>
    <cellStyle name="Percent 3 4 5 2 3 4" xfId="27389"/>
    <cellStyle name="Percent 3 4 5 2 4" xfId="10809"/>
    <cellStyle name="Percent 3 4 5 2 4 2" xfId="30487"/>
    <cellStyle name="Percent 3 4 5 2 5" xfId="16961"/>
    <cellStyle name="Percent 3 4 5 2 5 2" xfId="36639"/>
    <cellStyle name="Percent 3 4 5 2 6" xfId="24323"/>
    <cellStyle name="Percent 3 4 5 3" xfId="5357"/>
    <cellStyle name="Percent 3 4 5 3 2" xfId="8447"/>
    <cellStyle name="Percent 3 4 5 3 2 2" xfId="14640"/>
    <cellStyle name="Percent 3 4 5 3 2 2 2" xfId="34318"/>
    <cellStyle name="Percent 3 4 5 3 2 3" xfId="20792"/>
    <cellStyle name="Percent 3 4 5 3 2 3 2" xfId="40470"/>
    <cellStyle name="Percent 3 4 5 3 2 4" xfId="28154"/>
    <cellStyle name="Percent 3 4 5 3 3" xfId="11574"/>
    <cellStyle name="Percent 3 4 5 3 3 2" xfId="31252"/>
    <cellStyle name="Percent 3 4 5 3 4" xfId="17726"/>
    <cellStyle name="Percent 3 4 5 3 4 2" xfId="37404"/>
    <cellStyle name="Percent 3 4 5 3 5" xfId="25088"/>
    <cellStyle name="Percent 3 4 5 4" xfId="6912"/>
    <cellStyle name="Percent 3 4 5 4 2" xfId="13106"/>
    <cellStyle name="Percent 3 4 5 4 2 2" xfId="32784"/>
    <cellStyle name="Percent 3 4 5 4 3" xfId="19258"/>
    <cellStyle name="Percent 3 4 5 4 3 2" xfId="38936"/>
    <cellStyle name="Percent 3 4 5 4 4" xfId="26620"/>
    <cellStyle name="Percent 3 4 5 5" xfId="10040"/>
    <cellStyle name="Percent 3 4 5 5 2" xfId="29718"/>
    <cellStyle name="Percent 3 4 5 6" xfId="16192"/>
    <cellStyle name="Percent 3 4 5 6 2" xfId="35870"/>
    <cellStyle name="Percent 3 4 5 7" xfId="23537"/>
    <cellStyle name="Percent 3 4 6" xfId="4501"/>
    <cellStyle name="Percent 3 4 6 2" xfId="6126"/>
    <cellStyle name="Percent 3 4 6 2 2" xfId="9212"/>
    <cellStyle name="Percent 3 4 6 2 2 2" xfId="15405"/>
    <cellStyle name="Percent 3 4 6 2 2 2 2" xfId="35083"/>
    <cellStyle name="Percent 3 4 6 2 2 3" xfId="21557"/>
    <cellStyle name="Percent 3 4 6 2 2 3 2" xfId="41235"/>
    <cellStyle name="Percent 3 4 6 2 2 4" xfId="28919"/>
    <cellStyle name="Percent 3 4 6 2 3" xfId="12339"/>
    <cellStyle name="Percent 3 4 6 2 3 2" xfId="32017"/>
    <cellStyle name="Percent 3 4 6 2 4" xfId="18491"/>
    <cellStyle name="Percent 3 4 6 2 4 2" xfId="38169"/>
    <cellStyle name="Percent 3 4 6 2 5" xfId="25853"/>
    <cellStyle name="Percent 3 4 6 3" xfId="7677"/>
    <cellStyle name="Percent 3 4 6 3 2" xfId="13871"/>
    <cellStyle name="Percent 3 4 6 3 2 2" xfId="33549"/>
    <cellStyle name="Percent 3 4 6 3 3" xfId="20023"/>
    <cellStyle name="Percent 3 4 6 3 3 2" xfId="39701"/>
    <cellStyle name="Percent 3 4 6 3 4" xfId="27385"/>
    <cellStyle name="Percent 3 4 6 4" xfId="10805"/>
    <cellStyle name="Percent 3 4 6 4 2" xfId="30483"/>
    <cellStyle name="Percent 3 4 6 5" xfId="16957"/>
    <cellStyle name="Percent 3 4 6 5 2" xfId="36635"/>
    <cellStyle name="Percent 3 4 6 6" xfId="24319"/>
    <cellStyle name="Percent 3 4 7" xfId="5353"/>
    <cellStyle name="Percent 3 4 7 2" xfId="8443"/>
    <cellStyle name="Percent 3 4 7 2 2" xfId="14636"/>
    <cellStyle name="Percent 3 4 7 2 2 2" xfId="34314"/>
    <cellStyle name="Percent 3 4 7 2 3" xfId="20788"/>
    <cellStyle name="Percent 3 4 7 2 3 2" xfId="40466"/>
    <cellStyle name="Percent 3 4 7 2 4" xfId="28150"/>
    <cellStyle name="Percent 3 4 7 3" xfId="11570"/>
    <cellStyle name="Percent 3 4 7 3 2" xfId="31248"/>
    <cellStyle name="Percent 3 4 7 4" xfId="17722"/>
    <cellStyle name="Percent 3 4 7 4 2" xfId="37400"/>
    <cellStyle name="Percent 3 4 7 5" xfId="25084"/>
    <cellStyle name="Percent 3 4 8" xfId="6908"/>
    <cellStyle name="Percent 3 4 8 2" xfId="13102"/>
    <cellStyle name="Percent 3 4 8 2 2" xfId="32780"/>
    <cellStyle name="Percent 3 4 8 3" xfId="19254"/>
    <cellStyle name="Percent 3 4 8 3 2" xfId="38932"/>
    <cellStyle name="Percent 3 4 8 4" xfId="26616"/>
    <cellStyle name="Percent 3 4 9" xfId="10036"/>
    <cellStyle name="Percent 3 4 9 2" xfId="29714"/>
    <cellStyle name="Percent 3 5" xfId="3471"/>
    <cellStyle name="Percent 3 5 10" xfId="21799"/>
    <cellStyle name="Percent 3 5 2" xfId="3472"/>
    <cellStyle name="Percent 3 5 2 2" xfId="4507"/>
    <cellStyle name="Percent 3 5 2 2 2" xfId="6132"/>
    <cellStyle name="Percent 3 5 2 2 2 2" xfId="9218"/>
    <cellStyle name="Percent 3 5 2 2 2 2 2" xfId="15411"/>
    <cellStyle name="Percent 3 5 2 2 2 2 2 2" xfId="35089"/>
    <cellStyle name="Percent 3 5 2 2 2 2 3" xfId="21563"/>
    <cellStyle name="Percent 3 5 2 2 2 2 3 2" xfId="41241"/>
    <cellStyle name="Percent 3 5 2 2 2 2 4" xfId="28925"/>
    <cellStyle name="Percent 3 5 2 2 2 3" xfId="12345"/>
    <cellStyle name="Percent 3 5 2 2 2 3 2" xfId="32023"/>
    <cellStyle name="Percent 3 5 2 2 2 4" xfId="18497"/>
    <cellStyle name="Percent 3 5 2 2 2 4 2" xfId="38175"/>
    <cellStyle name="Percent 3 5 2 2 2 5" xfId="25859"/>
    <cellStyle name="Percent 3 5 2 2 3" xfId="7683"/>
    <cellStyle name="Percent 3 5 2 2 3 2" xfId="13877"/>
    <cellStyle name="Percent 3 5 2 2 3 2 2" xfId="33555"/>
    <cellStyle name="Percent 3 5 2 2 3 3" xfId="20029"/>
    <cellStyle name="Percent 3 5 2 2 3 3 2" xfId="39707"/>
    <cellStyle name="Percent 3 5 2 2 3 4" xfId="27391"/>
    <cellStyle name="Percent 3 5 2 2 4" xfId="10811"/>
    <cellStyle name="Percent 3 5 2 2 4 2" xfId="30489"/>
    <cellStyle name="Percent 3 5 2 2 5" xfId="16963"/>
    <cellStyle name="Percent 3 5 2 2 5 2" xfId="36641"/>
    <cellStyle name="Percent 3 5 2 2 6" xfId="24325"/>
    <cellStyle name="Percent 3 5 2 3" xfId="5359"/>
    <cellStyle name="Percent 3 5 2 3 2" xfId="8449"/>
    <cellStyle name="Percent 3 5 2 3 2 2" xfId="14642"/>
    <cellStyle name="Percent 3 5 2 3 2 2 2" xfId="34320"/>
    <cellStyle name="Percent 3 5 2 3 2 3" xfId="20794"/>
    <cellStyle name="Percent 3 5 2 3 2 3 2" xfId="40472"/>
    <cellStyle name="Percent 3 5 2 3 2 4" xfId="28156"/>
    <cellStyle name="Percent 3 5 2 3 3" xfId="11576"/>
    <cellStyle name="Percent 3 5 2 3 3 2" xfId="31254"/>
    <cellStyle name="Percent 3 5 2 3 4" xfId="17728"/>
    <cellStyle name="Percent 3 5 2 3 4 2" xfId="37406"/>
    <cellStyle name="Percent 3 5 2 3 5" xfId="25090"/>
    <cellStyle name="Percent 3 5 2 4" xfId="6914"/>
    <cellStyle name="Percent 3 5 2 4 2" xfId="13108"/>
    <cellStyle name="Percent 3 5 2 4 2 2" xfId="32786"/>
    <cellStyle name="Percent 3 5 2 4 3" xfId="19260"/>
    <cellStyle name="Percent 3 5 2 4 3 2" xfId="38938"/>
    <cellStyle name="Percent 3 5 2 4 4" xfId="26622"/>
    <cellStyle name="Percent 3 5 2 5" xfId="10042"/>
    <cellStyle name="Percent 3 5 2 5 2" xfId="29720"/>
    <cellStyle name="Percent 3 5 2 6" xfId="16194"/>
    <cellStyle name="Percent 3 5 2 6 2" xfId="35872"/>
    <cellStyle name="Percent 3 5 2 7" xfId="23539"/>
    <cellStyle name="Percent 3 5 3" xfId="4506"/>
    <cellStyle name="Percent 3 5 3 2" xfId="6131"/>
    <cellStyle name="Percent 3 5 3 2 2" xfId="9217"/>
    <cellStyle name="Percent 3 5 3 2 2 2" xfId="15410"/>
    <cellStyle name="Percent 3 5 3 2 2 2 2" xfId="35088"/>
    <cellStyle name="Percent 3 5 3 2 2 3" xfId="21562"/>
    <cellStyle name="Percent 3 5 3 2 2 3 2" xfId="41240"/>
    <cellStyle name="Percent 3 5 3 2 2 4" xfId="28924"/>
    <cellStyle name="Percent 3 5 3 2 3" xfId="12344"/>
    <cellStyle name="Percent 3 5 3 2 3 2" xfId="32022"/>
    <cellStyle name="Percent 3 5 3 2 4" xfId="18496"/>
    <cellStyle name="Percent 3 5 3 2 4 2" xfId="38174"/>
    <cellStyle name="Percent 3 5 3 2 5" xfId="25858"/>
    <cellStyle name="Percent 3 5 3 3" xfId="7682"/>
    <cellStyle name="Percent 3 5 3 3 2" xfId="13876"/>
    <cellStyle name="Percent 3 5 3 3 2 2" xfId="33554"/>
    <cellStyle name="Percent 3 5 3 3 3" xfId="20028"/>
    <cellStyle name="Percent 3 5 3 3 3 2" xfId="39706"/>
    <cellStyle name="Percent 3 5 3 3 4" xfId="27390"/>
    <cellStyle name="Percent 3 5 3 4" xfId="10810"/>
    <cellStyle name="Percent 3 5 3 4 2" xfId="30488"/>
    <cellStyle name="Percent 3 5 3 5" xfId="16962"/>
    <cellStyle name="Percent 3 5 3 5 2" xfId="36640"/>
    <cellStyle name="Percent 3 5 3 6" xfId="24324"/>
    <cellStyle name="Percent 3 5 4" xfId="5358"/>
    <cellStyle name="Percent 3 5 4 2" xfId="8448"/>
    <cellStyle name="Percent 3 5 4 2 2" xfId="14641"/>
    <cellStyle name="Percent 3 5 4 2 2 2" xfId="34319"/>
    <cellStyle name="Percent 3 5 4 2 3" xfId="20793"/>
    <cellStyle name="Percent 3 5 4 2 3 2" xfId="40471"/>
    <cellStyle name="Percent 3 5 4 2 4" xfId="28155"/>
    <cellStyle name="Percent 3 5 4 3" xfId="11575"/>
    <cellStyle name="Percent 3 5 4 3 2" xfId="31253"/>
    <cellStyle name="Percent 3 5 4 4" xfId="17727"/>
    <cellStyle name="Percent 3 5 4 4 2" xfId="37405"/>
    <cellStyle name="Percent 3 5 4 5" xfId="25089"/>
    <cellStyle name="Percent 3 5 5" xfId="6913"/>
    <cellStyle name="Percent 3 5 5 2" xfId="13107"/>
    <cellStyle name="Percent 3 5 5 2 2" xfId="32785"/>
    <cellStyle name="Percent 3 5 5 3" xfId="19259"/>
    <cellStyle name="Percent 3 5 5 3 2" xfId="38937"/>
    <cellStyle name="Percent 3 5 5 4" xfId="26621"/>
    <cellStyle name="Percent 3 5 6" xfId="10041"/>
    <cellStyle name="Percent 3 5 6 2" xfId="29719"/>
    <cellStyle name="Percent 3 5 7" xfId="16193"/>
    <cellStyle name="Percent 3 5 7 2" xfId="35871"/>
    <cellStyle name="Percent 3 5 8" xfId="23538"/>
    <cellStyle name="Percent 3 5 9" xfId="42057"/>
    <cellStyle name="Percent 3 6" xfId="3473"/>
    <cellStyle name="Percent 3 6 10" xfId="21829"/>
    <cellStyle name="Percent 3 6 2" xfId="3474"/>
    <cellStyle name="Percent 3 6 2 2" xfId="4509"/>
    <cellStyle name="Percent 3 6 2 2 2" xfId="6134"/>
    <cellStyle name="Percent 3 6 2 2 2 2" xfId="9220"/>
    <cellStyle name="Percent 3 6 2 2 2 2 2" xfId="15413"/>
    <cellStyle name="Percent 3 6 2 2 2 2 2 2" xfId="35091"/>
    <cellStyle name="Percent 3 6 2 2 2 2 3" xfId="21565"/>
    <cellStyle name="Percent 3 6 2 2 2 2 3 2" xfId="41243"/>
    <cellStyle name="Percent 3 6 2 2 2 2 4" xfId="28927"/>
    <cellStyle name="Percent 3 6 2 2 2 3" xfId="12347"/>
    <cellStyle name="Percent 3 6 2 2 2 3 2" xfId="32025"/>
    <cellStyle name="Percent 3 6 2 2 2 4" xfId="18499"/>
    <cellStyle name="Percent 3 6 2 2 2 4 2" xfId="38177"/>
    <cellStyle name="Percent 3 6 2 2 2 5" xfId="25861"/>
    <cellStyle name="Percent 3 6 2 2 3" xfId="7685"/>
    <cellStyle name="Percent 3 6 2 2 3 2" xfId="13879"/>
    <cellStyle name="Percent 3 6 2 2 3 2 2" xfId="33557"/>
    <cellStyle name="Percent 3 6 2 2 3 3" xfId="20031"/>
    <cellStyle name="Percent 3 6 2 2 3 3 2" xfId="39709"/>
    <cellStyle name="Percent 3 6 2 2 3 4" xfId="27393"/>
    <cellStyle name="Percent 3 6 2 2 4" xfId="10813"/>
    <cellStyle name="Percent 3 6 2 2 4 2" xfId="30491"/>
    <cellStyle name="Percent 3 6 2 2 5" xfId="16965"/>
    <cellStyle name="Percent 3 6 2 2 5 2" xfId="36643"/>
    <cellStyle name="Percent 3 6 2 2 6" xfId="24327"/>
    <cellStyle name="Percent 3 6 2 3" xfId="5361"/>
    <cellStyle name="Percent 3 6 2 3 2" xfId="8451"/>
    <cellStyle name="Percent 3 6 2 3 2 2" xfId="14644"/>
    <cellStyle name="Percent 3 6 2 3 2 2 2" xfId="34322"/>
    <cellStyle name="Percent 3 6 2 3 2 3" xfId="20796"/>
    <cellStyle name="Percent 3 6 2 3 2 3 2" xfId="40474"/>
    <cellStyle name="Percent 3 6 2 3 2 4" xfId="28158"/>
    <cellStyle name="Percent 3 6 2 3 3" xfId="11578"/>
    <cellStyle name="Percent 3 6 2 3 3 2" xfId="31256"/>
    <cellStyle name="Percent 3 6 2 3 4" xfId="17730"/>
    <cellStyle name="Percent 3 6 2 3 4 2" xfId="37408"/>
    <cellStyle name="Percent 3 6 2 3 5" xfId="25092"/>
    <cellStyle name="Percent 3 6 2 4" xfId="6916"/>
    <cellStyle name="Percent 3 6 2 4 2" xfId="13110"/>
    <cellStyle name="Percent 3 6 2 4 2 2" xfId="32788"/>
    <cellStyle name="Percent 3 6 2 4 3" xfId="19262"/>
    <cellStyle name="Percent 3 6 2 4 3 2" xfId="38940"/>
    <cellStyle name="Percent 3 6 2 4 4" xfId="26624"/>
    <cellStyle name="Percent 3 6 2 5" xfId="10044"/>
    <cellStyle name="Percent 3 6 2 5 2" xfId="29722"/>
    <cellStyle name="Percent 3 6 2 6" xfId="16196"/>
    <cellStyle name="Percent 3 6 2 6 2" xfId="35874"/>
    <cellStyle name="Percent 3 6 2 7" xfId="23541"/>
    <cellStyle name="Percent 3 6 3" xfId="4508"/>
    <cellStyle name="Percent 3 6 3 2" xfId="6133"/>
    <cellStyle name="Percent 3 6 3 2 2" xfId="9219"/>
    <cellStyle name="Percent 3 6 3 2 2 2" xfId="15412"/>
    <cellStyle name="Percent 3 6 3 2 2 2 2" xfId="35090"/>
    <cellStyle name="Percent 3 6 3 2 2 3" xfId="21564"/>
    <cellStyle name="Percent 3 6 3 2 2 3 2" xfId="41242"/>
    <cellStyle name="Percent 3 6 3 2 2 4" xfId="28926"/>
    <cellStyle name="Percent 3 6 3 2 3" xfId="12346"/>
    <cellStyle name="Percent 3 6 3 2 3 2" xfId="32024"/>
    <cellStyle name="Percent 3 6 3 2 4" xfId="18498"/>
    <cellStyle name="Percent 3 6 3 2 4 2" xfId="38176"/>
    <cellStyle name="Percent 3 6 3 2 5" xfId="25860"/>
    <cellStyle name="Percent 3 6 3 3" xfId="7684"/>
    <cellStyle name="Percent 3 6 3 3 2" xfId="13878"/>
    <cellStyle name="Percent 3 6 3 3 2 2" xfId="33556"/>
    <cellStyle name="Percent 3 6 3 3 3" xfId="20030"/>
    <cellStyle name="Percent 3 6 3 3 3 2" xfId="39708"/>
    <cellStyle name="Percent 3 6 3 3 4" xfId="27392"/>
    <cellStyle name="Percent 3 6 3 4" xfId="10812"/>
    <cellStyle name="Percent 3 6 3 4 2" xfId="30490"/>
    <cellStyle name="Percent 3 6 3 5" xfId="16964"/>
    <cellStyle name="Percent 3 6 3 5 2" xfId="36642"/>
    <cellStyle name="Percent 3 6 3 6" xfId="24326"/>
    <cellStyle name="Percent 3 6 4" xfId="5360"/>
    <cellStyle name="Percent 3 6 4 2" xfId="8450"/>
    <cellStyle name="Percent 3 6 4 2 2" xfId="14643"/>
    <cellStyle name="Percent 3 6 4 2 2 2" xfId="34321"/>
    <cellStyle name="Percent 3 6 4 2 3" xfId="20795"/>
    <cellStyle name="Percent 3 6 4 2 3 2" xfId="40473"/>
    <cellStyle name="Percent 3 6 4 2 4" xfId="28157"/>
    <cellStyle name="Percent 3 6 4 3" xfId="11577"/>
    <cellStyle name="Percent 3 6 4 3 2" xfId="31255"/>
    <cellStyle name="Percent 3 6 4 4" xfId="17729"/>
    <cellStyle name="Percent 3 6 4 4 2" xfId="37407"/>
    <cellStyle name="Percent 3 6 4 5" xfId="25091"/>
    <cellStyle name="Percent 3 6 5" xfId="6915"/>
    <cellStyle name="Percent 3 6 5 2" xfId="13109"/>
    <cellStyle name="Percent 3 6 5 2 2" xfId="32787"/>
    <cellStyle name="Percent 3 6 5 3" xfId="19261"/>
    <cellStyle name="Percent 3 6 5 3 2" xfId="38939"/>
    <cellStyle name="Percent 3 6 5 4" xfId="26623"/>
    <cellStyle name="Percent 3 6 6" xfId="10043"/>
    <cellStyle name="Percent 3 6 6 2" xfId="29721"/>
    <cellStyle name="Percent 3 6 7" xfId="16195"/>
    <cellStyle name="Percent 3 6 7 2" xfId="35873"/>
    <cellStyle name="Percent 3 6 8" xfId="23540"/>
    <cellStyle name="Percent 3 6 9" xfId="42058"/>
    <cellStyle name="Percent 3 7" xfId="3475"/>
    <cellStyle name="Percent 3 7 2" xfId="3476"/>
    <cellStyle name="Percent 3 7 2 2" xfId="4511"/>
    <cellStyle name="Percent 3 7 2 2 2" xfId="6136"/>
    <cellStyle name="Percent 3 7 2 2 2 2" xfId="9222"/>
    <cellStyle name="Percent 3 7 2 2 2 2 2" xfId="15415"/>
    <cellStyle name="Percent 3 7 2 2 2 2 2 2" xfId="35093"/>
    <cellStyle name="Percent 3 7 2 2 2 2 3" xfId="21567"/>
    <cellStyle name="Percent 3 7 2 2 2 2 3 2" xfId="41245"/>
    <cellStyle name="Percent 3 7 2 2 2 2 4" xfId="28929"/>
    <cellStyle name="Percent 3 7 2 2 2 3" xfId="12349"/>
    <cellStyle name="Percent 3 7 2 2 2 3 2" xfId="32027"/>
    <cellStyle name="Percent 3 7 2 2 2 4" xfId="18501"/>
    <cellStyle name="Percent 3 7 2 2 2 4 2" xfId="38179"/>
    <cellStyle name="Percent 3 7 2 2 2 5" xfId="25863"/>
    <cellStyle name="Percent 3 7 2 2 3" xfId="7687"/>
    <cellStyle name="Percent 3 7 2 2 3 2" xfId="13881"/>
    <cellStyle name="Percent 3 7 2 2 3 2 2" xfId="33559"/>
    <cellStyle name="Percent 3 7 2 2 3 3" xfId="20033"/>
    <cellStyle name="Percent 3 7 2 2 3 3 2" xfId="39711"/>
    <cellStyle name="Percent 3 7 2 2 3 4" xfId="27395"/>
    <cellStyle name="Percent 3 7 2 2 4" xfId="10815"/>
    <cellStyle name="Percent 3 7 2 2 4 2" xfId="30493"/>
    <cellStyle name="Percent 3 7 2 2 5" xfId="16967"/>
    <cellStyle name="Percent 3 7 2 2 5 2" xfId="36645"/>
    <cellStyle name="Percent 3 7 2 2 6" xfId="24329"/>
    <cellStyle name="Percent 3 7 2 3" xfId="5363"/>
    <cellStyle name="Percent 3 7 2 3 2" xfId="8453"/>
    <cellStyle name="Percent 3 7 2 3 2 2" xfId="14646"/>
    <cellStyle name="Percent 3 7 2 3 2 2 2" xfId="34324"/>
    <cellStyle name="Percent 3 7 2 3 2 3" xfId="20798"/>
    <cellStyle name="Percent 3 7 2 3 2 3 2" xfId="40476"/>
    <cellStyle name="Percent 3 7 2 3 2 4" xfId="28160"/>
    <cellStyle name="Percent 3 7 2 3 3" xfId="11580"/>
    <cellStyle name="Percent 3 7 2 3 3 2" xfId="31258"/>
    <cellStyle name="Percent 3 7 2 3 4" xfId="17732"/>
    <cellStyle name="Percent 3 7 2 3 4 2" xfId="37410"/>
    <cellStyle name="Percent 3 7 2 3 5" xfId="25094"/>
    <cellStyle name="Percent 3 7 2 4" xfId="6918"/>
    <cellStyle name="Percent 3 7 2 4 2" xfId="13112"/>
    <cellStyle name="Percent 3 7 2 4 2 2" xfId="32790"/>
    <cellStyle name="Percent 3 7 2 4 3" xfId="19264"/>
    <cellStyle name="Percent 3 7 2 4 3 2" xfId="38942"/>
    <cellStyle name="Percent 3 7 2 4 4" xfId="26626"/>
    <cellStyle name="Percent 3 7 2 5" xfId="10046"/>
    <cellStyle name="Percent 3 7 2 5 2" xfId="29724"/>
    <cellStyle name="Percent 3 7 2 6" xfId="16198"/>
    <cellStyle name="Percent 3 7 2 6 2" xfId="35876"/>
    <cellStyle name="Percent 3 7 2 7" xfId="23543"/>
    <cellStyle name="Percent 3 7 3" xfId="4510"/>
    <cellStyle name="Percent 3 7 3 2" xfId="6135"/>
    <cellStyle name="Percent 3 7 3 2 2" xfId="9221"/>
    <cellStyle name="Percent 3 7 3 2 2 2" xfId="15414"/>
    <cellStyle name="Percent 3 7 3 2 2 2 2" xfId="35092"/>
    <cellStyle name="Percent 3 7 3 2 2 3" xfId="21566"/>
    <cellStyle name="Percent 3 7 3 2 2 3 2" xfId="41244"/>
    <cellStyle name="Percent 3 7 3 2 2 4" xfId="28928"/>
    <cellStyle name="Percent 3 7 3 2 3" xfId="12348"/>
    <cellStyle name="Percent 3 7 3 2 3 2" xfId="32026"/>
    <cellStyle name="Percent 3 7 3 2 4" xfId="18500"/>
    <cellStyle name="Percent 3 7 3 2 4 2" xfId="38178"/>
    <cellStyle name="Percent 3 7 3 2 5" xfId="25862"/>
    <cellStyle name="Percent 3 7 3 3" xfId="7686"/>
    <cellStyle name="Percent 3 7 3 3 2" xfId="13880"/>
    <cellStyle name="Percent 3 7 3 3 2 2" xfId="33558"/>
    <cellStyle name="Percent 3 7 3 3 3" xfId="20032"/>
    <cellStyle name="Percent 3 7 3 3 3 2" xfId="39710"/>
    <cellStyle name="Percent 3 7 3 3 4" xfId="27394"/>
    <cellStyle name="Percent 3 7 3 4" xfId="10814"/>
    <cellStyle name="Percent 3 7 3 4 2" xfId="30492"/>
    <cellStyle name="Percent 3 7 3 5" xfId="16966"/>
    <cellStyle name="Percent 3 7 3 5 2" xfId="36644"/>
    <cellStyle name="Percent 3 7 3 6" xfId="24328"/>
    <cellStyle name="Percent 3 7 4" xfId="5362"/>
    <cellStyle name="Percent 3 7 4 2" xfId="8452"/>
    <cellStyle name="Percent 3 7 4 2 2" xfId="14645"/>
    <cellStyle name="Percent 3 7 4 2 2 2" xfId="34323"/>
    <cellStyle name="Percent 3 7 4 2 3" xfId="20797"/>
    <cellStyle name="Percent 3 7 4 2 3 2" xfId="40475"/>
    <cellStyle name="Percent 3 7 4 2 4" xfId="28159"/>
    <cellStyle name="Percent 3 7 4 3" xfId="11579"/>
    <cellStyle name="Percent 3 7 4 3 2" xfId="31257"/>
    <cellStyle name="Percent 3 7 4 4" xfId="17731"/>
    <cellStyle name="Percent 3 7 4 4 2" xfId="37409"/>
    <cellStyle name="Percent 3 7 4 5" xfId="25093"/>
    <cellStyle name="Percent 3 7 5" xfId="6917"/>
    <cellStyle name="Percent 3 7 5 2" xfId="13111"/>
    <cellStyle name="Percent 3 7 5 2 2" xfId="32789"/>
    <cellStyle name="Percent 3 7 5 3" xfId="19263"/>
    <cellStyle name="Percent 3 7 5 3 2" xfId="38941"/>
    <cellStyle name="Percent 3 7 5 4" xfId="26625"/>
    <cellStyle name="Percent 3 7 6" xfId="10045"/>
    <cellStyle name="Percent 3 7 6 2" xfId="29723"/>
    <cellStyle name="Percent 3 7 7" xfId="16197"/>
    <cellStyle name="Percent 3 7 7 2" xfId="35875"/>
    <cellStyle name="Percent 3 7 8" xfId="23542"/>
    <cellStyle name="Percent 3 7 9" xfId="21854"/>
    <cellStyle name="Percent 3 8" xfId="3477"/>
    <cellStyle name="Percent 3 8 2" xfId="4512"/>
    <cellStyle name="Percent 3 8 2 2" xfId="6137"/>
    <cellStyle name="Percent 3 8 2 2 2" xfId="9223"/>
    <cellStyle name="Percent 3 8 2 2 2 2" xfId="15416"/>
    <cellStyle name="Percent 3 8 2 2 2 2 2" xfId="35094"/>
    <cellStyle name="Percent 3 8 2 2 2 3" xfId="21568"/>
    <cellStyle name="Percent 3 8 2 2 2 3 2" xfId="41246"/>
    <cellStyle name="Percent 3 8 2 2 2 4" xfId="28930"/>
    <cellStyle name="Percent 3 8 2 2 3" xfId="12350"/>
    <cellStyle name="Percent 3 8 2 2 3 2" xfId="32028"/>
    <cellStyle name="Percent 3 8 2 2 4" xfId="18502"/>
    <cellStyle name="Percent 3 8 2 2 4 2" xfId="38180"/>
    <cellStyle name="Percent 3 8 2 2 5" xfId="25864"/>
    <cellStyle name="Percent 3 8 2 3" xfId="7688"/>
    <cellStyle name="Percent 3 8 2 3 2" xfId="13882"/>
    <cellStyle name="Percent 3 8 2 3 2 2" xfId="33560"/>
    <cellStyle name="Percent 3 8 2 3 3" xfId="20034"/>
    <cellStyle name="Percent 3 8 2 3 3 2" xfId="39712"/>
    <cellStyle name="Percent 3 8 2 3 4" xfId="27396"/>
    <cellStyle name="Percent 3 8 2 4" xfId="10816"/>
    <cellStyle name="Percent 3 8 2 4 2" xfId="30494"/>
    <cellStyle name="Percent 3 8 2 5" xfId="16968"/>
    <cellStyle name="Percent 3 8 2 5 2" xfId="36646"/>
    <cellStyle name="Percent 3 8 2 6" xfId="24330"/>
    <cellStyle name="Percent 3 8 3" xfId="5364"/>
    <cellStyle name="Percent 3 8 3 2" xfId="8454"/>
    <cellStyle name="Percent 3 8 3 2 2" xfId="14647"/>
    <cellStyle name="Percent 3 8 3 2 2 2" xfId="34325"/>
    <cellStyle name="Percent 3 8 3 2 3" xfId="20799"/>
    <cellStyle name="Percent 3 8 3 2 3 2" xfId="40477"/>
    <cellStyle name="Percent 3 8 3 2 4" xfId="28161"/>
    <cellStyle name="Percent 3 8 3 3" xfId="11581"/>
    <cellStyle name="Percent 3 8 3 3 2" xfId="31259"/>
    <cellStyle name="Percent 3 8 3 4" xfId="17733"/>
    <cellStyle name="Percent 3 8 3 4 2" xfId="37411"/>
    <cellStyle name="Percent 3 8 3 5" xfId="25095"/>
    <cellStyle name="Percent 3 8 4" xfId="6919"/>
    <cellStyle name="Percent 3 8 4 2" xfId="13113"/>
    <cellStyle name="Percent 3 8 4 2 2" xfId="32791"/>
    <cellStyle name="Percent 3 8 4 3" xfId="19265"/>
    <cellStyle name="Percent 3 8 4 3 2" xfId="38943"/>
    <cellStyle name="Percent 3 8 4 4" xfId="26627"/>
    <cellStyle name="Percent 3 8 5" xfId="10047"/>
    <cellStyle name="Percent 3 8 5 2" xfId="29725"/>
    <cellStyle name="Percent 3 8 6" xfId="16199"/>
    <cellStyle name="Percent 3 8 6 2" xfId="35877"/>
    <cellStyle name="Percent 3 8 7" xfId="23544"/>
    <cellStyle name="Percent 3 8 8" xfId="21863"/>
    <cellStyle name="Percent 3 9" xfId="3478"/>
    <cellStyle name="Percent 3 9 2" xfId="4513"/>
    <cellStyle name="Percent 3 9 2 2" xfId="6138"/>
    <cellStyle name="Percent 3 9 2 2 2" xfId="9224"/>
    <cellStyle name="Percent 3 9 2 2 2 2" xfId="15417"/>
    <cellStyle name="Percent 3 9 2 2 2 2 2" xfId="35095"/>
    <cellStyle name="Percent 3 9 2 2 2 3" xfId="21569"/>
    <cellStyle name="Percent 3 9 2 2 2 3 2" xfId="41247"/>
    <cellStyle name="Percent 3 9 2 2 2 4" xfId="28931"/>
    <cellStyle name="Percent 3 9 2 2 3" xfId="12351"/>
    <cellStyle name="Percent 3 9 2 2 3 2" xfId="32029"/>
    <cellStyle name="Percent 3 9 2 2 4" xfId="18503"/>
    <cellStyle name="Percent 3 9 2 2 4 2" xfId="38181"/>
    <cellStyle name="Percent 3 9 2 2 5" xfId="25865"/>
    <cellStyle name="Percent 3 9 2 3" xfId="7689"/>
    <cellStyle name="Percent 3 9 2 3 2" xfId="13883"/>
    <cellStyle name="Percent 3 9 2 3 2 2" xfId="33561"/>
    <cellStyle name="Percent 3 9 2 3 3" xfId="20035"/>
    <cellStyle name="Percent 3 9 2 3 3 2" xfId="39713"/>
    <cellStyle name="Percent 3 9 2 3 4" xfId="27397"/>
    <cellStyle name="Percent 3 9 2 4" xfId="10817"/>
    <cellStyle name="Percent 3 9 2 4 2" xfId="30495"/>
    <cellStyle name="Percent 3 9 2 5" xfId="16969"/>
    <cellStyle name="Percent 3 9 2 5 2" xfId="36647"/>
    <cellStyle name="Percent 3 9 2 6" xfId="24331"/>
    <cellStyle name="Percent 3 9 3" xfId="5365"/>
    <cellStyle name="Percent 3 9 3 2" xfId="8455"/>
    <cellStyle name="Percent 3 9 3 2 2" xfId="14648"/>
    <cellStyle name="Percent 3 9 3 2 2 2" xfId="34326"/>
    <cellStyle name="Percent 3 9 3 2 3" xfId="20800"/>
    <cellStyle name="Percent 3 9 3 2 3 2" xfId="40478"/>
    <cellStyle name="Percent 3 9 3 2 4" xfId="28162"/>
    <cellStyle name="Percent 3 9 3 3" xfId="11582"/>
    <cellStyle name="Percent 3 9 3 3 2" xfId="31260"/>
    <cellStyle name="Percent 3 9 3 4" xfId="17734"/>
    <cellStyle name="Percent 3 9 3 4 2" xfId="37412"/>
    <cellStyle name="Percent 3 9 3 5" xfId="25096"/>
    <cellStyle name="Percent 3 9 4" xfId="6920"/>
    <cellStyle name="Percent 3 9 4 2" xfId="13114"/>
    <cellStyle name="Percent 3 9 4 2 2" xfId="32792"/>
    <cellStyle name="Percent 3 9 4 3" xfId="19266"/>
    <cellStyle name="Percent 3 9 4 3 2" xfId="38944"/>
    <cellStyle name="Percent 3 9 4 4" xfId="26628"/>
    <cellStyle name="Percent 3 9 5" xfId="10048"/>
    <cellStyle name="Percent 3 9 5 2" xfId="29726"/>
    <cellStyle name="Percent 3 9 6" xfId="16200"/>
    <cellStyle name="Percent 3 9 6 2" xfId="35878"/>
    <cellStyle name="Percent 3 9 7" xfId="23545"/>
    <cellStyle name="Percent 3 9 8" xfId="21895"/>
    <cellStyle name="Percent 30" xfId="3479"/>
    <cellStyle name="Percent 30 2" xfId="3480"/>
    <cellStyle name="Percent 30 2 2" xfId="3481"/>
    <cellStyle name="Percent 30 2 2 2" xfId="4515"/>
    <cellStyle name="Percent 30 2 2 2 2" xfId="6140"/>
    <cellStyle name="Percent 30 2 2 2 2 2" xfId="9226"/>
    <cellStyle name="Percent 30 2 2 2 2 2 2" xfId="15419"/>
    <cellStyle name="Percent 30 2 2 2 2 2 2 2" xfId="35097"/>
    <cellStyle name="Percent 30 2 2 2 2 2 3" xfId="21571"/>
    <cellStyle name="Percent 30 2 2 2 2 2 3 2" xfId="41249"/>
    <cellStyle name="Percent 30 2 2 2 2 2 4" xfId="28933"/>
    <cellStyle name="Percent 30 2 2 2 2 3" xfId="12353"/>
    <cellStyle name="Percent 30 2 2 2 2 3 2" xfId="32031"/>
    <cellStyle name="Percent 30 2 2 2 2 4" xfId="18505"/>
    <cellStyle name="Percent 30 2 2 2 2 4 2" xfId="38183"/>
    <cellStyle name="Percent 30 2 2 2 2 5" xfId="25867"/>
    <cellStyle name="Percent 30 2 2 2 3" xfId="7691"/>
    <cellStyle name="Percent 30 2 2 2 3 2" xfId="13885"/>
    <cellStyle name="Percent 30 2 2 2 3 2 2" xfId="33563"/>
    <cellStyle name="Percent 30 2 2 2 3 3" xfId="20037"/>
    <cellStyle name="Percent 30 2 2 2 3 3 2" xfId="39715"/>
    <cellStyle name="Percent 30 2 2 2 3 4" xfId="27399"/>
    <cellStyle name="Percent 30 2 2 2 4" xfId="10819"/>
    <cellStyle name="Percent 30 2 2 2 4 2" xfId="30497"/>
    <cellStyle name="Percent 30 2 2 2 5" xfId="16971"/>
    <cellStyle name="Percent 30 2 2 2 5 2" xfId="36649"/>
    <cellStyle name="Percent 30 2 2 2 6" xfId="24333"/>
    <cellStyle name="Percent 30 2 2 3" xfId="5368"/>
    <cellStyle name="Percent 30 2 2 3 2" xfId="8457"/>
    <cellStyle name="Percent 30 2 2 3 2 2" xfId="14650"/>
    <cellStyle name="Percent 30 2 2 3 2 2 2" xfId="34328"/>
    <cellStyle name="Percent 30 2 2 3 2 3" xfId="20802"/>
    <cellStyle name="Percent 30 2 2 3 2 3 2" xfId="40480"/>
    <cellStyle name="Percent 30 2 2 3 2 4" xfId="28164"/>
    <cellStyle name="Percent 30 2 2 3 3" xfId="11584"/>
    <cellStyle name="Percent 30 2 2 3 3 2" xfId="31262"/>
    <cellStyle name="Percent 30 2 2 3 4" xfId="17736"/>
    <cellStyle name="Percent 30 2 2 3 4 2" xfId="37414"/>
    <cellStyle name="Percent 30 2 2 3 5" xfId="25098"/>
    <cellStyle name="Percent 30 2 2 4" xfId="6922"/>
    <cellStyle name="Percent 30 2 2 4 2" xfId="13116"/>
    <cellStyle name="Percent 30 2 2 4 2 2" xfId="32794"/>
    <cellStyle name="Percent 30 2 2 4 3" xfId="19268"/>
    <cellStyle name="Percent 30 2 2 4 3 2" xfId="38946"/>
    <cellStyle name="Percent 30 2 2 4 4" xfId="26630"/>
    <cellStyle name="Percent 30 2 2 5" xfId="10050"/>
    <cellStyle name="Percent 30 2 2 5 2" xfId="29728"/>
    <cellStyle name="Percent 30 2 2 6" xfId="16202"/>
    <cellStyle name="Percent 30 2 2 6 2" xfId="35880"/>
    <cellStyle name="Percent 30 2 2 7" xfId="23547"/>
    <cellStyle name="Percent 30 2 3" xfId="4514"/>
    <cellStyle name="Percent 30 2 3 2" xfId="6139"/>
    <cellStyle name="Percent 30 2 3 2 2" xfId="9225"/>
    <cellStyle name="Percent 30 2 3 2 2 2" xfId="15418"/>
    <cellStyle name="Percent 30 2 3 2 2 2 2" xfId="35096"/>
    <cellStyle name="Percent 30 2 3 2 2 3" xfId="21570"/>
    <cellStyle name="Percent 30 2 3 2 2 3 2" xfId="41248"/>
    <cellStyle name="Percent 30 2 3 2 2 4" xfId="28932"/>
    <cellStyle name="Percent 30 2 3 2 3" xfId="12352"/>
    <cellStyle name="Percent 30 2 3 2 3 2" xfId="32030"/>
    <cellStyle name="Percent 30 2 3 2 4" xfId="18504"/>
    <cellStyle name="Percent 30 2 3 2 4 2" xfId="38182"/>
    <cellStyle name="Percent 30 2 3 2 5" xfId="25866"/>
    <cellStyle name="Percent 30 2 3 3" xfId="7690"/>
    <cellStyle name="Percent 30 2 3 3 2" xfId="13884"/>
    <cellStyle name="Percent 30 2 3 3 2 2" xfId="33562"/>
    <cellStyle name="Percent 30 2 3 3 3" xfId="20036"/>
    <cellStyle name="Percent 30 2 3 3 3 2" xfId="39714"/>
    <cellStyle name="Percent 30 2 3 3 4" xfId="27398"/>
    <cellStyle name="Percent 30 2 3 4" xfId="10818"/>
    <cellStyle name="Percent 30 2 3 4 2" xfId="30496"/>
    <cellStyle name="Percent 30 2 3 5" xfId="16970"/>
    <cellStyle name="Percent 30 2 3 5 2" xfId="36648"/>
    <cellStyle name="Percent 30 2 3 6" xfId="24332"/>
    <cellStyle name="Percent 30 2 4" xfId="5367"/>
    <cellStyle name="Percent 30 2 4 2" xfId="8456"/>
    <cellStyle name="Percent 30 2 4 2 2" xfId="14649"/>
    <cellStyle name="Percent 30 2 4 2 2 2" xfId="34327"/>
    <cellStyle name="Percent 30 2 4 2 3" xfId="20801"/>
    <cellStyle name="Percent 30 2 4 2 3 2" xfId="40479"/>
    <cellStyle name="Percent 30 2 4 2 4" xfId="28163"/>
    <cellStyle name="Percent 30 2 4 3" xfId="11583"/>
    <cellStyle name="Percent 30 2 4 3 2" xfId="31261"/>
    <cellStyle name="Percent 30 2 4 4" xfId="17735"/>
    <cellStyle name="Percent 30 2 4 4 2" xfId="37413"/>
    <cellStyle name="Percent 30 2 4 5" xfId="25097"/>
    <cellStyle name="Percent 30 2 5" xfId="6921"/>
    <cellStyle name="Percent 30 2 5 2" xfId="13115"/>
    <cellStyle name="Percent 30 2 5 2 2" xfId="32793"/>
    <cellStyle name="Percent 30 2 5 3" xfId="19267"/>
    <cellStyle name="Percent 30 2 5 3 2" xfId="38945"/>
    <cellStyle name="Percent 30 2 5 4" xfId="26629"/>
    <cellStyle name="Percent 30 2 6" xfId="10049"/>
    <cellStyle name="Percent 30 2 6 2" xfId="29727"/>
    <cellStyle name="Percent 30 2 7" xfId="16201"/>
    <cellStyle name="Percent 30 2 7 2" xfId="35879"/>
    <cellStyle name="Percent 30 2 8" xfId="23546"/>
    <cellStyle name="Percent 30 3" xfId="3482"/>
    <cellStyle name="Percent 30 3 2" xfId="3483"/>
    <cellStyle name="Percent 30 3 2 2" xfId="4517"/>
    <cellStyle name="Percent 30 3 2 2 2" xfId="6142"/>
    <cellStyle name="Percent 30 3 2 2 2 2" xfId="9228"/>
    <cellStyle name="Percent 30 3 2 2 2 2 2" xfId="15421"/>
    <cellStyle name="Percent 30 3 2 2 2 2 2 2" xfId="35099"/>
    <cellStyle name="Percent 30 3 2 2 2 2 3" xfId="21573"/>
    <cellStyle name="Percent 30 3 2 2 2 2 3 2" xfId="41251"/>
    <cellStyle name="Percent 30 3 2 2 2 2 4" xfId="28935"/>
    <cellStyle name="Percent 30 3 2 2 2 3" xfId="12355"/>
    <cellStyle name="Percent 30 3 2 2 2 3 2" xfId="32033"/>
    <cellStyle name="Percent 30 3 2 2 2 4" xfId="18507"/>
    <cellStyle name="Percent 30 3 2 2 2 4 2" xfId="38185"/>
    <cellStyle name="Percent 30 3 2 2 2 5" xfId="25869"/>
    <cellStyle name="Percent 30 3 2 2 3" xfId="7693"/>
    <cellStyle name="Percent 30 3 2 2 3 2" xfId="13887"/>
    <cellStyle name="Percent 30 3 2 2 3 2 2" xfId="33565"/>
    <cellStyle name="Percent 30 3 2 2 3 3" xfId="20039"/>
    <cellStyle name="Percent 30 3 2 2 3 3 2" xfId="39717"/>
    <cellStyle name="Percent 30 3 2 2 3 4" xfId="27401"/>
    <cellStyle name="Percent 30 3 2 2 4" xfId="10821"/>
    <cellStyle name="Percent 30 3 2 2 4 2" xfId="30499"/>
    <cellStyle name="Percent 30 3 2 2 5" xfId="16973"/>
    <cellStyle name="Percent 30 3 2 2 5 2" xfId="36651"/>
    <cellStyle name="Percent 30 3 2 2 6" xfId="24335"/>
    <cellStyle name="Percent 30 3 2 3" xfId="5370"/>
    <cellStyle name="Percent 30 3 2 3 2" xfId="8459"/>
    <cellStyle name="Percent 30 3 2 3 2 2" xfId="14652"/>
    <cellStyle name="Percent 30 3 2 3 2 2 2" xfId="34330"/>
    <cellStyle name="Percent 30 3 2 3 2 3" xfId="20804"/>
    <cellStyle name="Percent 30 3 2 3 2 3 2" xfId="40482"/>
    <cellStyle name="Percent 30 3 2 3 2 4" xfId="28166"/>
    <cellStyle name="Percent 30 3 2 3 3" xfId="11586"/>
    <cellStyle name="Percent 30 3 2 3 3 2" xfId="31264"/>
    <cellStyle name="Percent 30 3 2 3 4" xfId="17738"/>
    <cellStyle name="Percent 30 3 2 3 4 2" xfId="37416"/>
    <cellStyle name="Percent 30 3 2 3 5" xfId="25100"/>
    <cellStyle name="Percent 30 3 2 4" xfId="6924"/>
    <cellStyle name="Percent 30 3 2 4 2" xfId="13118"/>
    <cellStyle name="Percent 30 3 2 4 2 2" xfId="32796"/>
    <cellStyle name="Percent 30 3 2 4 3" xfId="19270"/>
    <cellStyle name="Percent 30 3 2 4 3 2" xfId="38948"/>
    <cellStyle name="Percent 30 3 2 4 4" xfId="26632"/>
    <cellStyle name="Percent 30 3 2 5" xfId="10052"/>
    <cellStyle name="Percent 30 3 2 5 2" xfId="29730"/>
    <cellStyle name="Percent 30 3 2 6" xfId="16204"/>
    <cellStyle name="Percent 30 3 2 6 2" xfId="35882"/>
    <cellStyle name="Percent 30 3 2 7" xfId="23549"/>
    <cellStyle name="Percent 30 3 3" xfId="4516"/>
    <cellStyle name="Percent 30 3 3 2" xfId="6141"/>
    <cellStyle name="Percent 30 3 3 2 2" xfId="9227"/>
    <cellStyle name="Percent 30 3 3 2 2 2" xfId="15420"/>
    <cellStyle name="Percent 30 3 3 2 2 2 2" xfId="35098"/>
    <cellStyle name="Percent 30 3 3 2 2 3" xfId="21572"/>
    <cellStyle name="Percent 30 3 3 2 2 3 2" xfId="41250"/>
    <cellStyle name="Percent 30 3 3 2 2 4" xfId="28934"/>
    <cellStyle name="Percent 30 3 3 2 3" xfId="12354"/>
    <cellStyle name="Percent 30 3 3 2 3 2" xfId="32032"/>
    <cellStyle name="Percent 30 3 3 2 4" xfId="18506"/>
    <cellStyle name="Percent 30 3 3 2 4 2" xfId="38184"/>
    <cellStyle name="Percent 30 3 3 2 5" xfId="25868"/>
    <cellStyle name="Percent 30 3 3 3" xfId="7692"/>
    <cellStyle name="Percent 30 3 3 3 2" xfId="13886"/>
    <cellStyle name="Percent 30 3 3 3 2 2" xfId="33564"/>
    <cellStyle name="Percent 30 3 3 3 3" xfId="20038"/>
    <cellStyle name="Percent 30 3 3 3 3 2" xfId="39716"/>
    <cellStyle name="Percent 30 3 3 3 4" xfId="27400"/>
    <cellStyle name="Percent 30 3 3 4" xfId="10820"/>
    <cellStyle name="Percent 30 3 3 4 2" xfId="30498"/>
    <cellStyle name="Percent 30 3 3 5" xfId="16972"/>
    <cellStyle name="Percent 30 3 3 5 2" xfId="36650"/>
    <cellStyle name="Percent 30 3 3 6" xfId="24334"/>
    <cellStyle name="Percent 30 3 4" xfId="5369"/>
    <cellStyle name="Percent 30 3 4 2" xfId="8458"/>
    <cellStyle name="Percent 30 3 4 2 2" xfId="14651"/>
    <cellStyle name="Percent 30 3 4 2 2 2" xfId="34329"/>
    <cellStyle name="Percent 30 3 4 2 3" xfId="20803"/>
    <cellStyle name="Percent 30 3 4 2 3 2" xfId="40481"/>
    <cellStyle name="Percent 30 3 4 2 4" xfId="28165"/>
    <cellStyle name="Percent 30 3 4 3" xfId="11585"/>
    <cellStyle name="Percent 30 3 4 3 2" xfId="31263"/>
    <cellStyle name="Percent 30 3 4 4" xfId="17737"/>
    <cellStyle name="Percent 30 3 4 4 2" xfId="37415"/>
    <cellStyle name="Percent 30 3 4 5" xfId="25099"/>
    <cellStyle name="Percent 30 3 5" xfId="6923"/>
    <cellStyle name="Percent 30 3 5 2" xfId="13117"/>
    <cellStyle name="Percent 30 3 5 2 2" xfId="32795"/>
    <cellStyle name="Percent 30 3 5 3" xfId="19269"/>
    <cellStyle name="Percent 30 3 5 3 2" xfId="38947"/>
    <cellStyle name="Percent 30 3 5 4" xfId="26631"/>
    <cellStyle name="Percent 30 3 6" xfId="10051"/>
    <cellStyle name="Percent 30 3 6 2" xfId="29729"/>
    <cellStyle name="Percent 30 3 7" xfId="16203"/>
    <cellStyle name="Percent 30 3 7 2" xfId="35881"/>
    <cellStyle name="Percent 30 3 8" xfId="23548"/>
    <cellStyle name="Percent 30 4" xfId="3484"/>
    <cellStyle name="Percent 30 4 2" xfId="3485"/>
    <cellStyle name="Percent 30 4 2 2" xfId="4518"/>
    <cellStyle name="Percent 30 4 2 2 2" xfId="6143"/>
    <cellStyle name="Percent 30 4 2 2 2 2" xfId="9229"/>
    <cellStyle name="Percent 30 4 2 2 2 2 2" xfId="15422"/>
    <cellStyle name="Percent 30 4 2 2 2 2 2 2" xfId="35100"/>
    <cellStyle name="Percent 30 4 2 2 2 2 3" xfId="21574"/>
    <cellStyle name="Percent 30 4 2 2 2 2 3 2" xfId="41252"/>
    <cellStyle name="Percent 30 4 2 2 2 2 4" xfId="28936"/>
    <cellStyle name="Percent 30 4 2 2 2 3" xfId="12356"/>
    <cellStyle name="Percent 30 4 2 2 2 3 2" xfId="32034"/>
    <cellStyle name="Percent 30 4 2 2 2 4" xfId="18508"/>
    <cellStyle name="Percent 30 4 2 2 2 4 2" xfId="38186"/>
    <cellStyle name="Percent 30 4 2 2 2 5" xfId="25870"/>
    <cellStyle name="Percent 30 4 2 2 3" xfId="7694"/>
    <cellStyle name="Percent 30 4 2 2 3 2" xfId="13888"/>
    <cellStyle name="Percent 30 4 2 2 3 2 2" xfId="33566"/>
    <cellStyle name="Percent 30 4 2 2 3 3" xfId="20040"/>
    <cellStyle name="Percent 30 4 2 2 3 3 2" xfId="39718"/>
    <cellStyle name="Percent 30 4 2 2 3 4" xfId="27402"/>
    <cellStyle name="Percent 30 4 2 2 4" xfId="10822"/>
    <cellStyle name="Percent 30 4 2 2 4 2" xfId="30500"/>
    <cellStyle name="Percent 30 4 2 2 5" xfId="16974"/>
    <cellStyle name="Percent 30 4 2 2 5 2" xfId="36652"/>
    <cellStyle name="Percent 30 4 2 2 6" xfId="24336"/>
    <cellStyle name="Percent 30 4 2 3" xfId="5371"/>
    <cellStyle name="Percent 30 4 2 3 2" xfId="8460"/>
    <cellStyle name="Percent 30 4 2 3 2 2" xfId="14653"/>
    <cellStyle name="Percent 30 4 2 3 2 2 2" xfId="34331"/>
    <cellStyle name="Percent 30 4 2 3 2 3" xfId="20805"/>
    <cellStyle name="Percent 30 4 2 3 2 3 2" xfId="40483"/>
    <cellStyle name="Percent 30 4 2 3 2 4" xfId="28167"/>
    <cellStyle name="Percent 30 4 2 3 3" xfId="11587"/>
    <cellStyle name="Percent 30 4 2 3 3 2" xfId="31265"/>
    <cellStyle name="Percent 30 4 2 3 4" xfId="17739"/>
    <cellStyle name="Percent 30 4 2 3 4 2" xfId="37417"/>
    <cellStyle name="Percent 30 4 2 3 5" xfId="25101"/>
    <cellStyle name="Percent 30 4 2 4" xfId="6925"/>
    <cellStyle name="Percent 30 4 2 4 2" xfId="13119"/>
    <cellStyle name="Percent 30 4 2 4 2 2" xfId="32797"/>
    <cellStyle name="Percent 30 4 2 4 3" xfId="19271"/>
    <cellStyle name="Percent 30 4 2 4 3 2" xfId="38949"/>
    <cellStyle name="Percent 30 4 2 4 4" xfId="26633"/>
    <cellStyle name="Percent 30 4 2 5" xfId="10053"/>
    <cellStyle name="Percent 30 4 2 5 2" xfId="29731"/>
    <cellStyle name="Percent 30 4 2 6" xfId="16205"/>
    <cellStyle name="Percent 30 4 2 6 2" xfId="35883"/>
    <cellStyle name="Percent 30 4 2 7" xfId="23550"/>
    <cellStyle name="Percent 30 5" xfId="3486"/>
    <cellStyle name="Percent 30 5 2" xfId="4519"/>
    <cellStyle name="Percent 30 5 2 2" xfId="6144"/>
    <cellStyle name="Percent 30 5 2 2 2" xfId="9230"/>
    <cellStyle name="Percent 30 5 2 2 2 2" xfId="15423"/>
    <cellStyle name="Percent 30 5 2 2 2 2 2" xfId="35101"/>
    <cellStyle name="Percent 30 5 2 2 2 3" xfId="21575"/>
    <cellStyle name="Percent 30 5 2 2 2 3 2" xfId="41253"/>
    <cellStyle name="Percent 30 5 2 2 2 4" xfId="28937"/>
    <cellStyle name="Percent 30 5 2 2 3" xfId="12357"/>
    <cellStyle name="Percent 30 5 2 2 3 2" xfId="32035"/>
    <cellStyle name="Percent 30 5 2 2 4" xfId="18509"/>
    <cellStyle name="Percent 30 5 2 2 4 2" xfId="38187"/>
    <cellStyle name="Percent 30 5 2 2 5" xfId="25871"/>
    <cellStyle name="Percent 30 5 2 3" xfId="7695"/>
    <cellStyle name="Percent 30 5 2 3 2" xfId="13889"/>
    <cellStyle name="Percent 30 5 2 3 2 2" xfId="33567"/>
    <cellStyle name="Percent 30 5 2 3 3" xfId="20041"/>
    <cellStyle name="Percent 30 5 2 3 3 2" xfId="39719"/>
    <cellStyle name="Percent 30 5 2 3 4" xfId="27403"/>
    <cellStyle name="Percent 30 5 2 4" xfId="10823"/>
    <cellStyle name="Percent 30 5 2 4 2" xfId="30501"/>
    <cellStyle name="Percent 30 5 2 5" xfId="16975"/>
    <cellStyle name="Percent 30 5 2 5 2" xfId="36653"/>
    <cellStyle name="Percent 30 5 2 6" xfId="24337"/>
    <cellStyle name="Percent 30 5 3" xfId="5372"/>
    <cellStyle name="Percent 30 5 3 2" xfId="8461"/>
    <cellStyle name="Percent 30 5 3 2 2" xfId="14654"/>
    <cellStyle name="Percent 30 5 3 2 2 2" xfId="34332"/>
    <cellStyle name="Percent 30 5 3 2 3" xfId="20806"/>
    <cellStyle name="Percent 30 5 3 2 3 2" xfId="40484"/>
    <cellStyle name="Percent 30 5 3 2 4" xfId="28168"/>
    <cellStyle name="Percent 30 5 3 3" xfId="11588"/>
    <cellStyle name="Percent 30 5 3 3 2" xfId="31266"/>
    <cellStyle name="Percent 30 5 3 4" xfId="17740"/>
    <cellStyle name="Percent 30 5 3 4 2" xfId="37418"/>
    <cellStyle name="Percent 30 5 3 5" xfId="25102"/>
    <cellStyle name="Percent 30 5 4" xfId="6926"/>
    <cellStyle name="Percent 30 5 4 2" xfId="13120"/>
    <cellStyle name="Percent 30 5 4 2 2" xfId="32798"/>
    <cellStyle name="Percent 30 5 4 3" xfId="19272"/>
    <cellStyle name="Percent 30 5 4 3 2" xfId="38950"/>
    <cellStyle name="Percent 30 5 4 4" xfId="26634"/>
    <cellStyle name="Percent 30 5 5" xfId="10054"/>
    <cellStyle name="Percent 30 5 5 2" xfId="29732"/>
    <cellStyle name="Percent 30 5 6" xfId="16206"/>
    <cellStyle name="Percent 30 5 6 2" xfId="35884"/>
    <cellStyle name="Percent 30 5 7" xfId="23551"/>
    <cellStyle name="Percent 31" xfId="3487"/>
    <cellStyle name="Percent 31 2" xfId="3488"/>
    <cellStyle name="Percent 31 2 2" xfId="3489"/>
    <cellStyle name="Percent 31 2 2 2" xfId="4521"/>
    <cellStyle name="Percent 31 2 2 2 2" xfId="6146"/>
    <cellStyle name="Percent 31 2 2 2 2 2" xfId="9232"/>
    <cellStyle name="Percent 31 2 2 2 2 2 2" xfId="15425"/>
    <cellStyle name="Percent 31 2 2 2 2 2 2 2" xfId="35103"/>
    <cellStyle name="Percent 31 2 2 2 2 2 3" xfId="21577"/>
    <cellStyle name="Percent 31 2 2 2 2 2 3 2" xfId="41255"/>
    <cellStyle name="Percent 31 2 2 2 2 2 4" xfId="28939"/>
    <cellStyle name="Percent 31 2 2 2 2 3" xfId="12359"/>
    <cellStyle name="Percent 31 2 2 2 2 3 2" xfId="32037"/>
    <cellStyle name="Percent 31 2 2 2 2 4" xfId="18511"/>
    <cellStyle name="Percent 31 2 2 2 2 4 2" xfId="38189"/>
    <cellStyle name="Percent 31 2 2 2 2 5" xfId="25873"/>
    <cellStyle name="Percent 31 2 2 2 3" xfId="7697"/>
    <cellStyle name="Percent 31 2 2 2 3 2" xfId="13891"/>
    <cellStyle name="Percent 31 2 2 2 3 2 2" xfId="33569"/>
    <cellStyle name="Percent 31 2 2 2 3 3" xfId="20043"/>
    <cellStyle name="Percent 31 2 2 2 3 3 2" xfId="39721"/>
    <cellStyle name="Percent 31 2 2 2 3 4" xfId="27405"/>
    <cellStyle name="Percent 31 2 2 2 4" xfId="10825"/>
    <cellStyle name="Percent 31 2 2 2 4 2" xfId="30503"/>
    <cellStyle name="Percent 31 2 2 2 5" xfId="16977"/>
    <cellStyle name="Percent 31 2 2 2 5 2" xfId="36655"/>
    <cellStyle name="Percent 31 2 2 2 6" xfId="24339"/>
    <cellStyle name="Percent 31 2 2 3" xfId="5374"/>
    <cellStyle name="Percent 31 2 2 3 2" xfId="8463"/>
    <cellStyle name="Percent 31 2 2 3 2 2" xfId="14656"/>
    <cellStyle name="Percent 31 2 2 3 2 2 2" xfId="34334"/>
    <cellStyle name="Percent 31 2 2 3 2 3" xfId="20808"/>
    <cellStyle name="Percent 31 2 2 3 2 3 2" xfId="40486"/>
    <cellStyle name="Percent 31 2 2 3 2 4" xfId="28170"/>
    <cellStyle name="Percent 31 2 2 3 3" xfId="11590"/>
    <cellStyle name="Percent 31 2 2 3 3 2" xfId="31268"/>
    <cellStyle name="Percent 31 2 2 3 4" xfId="17742"/>
    <cellStyle name="Percent 31 2 2 3 4 2" xfId="37420"/>
    <cellStyle name="Percent 31 2 2 3 5" xfId="25104"/>
    <cellStyle name="Percent 31 2 2 4" xfId="6928"/>
    <cellStyle name="Percent 31 2 2 4 2" xfId="13122"/>
    <cellStyle name="Percent 31 2 2 4 2 2" xfId="32800"/>
    <cellStyle name="Percent 31 2 2 4 3" xfId="19274"/>
    <cellStyle name="Percent 31 2 2 4 3 2" xfId="38952"/>
    <cellStyle name="Percent 31 2 2 4 4" xfId="26636"/>
    <cellStyle name="Percent 31 2 2 5" xfId="10056"/>
    <cellStyle name="Percent 31 2 2 5 2" xfId="29734"/>
    <cellStyle name="Percent 31 2 2 6" xfId="16208"/>
    <cellStyle name="Percent 31 2 2 6 2" xfId="35886"/>
    <cellStyle name="Percent 31 2 2 7" xfId="23553"/>
    <cellStyle name="Percent 31 2 3" xfId="4520"/>
    <cellStyle name="Percent 31 2 3 2" xfId="6145"/>
    <cellStyle name="Percent 31 2 3 2 2" xfId="9231"/>
    <cellStyle name="Percent 31 2 3 2 2 2" xfId="15424"/>
    <cellStyle name="Percent 31 2 3 2 2 2 2" xfId="35102"/>
    <cellStyle name="Percent 31 2 3 2 2 3" xfId="21576"/>
    <cellStyle name="Percent 31 2 3 2 2 3 2" xfId="41254"/>
    <cellStyle name="Percent 31 2 3 2 2 4" xfId="28938"/>
    <cellStyle name="Percent 31 2 3 2 3" xfId="12358"/>
    <cellStyle name="Percent 31 2 3 2 3 2" xfId="32036"/>
    <cellStyle name="Percent 31 2 3 2 4" xfId="18510"/>
    <cellStyle name="Percent 31 2 3 2 4 2" xfId="38188"/>
    <cellStyle name="Percent 31 2 3 2 5" xfId="25872"/>
    <cellStyle name="Percent 31 2 3 3" xfId="7696"/>
    <cellStyle name="Percent 31 2 3 3 2" xfId="13890"/>
    <cellStyle name="Percent 31 2 3 3 2 2" xfId="33568"/>
    <cellStyle name="Percent 31 2 3 3 3" xfId="20042"/>
    <cellStyle name="Percent 31 2 3 3 3 2" xfId="39720"/>
    <cellStyle name="Percent 31 2 3 3 4" xfId="27404"/>
    <cellStyle name="Percent 31 2 3 4" xfId="10824"/>
    <cellStyle name="Percent 31 2 3 4 2" xfId="30502"/>
    <cellStyle name="Percent 31 2 3 5" xfId="16976"/>
    <cellStyle name="Percent 31 2 3 5 2" xfId="36654"/>
    <cellStyle name="Percent 31 2 3 6" xfId="24338"/>
    <cellStyle name="Percent 31 2 4" xfId="5373"/>
    <cellStyle name="Percent 31 2 4 2" xfId="8462"/>
    <cellStyle name="Percent 31 2 4 2 2" xfId="14655"/>
    <cellStyle name="Percent 31 2 4 2 2 2" xfId="34333"/>
    <cellStyle name="Percent 31 2 4 2 3" xfId="20807"/>
    <cellStyle name="Percent 31 2 4 2 3 2" xfId="40485"/>
    <cellStyle name="Percent 31 2 4 2 4" xfId="28169"/>
    <cellStyle name="Percent 31 2 4 3" xfId="11589"/>
    <cellStyle name="Percent 31 2 4 3 2" xfId="31267"/>
    <cellStyle name="Percent 31 2 4 4" xfId="17741"/>
    <cellStyle name="Percent 31 2 4 4 2" xfId="37419"/>
    <cellStyle name="Percent 31 2 4 5" xfId="25103"/>
    <cellStyle name="Percent 31 2 5" xfId="6927"/>
    <cellStyle name="Percent 31 2 5 2" xfId="13121"/>
    <cellStyle name="Percent 31 2 5 2 2" xfId="32799"/>
    <cellStyle name="Percent 31 2 5 3" xfId="19273"/>
    <cellStyle name="Percent 31 2 5 3 2" xfId="38951"/>
    <cellStyle name="Percent 31 2 5 4" xfId="26635"/>
    <cellStyle name="Percent 31 2 6" xfId="10055"/>
    <cellStyle name="Percent 31 2 6 2" xfId="29733"/>
    <cellStyle name="Percent 31 2 7" xfId="16207"/>
    <cellStyle name="Percent 31 2 7 2" xfId="35885"/>
    <cellStyle name="Percent 31 2 8" xfId="23552"/>
    <cellStyle name="Percent 31 3" xfId="3490"/>
    <cellStyle name="Percent 31 3 2" xfId="3491"/>
    <cellStyle name="Percent 31 3 2 2" xfId="4523"/>
    <cellStyle name="Percent 31 3 2 2 2" xfId="6148"/>
    <cellStyle name="Percent 31 3 2 2 2 2" xfId="9234"/>
    <cellStyle name="Percent 31 3 2 2 2 2 2" xfId="15427"/>
    <cellStyle name="Percent 31 3 2 2 2 2 2 2" xfId="35105"/>
    <cellStyle name="Percent 31 3 2 2 2 2 3" xfId="21579"/>
    <cellStyle name="Percent 31 3 2 2 2 2 3 2" xfId="41257"/>
    <cellStyle name="Percent 31 3 2 2 2 2 4" xfId="28941"/>
    <cellStyle name="Percent 31 3 2 2 2 3" xfId="12361"/>
    <cellStyle name="Percent 31 3 2 2 2 3 2" xfId="32039"/>
    <cellStyle name="Percent 31 3 2 2 2 4" xfId="18513"/>
    <cellStyle name="Percent 31 3 2 2 2 4 2" xfId="38191"/>
    <cellStyle name="Percent 31 3 2 2 2 5" xfId="25875"/>
    <cellStyle name="Percent 31 3 2 2 3" xfId="7699"/>
    <cellStyle name="Percent 31 3 2 2 3 2" xfId="13893"/>
    <cellStyle name="Percent 31 3 2 2 3 2 2" xfId="33571"/>
    <cellStyle name="Percent 31 3 2 2 3 3" xfId="20045"/>
    <cellStyle name="Percent 31 3 2 2 3 3 2" xfId="39723"/>
    <cellStyle name="Percent 31 3 2 2 3 4" xfId="27407"/>
    <cellStyle name="Percent 31 3 2 2 4" xfId="10827"/>
    <cellStyle name="Percent 31 3 2 2 4 2" xfId="30505"/>
    <cellStyle name="Percent 31 3 2 2 5" xfId="16979"/>
    <cellStyle name="Percent 31 3 2 2 5 2" xfId="36657"/>
    <cellStyle name="Percent 31 3 2 2 6" xfId="24341"/>
    <cellStyle name="Percent 31 3 2 3" xfId="5376"/>
    <cellStyle name="Percent 31 3 2 3 2" xfId="8465"/>
    <cellStyle name="Percent 31 3 2 3 2 2" xfId="14658"/>
    <cellStyle name="Percent 31 3 2 3 2 2 2" xfId="34336"/>
    <cellStyle name="Percent 31 3 2 3 2 3" xfId="20810"/>
    <cellStyle name="Percent 31 3 2 3 2 3 2" xfId="40488"/>
    <cellStyle name="Percent 31 3 2 3 2 4" xfId="28172"/>
    <cellStyle name="Percent 31 3 2 3 3" xfId="11592"/>
    <cellStyle name="Percent 31 3 2 3 3 2" xfId="31270"/>
    <cellStyle name="Percent 31 3 2 3 4" xfId="17744"/>
    <cellStyle name="Percent 31 3 2 3 4 2" xfId="37422"/>
    <cellStyle name="Percent 31 3 2 3 5" xfId="25106"/>
    <cellStyle name="Percent 31 3 2 4" xfId="6930"/>
    <cellStyle name="Percent 31 3 2 4 2" xfId="13124"/>
    <cellStyle name="Percent 31 3 2 4 2 2" xfId="32802"/>
    <cellStyle name="Percent 31 3 2 4 3" xfId="19276"/>
    <cellStyle name="Percent 31 3 2 4 3 2" xfId="38954"/>
    <cellStyle name="Percent 31 3 2 4 4" xfId="26638"/>
    <cellStyle name="Percent 31 3 2 5" xfId="10058"/>
    <cellStyle name="Percent 31 3 2 5 2" xfId="29736"/>
    <cellStyle name="Percent 31 3 2 6" xfId="16210"/>
    <cellStyle name="Percent 31 3 2 6 2" xfId="35888"/>
    <cellStyle name="Percent 31 3 2 7" xfId="23555"/>
    <cellStyle name="Percent 31 3 3" xfId="4522"/>
    <cellStyle name="Percent 31 3 3 2" xfId="6147"/>
    <cellStyle name="Percent 31 3 3 2 2" xfId="9233"/>
    <cellStyle name="Percent 31 3 3 2 2 2" xfId="15426"/>
    <cellStyle name="Percent 31 3 3 2 2 2 2" xfId="35104"/>
    <cellStyle name="Percent 31 3 3 2 2 3" xfId="21578"/>
    <cellStyle name="Percent 31 3 3 2 2 3 2" xfId="41256"/>
    <cellStyle name="Percent 31 3 3 2 2 4" xfId="28940"/>
    <cellStyle name="Percent 31 3 3 2 3" xfId="12360"/>
    <cellStyle name="Percent 31 3 3 2 3 2" xfId="32038"/>
    <cellStyle name="Percent 31 3 3 2 4" xfId="18512"/>
    <cellStyle name="Percent 31 3 3 2 4 2" xfId="38190"/>
    <cellStyle name="Percent 31 3 3 2 5" xfId="25874"/>
    <cellStyle name="Percent 31 3 3 3" xfId="7698"/>
    <cellStyle name="Percent 31 3 3 3 2" xfId="13892"/>
    <cellStyle name="Percent 31 3 3 3 2 2" xfId="33570"/>
    <cellStyle name="Percent 31 3 3 3 3" xfId="20044"/>
    <cellStyle name="Percent 31 3 3 3 3 2" xfId="39722"/>
    <cellStyle name="Percent 31 3 3 3 4" xfId="27406"/>
    <cellStyle name="Percent 31 3 3 4" xfId="10826"/>
    <cellStyle name="Percent 31 3 3 4 2" xfId="30504"/>
    <cellStyle name="Percent 31 3 3 5" xfId="16978"/>
    <cellStyle name="Percent 31 3 3 5 2" xfId="36656"/>
    <cellStyle name="Percent 31 3 3 6" xfId="24340"/>
    <cellStyle name="Percent 31 3 4" xfId="5375"/>
    <cellStyle name="Percent 31 3 4 2" xfId="8464"/>
    <cellStyle name="Percent 31 3 4 2 2" xfId="14657"/>
    <cellStyle name="Percent 31 3 4 2 2 2" xfId="34335"/>
    <cellStyle name="Percent 31 3 4 2 3" xfId="20809"/>
    <cellStyle name="Percent 31 3 4 2 3 2" xfId="40487"/>
    <cellStyle name="Percent 31 3 4 2 4" xfId="28171"/>
    <cellStyle name="Percent 31 3 4 3" xfId="11591"/>
    <cellStyle name="Percent 31 3 4 3 2" xfId="31269"/>
    <cellStyle name="Percent 31 3 4 4" xfId="17743"/>
    <cellStyle name="Percent 31 3 4 4 2" xfId="37421"/>
    <cellStyle name="Percent 31 3 4 5" xfId="25105"/>
    <cellStyle name="Percent 31 3 5" xfId="6929"/>
    <cellStyle name="Percent 31 3 5 2" xfId="13123"/>
    <cellStyle name="Percent 31 3 5 2 2" xfId="32801"/>
    <cellStyle name="Percent 31 3 5 3" xfId="19275"/>
    <cellStyle name="Percent 31 3 5 3 2" xfId="38953"/>
    <cellStyle name="Percent 31 3 5 4" xfId="26637"/>
    <cellStyle name="Percent 31 3 6" xfId="10057"/>
    <cellStyle name="Percent 31 3 6 2" xfId="29735"/>
    <cellStyle name="Percent 31 3 7" xfId="16209"/>
    <cellStyle name="Percent 31 3 7 2" xfId="35887"/>
    <cellStyle name="Percent 31 3 8" xfId="23554"/>
    <cellStyle name="Percent 31 4" xfId="3492"/>
    <cellStyle name="Percent 31 4 2" xfId="3493"/>
    <cellStyle name="Percent 31 4 2 2" xfId="4524"/>
    <cellStyle name="Percent 31 4 2 2 2" xfId="6149"/>
    <cellStyle name="Percent 31 4 2 2 2 2" xfId="9235"/>
    <cellStyle name="Percent 31 4 2 2 2 2 2" xfId="15428"/>
    <cellStyle name="Percent 31 4 2 2 2 2 2 2" xfId="35106"/>
    <cellStyle name="Percent 31 4 2 2 2 2 3" xfId="21580"/>
    <cellStyle name="Percent 31 4 2 2 2 2 3 2" xfId="41258"/>
    <cellStyle name="Percent 31 4 2 2 2 2 4" xfId="28942"/>
    <cellStyle name="Percent 31 4 2 2 2 3" xfId="12362"/>
    <cellStyle name="Percent 31 4 2 2 2 3 2" xfId="32040"/>
    <cellStyle name="Percent 31 4 2 2 2 4" xfId="18514"/>
    <cellStyle name="Percent 31 4 2 2 2 4 2" xfId="38192"/>
    <cellStyle name="Percent 31 4 2 2 2 5" xfId="25876"/>
    <cellStyle name="Percent 31 4 2 2 3" xfId="7700"/>
    <cellStyle name="Percent 31 4 2 2 3 2" xfId="13894"/>
    <cellStyle name="Percent 31 4 2 2 3 2 2" xfId="33572"/>
    <cellStyle name="Percent 31 4 2 2 3 3" xfId="20046"/>
    <cellStyle name="Percent 31 4 2 2 3 3 2" xfId="39724"/>
    <cellStyle name="Percent 31 4 2 2 3 4" xfId="27408"/>
    <cellStyle name="Percent 31 4 2 2 4" xfId="10828"/>
    <cellStyle name="Percent 31 4 2 2 4 2" xfId="30506"/>
    <cellStyle name="Percent 31 4 2 2 5" xfId="16980"/>
    <cellStyle name="Percent 31 4 2 2 5 2" xfId="36658"/>
    <cellStyle name="Percent 31 4 2 2 6" xfId="24342"/>
    <cellStyle name="Percent 31 4 2 3" xfId="5377"/>
    <cellStyle name="Percent 31 4 2 3 2" xfId="8466"/>
    <cellStyle name="Percent 31 4 2 3 2 2" xfId="14659"/>
    <cellStyle name="Percent 31 4 2 3 2 2 2" xfId="34337"/>
    <cellStyle name="Percent 31 4 2 3 2 3" xfId="20811"/>
    <cellStyle name="Percent 31 4 2 3 2 3 2" xfId="40489"/>
    <cellStyle name="Percent 31 4 2 3 2 4" xfId="28173"/>
    <cellStyle name="Percent 31 4 2 3 3" xfId="11593"/>
    <cellStyle name="Percent 31 4 2 3 3 2" xfId="31271"/>
    <cellStyle name="Percent 31 4 2 3 4" xfId="17745"/>
    <cellStyle name="Percent 31 4 2 3 4 2" xfId="37423"/>
    <cellStyle name="Percent 31 4 2 3 5" xfId="25107"/>
    <cellStyle name="Percent 31 4 2 4" xfId="6931"/>
    <cellStyle name="Percent 31 4 2 4 2" xfId="13125"/>
    <cellStyle name="Percent 31 4 2 4 2 2" xfId="32803"/>
    <cellStyle name="Percent 31 4 2 4 3" xfId="19277"/>
    <cellStyle name="Percent 31 4 2 4 3 2" xfId="38955"/>
    <cellStyle name="Percent 31 4 2 4 4" xfId="26639"/>
    <cellStyle name="Percent 31 4 2 5" xfId="10059"/>
    <cellStyle name="Percent 31 4 2 5 2" xfId="29737"/>
    <cellStyle name="Percent 31 4 2 6" xfId="16211"/>
    <cellStyle name="Percent 31 4 2 6 2" xfId="35889"/>
    <cellStyle name="Percent 31 4 2 7" xfId="23556"/>
    <cellStyle name="Percent 31 5" xfId="3494"/>
    <cellStyle name="Percent 31 5 2" xfId="4525"/>
    <cellStyle name="Percent 31 5 2 2" xfId="6150"/>
    <cellStyle name="Percent 31 5 2 2 2" xfId="9236"/>
    <cellStyle name="Percent 31 5 2 2 2 2" xfId="15429"/>
    <cellStyle name="Percent 31 5 2 2 2 2 2" xfId="35107"/>
    <cellStyle name="Percent 31 5 2 2 2 3" xfId="21581"/>
    <cellStyle name="Percent 31 5 2 2 2 3 2" xfId="41259"/>
    <cellStyle name="Percent 31 5 2 2 2 4" xfId="28943"/>
    <cellStyle name="Percent 31 5 2 2 3" xfId="12363"/>
    <cellStyle name="Percent 31 5 2 2 3 2" xfId="32041"/>
    <cellStyle name="Percent 31 5 2 2 4" xfId="18515"/>
    <cellStyle name="Percent 31 5 2 2 4 2" xfId="38193"/>
    <cellStyle name="Percent 31 5 2 2 5" xfId="25877"/>
    <cellStyle name="Percent 31 5 2 3" xfId="7701"/>
    <cellStyle name="Percent 31 5 2 3 2" xfId="13895"/>
    <cellStyle name="Percent 31 5 2 3 2 2" xfId="33573"/>
    <cellStyle name="Percent 31 5 2 3 3" xfId="20047"/>
    <cellStyle name="Percent 31 5 2 3 3 2" xfId="39725"/>
    <cellStyle name="Percent 31 5 2 3 4" xfId="27409"/>
    <cellStyle name="Percent 31 5 2 4" xfId="10829"/>
    <cellStyle name="Percent 31 5 2 4 2" xfId="30507"/>
    <cellStyle name="Percent 31 5 2 5" xfId="16981"/>
    <cellStyle name="Percent 31 5 2 5 2" xfId="36659"/>
    <cellStyle name="Percent 31 5 2 6" xfId="24343"/>
    <cellStyle name="Percent 31 5 3" xfId="5378"/>
    <cellStyle name="Percent 31 5 3 2" xfId="8467"/>
    <cellStyle name="Percent 31 5 3 2 2" xfId="14660"/>
    <cellStyle name="Percent 31 5 3 2 2 2" xfId="34338"/>
    <cellStyle name="Percent 31 5 3 2 3" xfId="20812"/>
    <cellStyle name="Percent 31 5 3 2 3 2" xfId="40490"/>
    <cellStyle name="Percent 31 5 3 2 4" xfId="28174"/>
    <cellStyle name="Percent 31 5 3 3" xfId="11594"/>
    <cellStyle name="Percent 31 5 3 3 2" xfId="31272"/>
    <cellStyle name="Percent 31 5 3 4" xfId="17746"/>
    <cellStyle name="Percent 31 5 3 4 2" xfId="37424"/>
    <cellStyle name="Percent 31 5 3 5" xfId="25108"/>
    <cellStyle name="Percent 31 5 4" xfId="6932"/>
    <cellStyle name="Percent 31 5 4 2" xfId="13126"/>
    <cellStyle name="Percent 31 5 4 2 2" xfId="32804"/>
    <cellStyle name="Percent 31 5 4 3" xfId="19278"/>
    <cellStyle name="Percent 31 5 4 3 2" xfId="38956"/>
    <cellStyle name="Percent 31 5 4 4" xfId="26640"/>
    <cellStyle name="Percent 31 5 5" xfId="10060"/>
    <cellStyle name="Percent 31 5 5 2" xfId="29738"/>
    <cellStyle name="Percent 31 5 6" xfId="16212"/>
    <cellStyle name="Percent 31 5 6 2" xfId="35890"/>
    <cellStyle name="Percent 31 5 7" xfId="23557"/>
    <cellStyle name="Percent 32" xfId="3495"/>
    <cellStyle name="Percent 32 2" xfId="3496"/>
    <cellStyle name="Percent 32 2 2" xfId="3497"/>
    <cellStyle name="Percent 32 2 2 2" xfId="4527"/>
    <cellStyle name="Percent 32 2 2 2 2" xfId="6152"/>
    <cellStyle name="Percent 32 2 2 2 2 2" xfId="9238"/>
    <cellStyle name="Percent 32 2 2 2 2 2 2" xfId="15431"/>
    <cellStyle name="Percent 32 2 2 2 2 2 2 2" xfId="35109"/>
    <cellStyle name="Percent 32 2 2 2 2 2 3" xfId="21583"/>
    <cellStyle name="Percent 32 2 2 2 2 2 3 2" xfId="41261"/>
    <cellStyle name="Percent 32 2 2 2 2 2 4" xfId="28945"/>
    <cellStyle name="Percent 32 2 2 2 2 3" xfId="12365"/>
    <cellStyle name="Percent 32 2 2 2 2 3 2" xfId="32043"/>
    <cellStyle name="Percent 32 2 2 2 2 4" xfId="18517"/>
    <cellStyle name="Percent 32 2 2 2 2 4 2" xfId="38195"/>
    <cellStyle name="Percent 32 2 2 2 2 5" xfId="25879"/>
    <cellStyle name="Percent 32 2 2 2 3" xfId="7703"/>
    <cellStyle name="Percent 32 2 2 2 3 2" xfId="13897"/>
    <cellStyle name="Percent 32 2 2 2 3 2 2" xfId="33575"/>
    <cellStyle name="Percent 32 2 2 2 3 3" xfId="20049"/>
    <cellStyle name="Percent 32 2 2 2 3 3 2" xfId="39727"/>
    <cellStyle name="Percent 32 2 2 2 3 4" xfId="27411"/>
    <cellStyle name="Percent 32 2 2 2 4" xfId="10831"/>
    <cellStyle name="Percent 32 2 2 2 4 2" xfId="30509"/>
    <cellStyle name="Percent 32 2 2 2 5" xfId="16983"/>
    <cellStyle name="Percent 32 2 2 2 5 2" xfId="36661"/>
    <cellStyle name="Percent 32 2 2 2 6" xfId="24345"/>
    <cellStyle name="Percent 32 2 2 3" xfId="5380"/>
    <cellStyle name="Percent 32 2 2 3 2" xfId="8469"/>
    <cellStyle name="Percent 32 2 2 3 2 2" xfId="14662"/>
    <cellStyle name="Percent 32 2 2 3 2 2 2" xfId="34340"/>
    <cellStyle name="Percent 32 2 2 3 2 3" xfId="20814"/>
    <cellStyle name="Percent 32 2 2 3 2 3 2" xfId="40492"/>
    <cellStyle name="Percent 32 2 2 3 2 4" xfId="28176"/>
    <cellStyle name="Percent 32 2 2 3 3" xfId="11596"/>
    <cellStyle name="Percent 32 2 2 3 3 2" xfId="31274"/>
    <cellStyle name="Percent 32 2 2 3 4" xfId="17748"/>
    <cellStyle name="Percent 32 2 2 3 4 2" xfId="37426"/>
    <cellStyle name="Percent 32 2 2 3 5" xfId="25110"/>
    <cellStyle name="Percent 32 2 2 4" xfId="6934"/>
    <cellStyle name="Percent 32 2 2 4 2" xfId="13128"/>
    <cellStyle name="Percent 32 2 2 4 2 2" xfId="32806"/>
    <cellStyle name="Percent 32 2 2 4 3" xfId="19280"/>
    <cellStyle name="Percent 32 2 2 4 3 2" xfId="38958"/>
    <cellStyle name="Percent 32 2 2 4 4" xfId="26642"/>
    <cellStyle name="Percent 32 2 2 5" xfId="10062"/>
    <cellStyle name="Percent 32 2 2 5 2" xfId="29740"/>
    <cellStyle name="Percent 32 2 2 6" xfId="16214"/>
    <cellStyle name="Percent 32 2 2 6 2" xfId="35892"/>
    <cellStyle name="Percent 32 2 2 7" xfId="23559"/>
    <cellStyle name="Percent 32 2 3" xfId="4526"/>
    <cellStyle name="Percent 32 2 3 2" xfId="6151"/>
    <cellStyle name="Percent 32 2 3 2 2" xfId="9237"/>
    <cellStyle name="Percent 32 2 3 2 2 2" xfId="15430"/>
    <cellStyle name="Percent 32 2 3 2 2 2 2" xfId="35108"/>
    <cellStyle name="Percent 32 2 3 2 2 3" xfId="21582"/>
    <cellStyle name="Percent 32 2 3 2 2 3 2" xfId="41260"/>
    <cellStyle name="Percent 32 2 3 2 2 4" xfId="28944"/>
    <cellStyle name="Percent 32 2 3 2 3" xfId="12364"/>
    <cellStyle name="Percent 32 2 3 2 3 2" xfId="32042"/>
    <cellStyle name="Percent 32 2 3 2 4" xfId="18516"/>
    <cellStyle name="Percent 32 2 3 2 4 2" xfId="38194"/>
    <cellStyle name="Percent 32 2 3 2 5" xfId="25878"/>
    <cellStyle name="Percent 32 2 3 3" xfId="7702"/>
    <cellStyle name="Percent 32 2 3 3 2" xfId="13896"/>
    <cellStyle name="Percent 32 2 3 3 2 2" xfId="33574"/>
    <cellStyle name="Percent 32 2 3 3 3" xfId="20048"/>
    <cellStyle name="Percent 32 2 3 3 3 2" xfId="39726"/>
    <cellStyle name="Percent 32 2 3 3 4" xfId="27410"/>
    <cellStyle name="Percent 32 2 3 4" xfId="10830"/>
    <cellStyle name="Percent 32 2 3 4 2" xfId="30508"/>
    <cellStyle name="Percent 32 2 3 5" xfId="16982"/>
    <cellStyle name="Percent 32 2 3 5 2" xfId="36660"/>
    <cellStyle name="Percent 32 2 3 6" xfId="24344"/>
    <cellStyle name="Percent 32 2 4" xfId="5379"/>
    <cellStyle name="Percent 32 2 4 2" xfId="8468"/>
    <cellStyle name="Percent 32 2 4 2 2" xfId="14661"/>
    <cellStyle name="Percent 32 2 4 2 2 2" xfId="34339"/>
    <cellStyle name="Percent 32 2 4 2 3" xfId="20813"/>
    <cellStyle name="Percent 32 2 4 2 3 2" xfId="40491"/>
    <cellStyle name="Percent 32 2 4 2 4" xfId="28175"/>
    <cellStyle name="Percent 32 2 4 3" xfId="11595"/>
    <cellStyle name="Percent 32 2 4 3 2" xfId="31273"/>
    <cellStyle name="Percent 32 2 4 4" xfId="17747"/>
    <cellStyle name="Percent 32 2 4 4 2" xfId="37425"/>
    <cellStyle name="Percent 32 2 4 5" xfId="25109"/>
    <cellStyle name="Percent 32 2 5" xfId="6933"/>
    <cellStyle name="Percent 32 2 5 2" xfId="13127"/>
    <cellStyle name="Percent 32 2 5 2 2" xfId="32805"/>
    <cellStyle name="Percent 32 2 5 3" xfId="19279"/>
    <cellStyle name="Percent 32 2 5 3 2" xfId="38957"/>
    <cellStyle name="Percent 32 2 5 4" xfId="26641"/>
    <cellStyle name="Percent 32 2 6" xfId="10061"/>
    <cellStyle name="Percent 32 2 6 2" xfId="29739"/>
    <cellStyle name="Percent 32 2 7" xfId="16213"/>
    <cellStyle name="Percent 32 2 7 2" xfId="35891"/>
    <cellStyle name="Percent 32 2 8" xfId="23558"/>
    <cellStyle name="Percent 32 3" xfId="3498"/>
    <cellStyle name="Percent 32 3 2" xfId="3499"/>
    <cellStyle name="Percent 32 3 2 2" xfId="4529"/>
    <cellStyle name="Percent 32 3 2 2 2" xfId="6154"/>
    <cellStyle name="Percent 32 3 2 2 2 2" xfId="9240"/>
    <cellStyle name="Percent 32 3 2 2 2 2 2" xfId="15433"/>
    <cellStyle name="Percent 32 3 2 2 2 2 2 2" xfId="35111"/>
    <cellStyle name="Percent 32 3 2 2 2 2 3" xfId="21585"/>
    <cellStyle name="Percent 32 3 2 2 2 2 3 2" xfId="41263"/>
    <cellStyle name="Percent 32 3 2 2 2 2 4" xfId="28947"/>
    <cellStyle name="Percent 32 3 2 2 2 3" xfId="12367"/>
    <cellStyle name="Percent 32 3 2 2 2 3 2" xfId="32045"/>
    <cellStyle name="Percent 32 3 2 2 2 4" xfId="18519"/>
    <cellStyle name="Percent 32 3 2 2 2 4 2" xfId="38197"/>
    <cellStyle name="Percent 32 3 2 2 2 5" xfId="25881"/>
    <cellStyle name="Percent 32 3 2 2 3" xfId="7705"/>
    <cellStyle name="Percent 32 3 2 2 3 2" xfId="13899"/>
    <cellStyle name="Percent 32 3 2 2 3 2 2" xfId="33577"/>
    <cellStyle name="Percent 32 3 2 2 3 3" xfId="20051"/>
    <cellStyle name="Percent 32 3 2 2 3 3 2" xfId="39729"/>
    <cellStyle name="Percent 32 3 2 2 3 4" xfId="27413"/>
    <cellStyle name="Percent 32 3 2 2 4" xfId="10833"/>
    <cellStyle name="Percent 32 3 2 2 4 2" xfId="30511"/>
    <cellStyle name="Percent 32 3 2 2 5" xfId="16985"/>
    <cellStyle name="Percent 32 3 2 2 5 2" xfId="36663"/>
    <cellStyle name="Percent 32 3 2 2 6" xfId="24347"/>
    <cellStyle name="Percent 32 3 2 3" xfId="5382"/>
    <cellStyle name="Percent 32 3 2 3 2" xfId="8471"/>
    <cellStyle name="Percent 32 3 2 3 2 2" xfId="14664"/>
    <cellStyle name="Percent 32 3 2 3 2 2 2" xfId="34342"/>
    <cellStyle name="Percent 32 3 2 3 2 3" xfId="20816"/>
    <cellStyle name="Percent 32 3 2 3 2 3 2" xfId="40494"/>
    <cellStyle name="Percent 32 3 2 3 2 4" xfId="28178"/>
    <cellStyle name="Percent 32 3 2 3 3" xfId="11598"/>
    <cellStyle name="Percent 32 3 2 3 3 2" xfId="31276"/>
    <cellStyle name="Percent 32 3 2 3 4" xfId="17750"/>
    <cellStyle name="Percent 32 3 2 3 4 2" xfId="37428"/>
    <cellStyle name="Percent 32 3 2 3 5" xfId="25112"/>
    <cellStyle name="Percent 32 3 2 4" xfId="6936"/>
    <cellStyle name="Percent 32 3 2 4 2" xfId="13130"/>
    <cellStyle name="Percent 32 3 2 4 2 2" xfId="32808"/>
    <cellStyle name="Percent 32 3 2 4 3" xfId="19282"/>
    <cellStyle name="Percent 32 3 2 4 3 2" xfId="38960"/>
    <cellStyle name="Percent 32 3 2 4 4" xfId="26644"/>
    <cellStyle name="Percent 32 3 2 5" xfId="10064"/>
    <cellStyle name="Percent 32 3 2 5 2" xfId="29742"/>
    <cellStyle name="Percent 32 3 2 6" xfId="16216"/>
    <cellStyle name="Percent 32 3 2 6 2" xfId="35894"/>
    <cellStyle name="Percent 32 3 2 7" xfId="23561"/>
    <cellStyle name="Percent 32 3 3" xfId="4528"/>
    <cellStyle name="Percent 32 3 3 2" xfId="6153"/>
    <cellStyle name="Percent 32 3 3 2 2" xfId="9239"/>
    <cellStyle name="Percent 32 3 3 2 2 2" xfId="15432"/>
    <cellStyle name="Percent 32 3 3 2 2 2 2" xfId="35110"/>
    <cellStyle name="Percent 32 3 3 2 2 3" xfId="21584"/>
    <cellStyle name="Percent 32 3 3 2 2 3 2" xfId="41262"/>
    <cellStyle name="Percent 32 3 3 2 2 4" xfId="28946"/>
    <cellStyle name="Percent 32 3 3 2 3" xfId="12366"/>
    <cellStyle name="Percent 32 3 3 2 3 2" xfId="32044"/>
    <cellStyle name="Percent 32 3 3 2 4" xfId="18518"/>
    <cellStyle name="Percent 32 3 3 2 4 2" xfId="38196"/>
    <cellStyle name="Percent 32 3 3 2 5" xfId="25880"/>
    <cellStyle name="Percent 32 3 3 3" xfId="7704"/>
    <cellStyle name="Percent 32 3 3 3 2" xfId="13898"/>
    <cellStyle name="Percent 32 3 3 3 2 2" xfId="33576"/>
    <cellStyle name="Percent 32 3 3 3 3" xfId="20050"/>
    <cellStyle name="Percent 32 3 3 3 3 2" xfId="39728"/>
    <cellStyle name="Percent 32 3 3 3 4" xfId="27412"/>
    <cellStyle name="Percent 32 3 3 4" xfId="10832"/>
    <cellStyle name="Percent 32 3 3 4 2" xfId="30510"/>
    <cellStyle name="Percent 32 3 3 5" xfId="16984"/>
    <cellStyle name="Percent 32 3 3 5 2" xfId="36662"/>
    <cellStyle name="Percent 32 3 3 6" xfId="24346"/>
    <cellStyle name="Percent 32 3 4" xfId="5381"/>
    <cellStyle name="Percent 32 3 4 2" xfId="8470"/>
    <cellStyle name="Percent 32 3 4 2 2" xfId="14663"/>
    <cellStyle name="Percent 32 3 4 2 2 2" xfId="34341"/>
    <cellStyle name="Percent 32 3 4 2 3" xfId="20815"/>
    <cellStyle name="Percent 32 3 4 2 3 2" xfId="40493"/>
    <cellStyle name="Percent 32 3 4 2 4" xfId="28177"/>
    <cellStyle name="Percent 32 3 4 3" xfId="11597"/>
    <cellStyle name="Percent 32 3 4 3 2" xfId="31275"/>
    <cellStyle name="Percent 32 3 4 4" xfId="17749"/>
    <cellStyle name="Percent 32 3 4 4 2" xfId="37427"/>
    <cellStyle name="Percent 32 3 4 5" xfId="25111"/>
    <cellStyle name="Percent 32 3 5" xfId="6935"/>
    <cellStyle name="Percent 32 3 5 2" xfId="13129"/>
    <cellStyle name="Percent 32 3 5 2 2" xfId="32807"/>
    <cellStyle name="Percent 32 3 5 3" xfId="19281"/>
    <cellStyle name="Percent 32 3 5 3 2" xfId="38959"/>
    <cellStyle name="Percent 32 3 5 4" xfId="26643"/>
    <cellStyle name="Percent 32 3 6" xfId="10063"/>
    <cellStyle name="Percent 32 3 6 2" xfId="29741"/>
    <cellStyle name="Percent 32 3 7" xfId="16215"/>
    <cellStyle name="Percent 32 3 7 2" xfId="35893"/>
    <cellStyle name="Percent 32 3 8" xfId="23560"/>
    <cellStyle name="Percent 32 4" xfId="3500"/>
    <cellStyle name="Percent 32 4 2" xfId="3501"/>
    <cellStyle name="Percent 32 4 2 2" xfId="4530"/>
    <cellStyle name="Percent 32 4 2 2 2" xfId="6155"/>
    <cellStyle name="Percent 32 4 2 2 2 2" xfId="9241"/>
    <cellStyle name="Percent 32 4 2 2 2 2 2" xfId="15434"/>
    <cellStyle name="Percent 32 4 2 2 2 2 2 2" xfId="35112"/>
    <cellStyle name="Percent 32 4 2 2 2 2 3" xfId="21586"/>
    <cellStyle name="Percent 32 4 2 2 2 2 3 2" xfId="41264"/>
    <cellStyle name="Percent 32 4 2 2 2 2 4" xfId="28948"/>
    <cellStyle name="Percent 32 4 2 2 2 3" xfId="12368"/>
    <cellStyle name="Percent 32 4 2 2 2 3 2" xfId="32046"/>
    <cellStyle name="Percent 32 4 2 2 2 4" xfId="18520"/>
    <cellStyle name="Percent 32 4 2 2 2 4 2" xfId="38198"/>
    <cellStyle name="Percent 32 4 2 2 2 5" xfId="25882"/>
    <cellStyle name="Percent 32 4 2 2 3" xfId="7706"/>
    <cellStyle name="Percent 32 4 2 2 3 2" xfId="13900"/>
    <cellStyle name="Percent 32 4 2 2 3 2 2" xfId="33578"/>
    <cellStyle name="Percent 32 4 2 2 3 3" xfId="20052"/>
    <cellStyle name="Percent 32 4 2 2 3 3 2" xfId="39730"/>
    <cellStyle name="Percent 32 4 2 2 3 4" xfId="27414"/>
    <cellStyle name="Percent 32 4 2 2 4" xfId="10834"/>
    <cellStyle name="Percent 32 4 2 2 4 2" xfId="30512"/>
    <cellStyle name="Percent 32 4 2 2 5" xfId="16986"/>
    <cellStyle name="Percent 32 4 2 2 5 2" xfId="36664"/>
    <cellStyle name="Percent 32 4 2 2 6" xfId="24348"/>
    <cellStyle name="Percent 32 4 2 3" xfId="5383"/>
    <cellStyle name="Percent 32 4 2 3 2" xfId="8472"/>
    <cellStyle name="Percent 32 4 2 3 2 2" xfId="14665"/>
    <cellStyle name="Percent 32 4 2 3 2 2 2" xfId="34343"/>
    <cellStyle name="Percent 32 4 2 3 2 3" xfId="20817"/>
    <cellStyle name="Percent 32 4 2 3 2 3 2" xfId="40495"/>
    <cellStyle name="Percent 32 4 2 3 2 4" xfId="28179"/>
    <cellStyle name="Percent 32 4 2 3 3" xfId="11599"/>
    <cellStyle name="Percent 32 4 2 3 3 2" xfId="31277"/>
    <cellStyle name="Percent 32 4 2 3 4" xfId="17751"/>
    <cellStyle name="Percent 32 4 2 3 4 2" xfId="37429"/>
    <cellStyle name="Percent 32 4 2 3 5" xfId="25113"/>
    <cellStyle name="Percent 32 4 2 4" xfId="6937"/>
    <cellStyle name="Percent 32 4 2 4 2" xfId="13131"/>
    <cellStyle name="Percent 32 4 2 4 2 2" xfId="32809"/>
    <cellStyle name="Percent 32 4 2 4 3" xfId="19283"/>
    <cellStyle name="Percent 32 4 2 4 3 2" xfId="38961"/>
    <cellStyle name="Percent 32 4 2 4 4" xfId="26645"/>
    <cellStyle name="Percent 32 4 2 5" xfId="10065"/>
    <cellStyle name="Percent 32 4 2 5 2" xfId="29743"/>
    <cellStyle name="Percent 32 4 2 6" xfId="16217"/>
    <cellStyle name="Percent 32 4 2 6 2" xfId="35895"/>
    <cellStyle name="Percent 32 4 2 7" xfId="23562"/>
    <cellStyle name="Percent 32 5" xfId="3502"/>
    <cellStyle name="Percent 32 5 2" xfId="4531"/>
    <cellStyle name="Percent 32 5 2 2" xfId="6156"/>
    <cellStyle name="Percent 32 5 2 2 2" xfId="9242"/>
    <cellStyle name="Percent 32 5 2 2 2 2" xfId="15435"/>
    <cellStyle name="Percent 32 5 2 2 2 2 2" xfId="35113"/>
    <cellStyle name="Percent 32 5 2 2 2 3" xfId="21587"/>
    <cellStyle name="Percent 32 5 2 2 2 3 2" xfId="41265"/>
    <cellStyle name="Percent 32 5 2 2 2 4" xfId="28949"/>
    <cellStyle name="Percent 32 5 2 2 3" xfId="12369"/>
    <cellStyle name="Percent 32 5 2 2 3 2" xfId="32047"/>
    <cellStyle name="Percent 32 5 2 2 4" xfId="18521"/>
    <cellStyle name="Percent 32 5 2 2 4 2" xfId="38199"/>
    <cellStyle name="Percent 32 5 2 2 5" xfId="25883"/>
    <cellStyle name="Percent 32 5 2 3" xfId="7707"/>
    <cellStyle name="Percent 32 5 2 3 2" xfId="13901"/>
    <cellStyle name="Percent 32 5 2 3 2 2" xfId="33579"/>
    <cellStyle name="Percent 32 5 2 3 3" xfId="20053"/>
    <cellStyle name="Percent 32 5 2 3 3 2" xfId="39731"/>
    <cellStyle name="Percent 32 5 2 3 4" xfId="27415"/>
    <cellStyle name="Percent 32 5 2 4" xfId="10835"/>
    <cellStyle name="Percent 32 5 2 4 2" xfId="30513"/>
    <cellStyle name="Percent 32 5 2 5" xfId="16987"/>
    <cellStyle name="Percent 32 5 2 5 2" xfId="36665"/>
    <cellStyle name="Percent 32 5 2 6" xfId="24349"/>
    <cellStyle name="Percent 32 5 3" xfId="5384"/>
    <cellStyle name="Percent 32 5 3 2" xfId="8473"/>
    <cellStyle name="Percent 32 5 3 2 2" xfId="14666"/>
    <cellStyle name="Percent 32 5 3 2 2 2" xfId="34344"/>
    <cellStyle name="Percent 32 5 3 2 3" xfId="20818"/>
    <cellStyle name="Percent 32 5 3 2 3 2" xfId="40496"/>
    <cellStyle name="Percent 32 5 3 2 4" xfId="28180"/>
    <cellStyle name="Percent 32 5 3 3" xfId="11600"/>
    <cellStyle name="Percent 32 5 3 3 2" xfId="31278"/>
    <cellStyle name="Percent 32 5 3 4" xfId="17752"/>
    <cellStyle name="Percent 32 5 3 4 2" xfId="37430"/>
    <cellStyle name="Percent 32 5 3 5" xfId="25114"/>
    <cellStyle name="Percent 32 5 4" xfId="6938"/>
    <cellStyle name="Percent 32 5 4 2" xfId="13132"/>
    <cellStyle name="Percent 32 5 4 2 2" xfId="32810"/>
    <cellStyle name="Percent 32 5 4 3" xfId="19284"/>
    <cellStyle name="Percent 32 5 4 3 2" xfId="38962"/>
    <cellStyle name="Percent 32 5 4 4" xfId="26646"/>
    <cellStyle name="Percent 32 5 5" xfId="10066"/>
    <cellStyle name="Percent 32 5 5 2" xfId="29744"/>
    <cellStyle name="Percent 32 5 6" xfId="16218"/>
    <cellStyle name="Percent 32 5 6 2" xfId="35896"/>
    <cellStyle name="Percent 32 5 7" xfId="23563"/>
    <cellStyle name="Percent 33" xfId="3503"/>
    <cellStyle name="Percent 33 2" xfId="3504"/>
    <cellStyle name="Percent 33 2 2" xfId="3505"/>
    <cellStyle name="Percent 33 2 2 2" xfId="4533"/>
    <cellStyle name="Percent 33 2 2 2 2" xfId="6158"/>
    <cellStyle name="Percent 33 2 2 2 2 2" xfId="9244"/>
    <cellStyle name="Percent 33 2 2 2 2 2 2" xfId="15437"/>
    <cellStyle name="Percent 33 2 2 2 2 2 2 2" xfId="35115"/>
    <cellStyle name="Percent 33 2 2 2 2 2 3" xfId="21589"/>
    <cellStyle name="Percent 33 2 2 2 2 2 3 2" xfId="41267"/>
    <cellStyle name="Percent 33 2 2 2 2 2 4" xfId="28951"/>
    <cellStyle name="Percent 33 2 2 2 2 3" xfId="12371"/>
    <cellStyle name="Percent 33 2 2 2 2 3 2" xfId="32049"/>
    <cellStyle name="Percent 33 2 2 2 2 4" xfId="18523"/>
    <cellStyle name="Percent 33 2 2 2 2 4 2" xfId="38201"/>
    <cellStyle name="Percent 33 2 2 2 2 5" xfId="25885"/>
    <cellStyle name="Percent 33 2 2 2 3" xfId="7709"/>
    <cellStyle name="Percent 33 2 2 2 3 2" xfId="13903"/>
    <cellStyle name="Percent 33 2 2 2 3 2 2" xfId="33581"/>
    <cellStyle name="Percent 33 2 2 2 3 3" xfId="20055"/>
    <cellStyle name="Percent 33 2 2 2 3 3 2" xfId="39733"/>
    <cellStyle name="Percent 33 2 2 2 3 4" xfId="27417"/>
    <cellStyle name="Percent 33 2 2 2 4" xfId="10837"/>
    <cellStyle name="Percent 33 2 2 2 4 2" xfId="30515"/>
    <cellStyle name="Percent 33 2 2 2 5" xfId="16989"/>
    <cellStyle name="Percent 33 2 2 2 5 2" xfId="36667"/>
    <cellStyle name="Percent 33 2 2 2 6" xfId="24351"/>
    <cellStyle name="Percent 33 2 2 3" xfId="5387"/>
    <cellStyle name="Percent 33 2 2 3 2" xfId="8475"/>
    <cellStyle name="Percent 33 2 2 3 2 2" xfId="14668"/>
    <cellStyle name="Percent 33 2 2 3 2 2 2" xfId="34346"/>
    <cellStyle name="Percent 33 2 2 3 2 3" xfId="20820"/>
    <cellStyle name="Percent 33 2 2 3 2 3 2" xfId="40498"/>
    <cellStyle name="Percent 33 2 2 3 2 4" xfId="28182"/>
    <cellStyle name="Percent 33 2 2 3 3" xfId="11602"/>
    <cellStyle name="Percent 33 2 2 3 3 2" xfId="31280"/>
    <cellStyle name="Percent 33 2 2 3 4" xfId="17754"/>
    <cellStyle name="Percent 33 2 2 3 4 2" xfId="37432"/>
    <cellStyle name="Percent 33 2 2 3 5" xfId="25116"/>
    <cellStyle name="Percent 33 2 2 4" xfId="6940"/>
    <cellStyle name="Percent 33 2 2 4 2" xfId="13134"/>
    <cellStyle name="Percent 33 2 2 4 2 2" xfId="32812"/>
    <cellStyle name="Percent 33 2 2 4 3" xfId="19286"/>
    <cellStyle name="Percent 33 2 2 4 3 2" xfId="38964"/>
    <cellStyle name="Percent 33 2 2 4 4" xfId="26648"/>
    <cellStyle name="Percent 33 2 2 5" xfId="10068"/>
    <cellStyle name="Percent 33 2 2 5 2" xfId="29746"/>
    <cellStyle name="Percent 33 2 2 6" xfId="16220"/>
    <cellStyle name="Percent 33 2 2 6 2" xfId="35898"/>
    <cellStyle name="Percent 33 2 2 7" xfId="23565"/>
    <cellStyle name="Percent 33 2 3" xfId="4532"/>
    <cellStyle name="Percent 33 2 3 2" xfId="6157"/>
    <cellStyle name="Percent 33 2 3 2 2" xfId="9243"/>
    <cellStyle name="Percent 33 2 3 2 2 2" xfId="15436"/>
    <cellStyle name="Percent 33 2 3 2 2 2 2" xfId="35114"/>
    <cellStyle name="Percent 33 2 3 2 2 3" xfId="21588"/>
    <cellStyle name="Percent 33 2 3 2 2 3 2" xfId="41266"/>
    <cellStyle name="Percent 33 2 3 2 2 4" xfId="28950"/>
    <cellStyle name="Percent 33 2 3 2 3" xfId="12370"/>
    <cellStyle name="Percent 33 2 3 2 3 2" xfId="32048"/>
    <cellStyle name="Percent 33 2 3 2 4" xfId="18522"/>
    <cellStyle name="Percent 33 2 3 2 4 2" xfId="38200"/>
    <cellStyle name="Percent 33 2 3 2 5" xfId="25884"/>
    <cellStyle name="Percent 33 2 3 3" xfId="7708"/>
    <cellStyle name="Percent 33 2 3 3 2" xfId="13902"/>
    <cellStyle name="Percent 33 2 3 3 2 2" xfId="33580"/>
    <cellStyle name="Percent 33 2 3 3 3" xfId="20054"/>
    <cellStyle name="Percent 33 2 3 3 3 2" xfId="39732"/>
    <cellStyle name="Percent 33 2 3 3 4" xfId="27416"/>
    <cellStyle name="Percent 33 2 3 4" xfId="10836"/>
    <cellStyle name="Percent 33 2 3 4 2" xfId="30514"/>
    <cellStyle name="Percent 33 2 3 5" xfId="16988"/>
    <cellStyle name="Percent 33 2 3 5 2" xfId="36666"/>
    <cellStyle name="Percent 33 2 3 6" xfId="24350"/>
    <cellStyle name="Percent 33 2 4" xfId="5386"/>
    <cellStyle name="Percent 33 2 4 2" xfId="8474"/>
    <cellStyle name="Percent 33 2 4 2 2" xfId="14667"/>
    <cellStyle name="Percent 33 2 4 2 2 2" xfId="34345"/>
    <cellStyle name="Percent 33 2 4 2 3" xfId="20819"/>
    <cellStyle name="Percent 33 2 4 2 3 2" xfId="40497"/>
    <cellStyle name="Percent 33 2 4 2 4" xfId="28181"/>
    <cellStyle name="Percent 33 2 4 3" xfId="11601"/>
    <cellStyle name="Percent 33 2 4 3 2" xfId="31279"/>
    <cellStyle name="Percent 33 2 4 4" xfId="17753"/>
    <cellStyle name="Percent 33 2 4 4 2" xfId="37431"/>
    <cellStyle name="Percent 33 2 4 5" xfId="25115"/>
    <cellStyle name="Percent 33 2 5" xfId="6939"/>
    <cellStyle name="Percent 33 2 5 2" xfId="13133"/>
    <cellStyle name="Percent 33 2 5 2 2" xfId="32811"/>
    <cellStyle name="Percent 33 2 5 3" xfId="19285"/>
    <cellStyle name="Percent 33 2 5 3 2" xfId="38963"/>
    <cellStyle name="Percent 33 2 5 4" xfId="26647"/>
    <cellStyle name="Percent 33 2 6" xfId="10067"/>
    <cellStyle name="Percent 33 2 6 2" xfId="29745"/>
    <cellStyle name="Percent 33 2 7" xfId="16219"/>
    <cellStyle name="Percent 33 2 7 2" xfId="35897"/>
    <cellStyle name="Percent 33 2 8" xfId="23564"/>
    <cellStyle name="Percent 33 3" xfId="3506"/>
    <cellStyle name="Percent 33 3 2" xfId="3507"/>
    <cellStyle name="Percent 33 3 2 2" xfId="4535"/>
    <cellStyle name="Percent 33 3 2 2 2" xfId="6160"/>
    <cellStyle name="Percent 33 3 2 2 2 2" xfId="9246"/>
    <cellStyle name="Percent 33 3 2 2 2 2 2" xfId="15439"/>
    <cellStyle name="Percent 33 3 2 2 2 2 2 2" xfId="35117"/>
    <cellStyle name="Percent 33 3 2 2 2 2 3" xfId="21591"/>
    <cellStyle name="Percent 33 3 2 2 2 2 3 2" xfId="41269"/>
    <cellStyle name="Percent 33 3 2 2 2 2 4" xfId="28953"/>
    <cellStyle name="Percent 33 3 2 2 2 3" xfId="12373"/>
    <cellStyle name="Percent 33 3 2 2 2 3 2" xfId="32051"/>
    <cellStyle name="Percent 33 3 2 2 2 4" xfId="18525"/>
    <cellStyle name="Percent 33 3 2 2 2 4 2" xfId="38203"/>
    <cellStyle name="Percent 33 3 2 2 2 5" xfId="25887"/>
    <cellStyle name="Percent 33 3 2 2 3" xfId="7711"/>
    <cellStyle name="Percent 33 3 2 2 3 2" xfId="13905"/>
    <cellStyle name="Percent 33 3 2 2 3 2 2" xfId="33583"/>
    <cellStyle name="Percent 33 3 2 2 3 3" xfId="20057"/>
    <cellStyle name="Percent 33 3 2 2 3 3 2" xfId="39735"/>
    <cellStyle name="Percent 33 3 2 2 3 4" xfId="27419"/>
    <cellStyle name="Percent 33 3 2 2 4" xfId="10839"/>
    <cellStyle name="Percent 33 3 2 2 4 2" xfId="30517"/>
    <cellStyle name="Percent 33 3 2 2 5" xfId="16991"/>
    <cellStyle name="Percent 33 3 2 2 5 2" xfId="36669"/>
    <cellStyle name="Percent 33 3 2 2 6" xfId="24353"/>
    <cellStyle name="Percent 33 3 2 3" xfId="5389"/>
    <cellStyle name="Percent 33 3 2 3 2" xfId="8477"/>
    <cellStyle name="Percent 33 3 2 3 2 2" xfId="14670"/>
    <cellStyle name="Percent 33 3 2 3 2 2 2" xfId="34348"/>
    <cellStyle name="Percent 33 3 2 3 2 3" xfId="20822"/>
    <cellStyle name="Percent 33 3 2 3 2 3 2" xfId="40500"/>
    <cellStyle name="Percent 33 3 2 3 2 4" xfId="28184"/>
    <cellStyle name="Percent 33 3 2 3 3" xfId="11604"/>
    <cellStyle name="Percent 33 3 2 3 3 2" xfId="31282"/>
    <cellStyle name="Percent 33 3 2 3 4" xfId="17756"/>
    <cellStyle name="Percent 33 3 2 3 4 2" xfId="37434"/>
    <cellStyle name="Percent 33 3 2 3 5" xfId="25118"/>
    <cellStyle name="Percent 33 3 2 4" xfId="6942"/>
    <cellStyle name="Percent 33 3 2 4 2" xfId="13136"/>
    <cellStyle name="Percent 33 3 2 4 2 2" xfId="32814"/>
    <cellStyle name="Percent 33 3 2 4 3" xfId="19288"/>
    <cellStyle name="Percent 33 3 2 4 3 2" xfId="38966"/>
    <cellStyle name="Percent 33 3 2 4 4" xfId="26650"/>
    <cellStyle name="Percent 33 3 2 5" xfId="10070"/>
    <cellStyle name="Percent 33 3 2 5 2" xfId="29748"/>
    <cellStyle name="Percent 33 3 2 6" xfId="16222"/>
    <cellStyle name="Percent 33 3 2 6 2" xfId="35900"/>
    <cellStyle name="Percent 33 3 2 7" xfId="23567"/>
    <cellStyle name="Percent 33 3 3" xfId="4534"/>
    <cellStyle name="Percent 33 3 3 2" xfId="6159"/>
    <cellStyle name="Percent 33 3 3 2 2" xfId="9245"/>
    <cellStyle name="Percent 33 3 3 2 2 2" xfId="15438"/>
    <cellStyle name="Percent 33 3 3 2 2 2 2" xfId="35116"/>
    <cellStyle name="Percent 33 3 3 2 2 3" xfId="21590"/>
    <cellStyle name="Percent 33 3 3 2 2 3 2" xfId="41268"/>
    <cellStyle name="Percent 33 3 3 2 2 4" xfId="28952"/>
    <cellStyle name="Percent 33 3 3 2 3" xfId="12372"/>
    <cellStyle name="Percent 33 3 3 2 3 2" xfId="32050"/>
    <cellStyle name="Percent 33 3 3 2 4" xfId="18524"/>
    <cellStyle name="Percent 33 3 3 2 4 2" xfId="38202"/>
    <cellStyle name="Percent 33 3 3 2 5" xfId="25886"/>
    <cellStyle name="Percent 33 3 3 3" xfId="7710"/>
    <cellStyle name="Percent 33 3 3 3 2" xfId="13904"/>
    <cellStyle name="Percent 33 3 3 3 2 2" xfId="33582"/>
    <cellStyle name="Percent 33 3 3 3 3" xfId="20056"/>
    <cellStyle name="Percent 33 3 3 3 3 2" xfId="39734"/>
    <cellStyle name="Percent 33 3 3 3 4" xfId="27418"/>
    <cellStyle name="Percent 33 3 3 4" xfId="10838"/>
    <cellStyle name="Percent 33 3 3 4 2" xfId="30516"/>
    <cellStyle name="Percent 33 3 3 5" xfId="16990"/>
    <cellStyle name="Percent 33 3 3 5 2" xfId="36668"/>
    <cellStyle name="Percent 33 3 3 6" xfId="24352"/>
    <cellStyle name="Percent 33 3 4" xfId="5388"/>
    <cellStyle name="Percent 33 3 4 2" xfId="8476"/>
    <cellStyle name="Percent 33 3 4 2 2" xfId="14669"/>
    <cellStyle name="Percent 33 3 4 2 2 2" xfId="34347"/>
    <cellStyle name="Percent 33 3 4 2 3" xfId="20821"/>
    <cellStyle name="Percent 33 3 4 2 3 2" xfId="40499"/>
    <cellStyle name="Percent 33 3 4 2 4" xfId="28183"/>
    <cellStyle name="Percent 33 3 4 3" xfId="11603"/>
    <cellStyle name="Percent 33 3 4 3 2" xfId="31281"/>
    <cellStyle name="Percent 33 3 4 4" xfId="17755"/>
    <cellStyle name="Percent 33 3 4 4 2" xfId="37433"/>
    <cellStyle name="Percent 33 3 4 5" xfId="25117"/>
    <cellStyle name="Percent 33 3 5" xfId="6941"/>
    <cellStyle name="Percent 33 3 5 2" xfId="13135"/>
    <cellStyle name="Percent 33 3 5 2 2" xfId="32813"/>
    <cellStyle name="Percent 33 3 5 3" xfId="19287"/>
    <cellStyle name="Percent 33 3 5 3 2" xfId="38965"/>
    <cellStyle name="Percent 33 3 5 4" xfId="26649"/>
    <cellStyle name="Percent 33 3 6" xfId="10069"/>
    <cellStyle name="Percent 33 3 6 2" xfId="29747"/>
    <cellStyle name="Percent 33 3 7" xfId="16221"/>
    <cellStyle name="Percent 33 3 7 2" xfId="35899"/>
    <cellStyle name="Percent 33 3 8" xfId="23566"/>
    <cellStyle name="Percent 33 4" xfId="3508"/>
    <cellStyle name="Percent 33 4 2" xfId="3509"/>
    <cellStyle name="Percent 33 4 2 2" xfId="4536"/>
    <cellStyle name="Percent 33 4 2 2 2" xfId="6161"/>
    <cellStyle name="Percent 33 4 2 2 2 2" xfId="9247"/>
    <cellStyle name="Percent 33 4 2 2 2 2 2" xfId="15440"/>
    <cellStyle name="Percent 33 4 2 2 2 2 2 2" xfId="35118"/>
    <cellStyle name="Percent 33 4 2 2 2 2 3" xfId="21592"/>
    <cellStyle name="Percent 33 4 2 2 2 2 3 2" xfId="41270"/>
    <cellStyle name="Percent 33 4 2 2 2 2 4" xfId="28954"/>
    <cellStyle name="Percent 33 4 2 2 2 3" xfId="12374"/>
    <cellStyle name="Percent 33 4 2 2 2 3 2" xfId="32052"/>
    <cellStyle name="Percent 33 4 2 2 2 4" xfId="18526"/>
    <cellStyle name="Percent 33 4 2 2 2 4 2" xfId="38204"/>
    <cellStyle name="Percent 33 4 2 2 2 5" xfId="25888"/>
    <cellStyle name="Percent 33 4 2 2 3" xfId="7712"/>
    <cellStyle name="Percent 33 4 2 2 3 2" xfId="13906"/>
    <cellStyle name="Percent 33 4 2 2 3 2 2" xfId="33584"/>
    <cellStyle name="Percent 33 4 2 2 3 3" xfId="20058"/>
    <cellStyle name="Percent 33 4 2 2 3 3 2" xfId="39736"/>
    <cellStyle name="Percent 33 4 2 2 3 4" xfId="27420"/>
    <cellStyle name="Percent 33 4 2 2 4" xfId="10840"/>
    <cellStyle name="Percent 33 4 2 2 4 2" xfId="30518"/>
    <cellStyle name="Percent 33 4 2 2 5" xfId="16992"/>
    <cellStyle name="Percent 33 4 2 2 5 2" xfId="36670"/>
    <cellStyle name="Percent 33 4 2 2 6" xfId="24354"/>
    <cellStyle name="Percent 33 4 2 3" xfId="5390"/>
    <cellStyle name="Percent 33 4 2 3 2" xfId="8478"/>
    <cellStyle name="Percent 33 4 2 3 2 2" xfId="14671"/>
    <cellStyle name="Percent 33 4 2 3 2 2 2" xfId="34349"/>
    <cellStyle name="Percent 33 4 2 3 2 3" xfId="20823"/>
    <cellStyle name="Percent 33 4 2 3 2 3 2" xfId="40501"/>
    <cellStyle name="Percent 33 4 2 3 2 4" xfId="28185"/>
    <cellStyle name="Percent 33 4 2 3 3" xfId="11605"/>
    <cellStyle name="Percent 33 4 2 3 3 2" xfId="31283"/>
    <cellStyle name="Percent 33 4 2 3 4" xfId="17757"/>
    <cellStyle name="Percent 33 4 2 3 4 2" xfId="37435"/>
    <cellStyle name="Percent 33 4 2 3 5" xfId="25119"/>
    <cellStyle name="Percent 33 4 2 4" xfId="6943"/>
    <cellStyle name="Percent 33 4 2 4 2" xfId="13137"/>
    <cellStyle name="Percent 33 4 2 4 2 2" xfId="32815"/>
    <cellStyle name="Percent 33 4 2 4 3" xfId="19289"/>
    <cellStyle name="Percent 33 4 2 4 3 2" xfId="38967"/>
    <cellStyle name="Percent 33 4 2 4 4" xfId="26651"/>
    <cellStyle name="Percent 33 4 2 5" xfId="10071"/>
    <cellStyle name="Percent 33 4 2 5 2" xfId="29749"/>
    <cellStyle name="Percent 33 4 2 6" xfId="16223"/>
    <cellStyle name="Percent 33 4 2 6 2" xfId="35901"/>
    <cellStyle name="Percent 33 4 2 7" xfId="23568"/>
    <cellStyle name="Percent 33 5" xfId="3510"/>
    <cellStyle name="Percent 33 5 2" xfId="4537"/>
    <cellStyle name="Percent 33 5 2 2" xfId="6162"/>
    <cellStyle name="Percent 33 5 2 2 2" xfId="9248"/>
    <cellStyle name="Percent 33 5 2 2 2 2" xfId="15441"/>
    <cellStyle name="Percent 33 5 2 2 2 2 2" xfId="35119"/>
    <cellStyle name="Percent 33 5 2 2 2 3" xfId="21593"/>
    <cellStyle name="Percent 33 5 2 2 2 3 2" xfId="41271"/>
    <cellStyle name="Percent 33 5 2 2 2 4" xfId="28955"/>
    <cellStyle name="Percent 33 5 2 2 3" xfId="12375"/>
    <cellStyle name="Percent 33 5 2 2 3 2" xfId="32053"/>
    <cellStyle name="Percent 33 5 2 2 4" xfId="18527"/>
    <cellStyle name="Percent 33 5 2 2 4 2" xfId="38205"/>
    <cellStyle name="Percent 33 5 2 2 5" xfId="25889"/>
    <cellStyle name="Percent 33 5 2 3" xfId="7713"/>
    <cellStyle name="Percent 33 5 2 3 2" xfId="13907"/>
    <cellStyle name="Percent 33 5 2 3 2 2" xfId="33585"/>
    <cellStyle name="Percent 33 5 2 3 3" xfId="20059"/>
    <cellStyle name="Percent 33 5 2 3 3 2" xfId="39737"/>
    <cellStyle name="Percent 33 5 2 3 4" xfId="27421"/>
    <cellStyle name="Percent 33 5 2 4" xfId="10841"/>
    <cellStyle name="Percent 33 5 2 4 2" xfId="30519"/>
    <cellStyle name="Percent 33 5 2 5" xfId="16993"/>
    <cellStyle name="Percent 33 5 2 5 2" xfId="36671"/>
    <cellStyle name="Percent 33 5 2 6" xfId="24355"/>
    <cellStyle name="Percent 33 5 3" xfId="5391"/>
    <cellStyle name="Percent 33 5 3 2" xfId="8479"/>
    <cellStyle name="Percent 33 5 3 2 2" xfId="14672"/>
    <cellStyle name="Percent 33 5 3 2 2 2" xfId="34350"/>
    <cellStyle name="Percent 33 5 3 2 3" xfId="20824"/>
    <cellStyle name="Percent 33 5 3 2 3 2" xfId="40502"/>
    <cellStyle name="Percent 33 5 3 2 4" xfId="28186"/>
    <cellStyle name="Percent 33 5 3 3" xfId="11606"/>
    <cellStyle name="Percent 33 5 3 3 2" xfId="31284"/>
    <cellStyle name="Percent 33 5 3 4" xfId="17758"/>
    <cellStyle name="Percent 33 5 3 4 2" xfId="37436"/>
    <cellStyle name="Percent 33 5 3 5" xfId="25120"/>
    <cellStyle name="Percent 33 5 4" xfId="6944"/>
    <cellStyle name="Percent 33 5 4 2" xfId="13138"/>
    <cellStyle name="Percent 33 5 4 2 2" xfId="32816"/>
    <cellStyle name="Percent 33 5 4 3" xfId="19290"/>
    <cellStyle name="Percent 33 5 4 3 2" xfId="38968"/>
    <cellStyle name="Percent 33 5 4 4" xfId="26652"/>
    <cellStyle name="Percent 33 5 5" xfId="10072"/>
    <cellStyle name="Percent 33 5 5 2" xfId="29750"/>
    <cellStyle name="Percent 33 5 6" xfId="16224"/>
    <cellStyle name="Percent 33 5 6 2" xfId="35902"/>
    <cellStyle name="Percent 33 5 7" xfId="23569"/>
    <cellStyle name="Percent 34" xfId="3511"/>
    <cellStyle name="Percent 34 2" xfId="3512"/>
    <cellStyle name="Percent 34 2 2" xfId="3513"/>
    <cellStyle name="Percent 34 2 2 2" xfId="4539"/>
    <cellStyle name="Percent 34 2 2 2 2" xfId="6164"/>
    <cellStyle name="Percent 34 2 2 2 2 2" xfId="9250"/>
    <cellStyle name="Percent 34 2 2 2 2 2 2" xfId="15443"/>
    <cellStyle name="Percent 34 2 2 2 2 2 2 2" xfId="35121"/>
    <cellStyle name="Percent 34 2 2 2 2 2 3" xfId="21595"/>
    <cellStyle name="Percent 34 2 2 2 2 2 3 2" xfId="41273"/>
    <cellStyle name="Percent 34 2 2 2 2 2 4" xfId="28957"/>
    <cellStyle name="Percent 34 2 2 2 2 3" xfId="12377"/>
    <cellStyle name="Percent 34 2 2 2 2 3 2" xfId="32055"/>
    <cellStyle name="Percent 34 2 2 2 2 4" xfId="18529"/>
    <cellStyle name="Percent 34 2 2 2 2 4 2" xfId="38207"/>
    <cellStyle name="Percent 34 2 2 2 2 5" xfId="25891"/>
    <cellStyle name="Percent 34 2 2 2 3" xfId="7715"/>
    <cellStyle name="Percent 34 2 2 2 3 2" xfId="13909"/>
    <cellStyle name="Percent 34 2 2 2 3 2 2" xfId="33587"/>
    <cellStyle name="Percent 34 2 2 2 3 3" xfId="20061"/>
    <cellStyle name="Percent 34 2 2 2 3 3 2" xfId="39739"/>
    <cellStyle name="Percent 34 2 2 2 3 4" xfId="27423"/>
    <cellStyle name="Percent 34 2 2 2 4" xfId="10843"/>
    <cellStyle name="Percent 34 2 2 2 4 2" xfId="30521"/>
    <cellStyle name="Percent 34 2 2 2 5" xfId="16995"/>
    <cellStyle name="Percent 34 2 2 2 5 2" xfId="36673"/>
    <cellStyle name="Percent 34 2 2 2 6" xfId="24357"/>
    <cellStyle name="Percent 34 2 2 3" xfId="5394"/>
    <cellStyle name="Percent 34 2 2 3 2" xfId="8481"/>
    <cellStyle name="Percent 34 2 2 3 2 2" xfId="14674"/>
    <cellStyle name="Percent 34 2 2 3 2 2 2" xfId="34352"/>
    <cellStyle name="Percent 34 2 2 3 2 3" xfId="20826"/>
    <cellStyle name="Percent 34 2 2 3 2 3 2" xfId="40504"/>
    <cellStyle name="Percent 34 2 2 3 2 4" xfId="28188"/>
    <cellStyle name="Percent 34 2 2 3 3" xfId="11608"/>
    <cellStyle name="Percent 34 2 2 3 3 2" xfId="31286"/>
    <cellStyle name="Percent 34 2 2 3 4" xfId="17760"/>
    <cellStyle name="Percent 34 2 2 3 4 2" xfId="37438"/>
    <cellStyle name="Percent 34 2 2 3 5" xfId="25122"/>
    <cellStyle name="Percent 34 2 2 4" xfId="6946"/>
    <cellStyle name="Percent 34 2 2 4 2" xfId="13140"/>
    <cellStyle name="Percent 34 2 2 4 2 2" xfId="32818"/>
    <cellStyle name="Percent 34 2 2 4 3" xfId="19292"/>
    <cellStyle name="Percent 34 2 2 4 3 2" xfId="38970"/>
    <cellStyle name="Percent 34 2 2 4 4" xfId="26654"/>
    <cellStyle name="Percent 34 2 2 5" xfId="10074"/>
    <cellStyle name="Percent 34 2 2 5 2" xfId="29752"/>
    <cellStyle name="Percent 34 2 2 6" xfId="16226"/>
    <cellStyle name="Percent 34 2 2 6 2" xfId="35904"/>
    <cellStyle name="Percent 34 2 2 7" xfId="23571"/>
    <cellStyle name="Percent 34 2 3" xfId="4538"/>
    <cellStyle name="Percent 34 2 3 2" xfId="6163"/>
    <cellStyle name="Percent 34 2 3 2 2" xfId="9249"/>
    <cellStyle name="Percent 34 2 3 2 2 2" xfId="15442"/>
    <cellStyle name="Percent 34 2 3 2 2 2 2" xfId="35120"/>
    <cellStyle name="Percent 34 2 3 2 2 3" xfId="21594"/>
    <cellStyle name="Percent 34 2 3 2 2 3 2" xfId="41272"/>
    <cellStyle name="Percent 34 2 3 2 2 4" xfId="28956"/>
    <cellStyle name="Percent 34 2 3 2 3" xfId="12376"/>
    <cellStyle name="Percent 34 2 3 2 3 2" xfId="32054"/>
    <cellStyle name="Percent 34 2 3 2 4" xfId="18528"/>
    <cellStyle name="Percent 34 2 3 2 4 2" xfId="38206"/>
    <cellStyle name="Percent 34 2 3 2 5" xfId="25890"/>
    <cellStyle name="Percent 34 2 3 3" xfId="7714"/>
    <cellStyle name="Percent 34 2 3 3 2" xfId="13908"/>
    <cellStyle name="Percent 34 2 3 3 2 2" xfId="33586"/>
    <cellStyle name="Percent 34 2 3 3 3" xfId="20060"/>
    <cellStyle name="Percent 34 2 3 3 3 2" xfId="39738"/>
    <cellStyle name="Percent 34 2 3 3 4" xfId="27422"/>
    <cellStyle name="Percent 34 2 3 4" xfId="10842"/>
    <cellStyle name="Percent 34 2 3 4 2" xfId="30520"/>
    <cellStyle name="Percent 34 2 3 5" xfId="16994"/>
    <cellStyle name="Percent 34 2 3 5 2" xfId="36672"/>
    <cellStyle name="Percent 34 2 3 6" xfId="24356"/>
    <cellStyle name="Percent 34 2 4" xfId="5393"/>
    <cellStyle name="Percent 34 2 4 2" xfId="8480"/>
    <cellStyle name="Percent 34 2 4 2 2" xfId="14673"/>
    <cellStyle name="Percent 34 2 4 2 2 2" xfId="34351"/>
    <cellStyle name="Percent 34 2 4 2 3" xfId="20825"/>
    <cellStyle name="Percent 34 2 4 2 3 2" xfId="40503"/>
    <cellStyle name="Percent 34 2 4 2 4" xfId="28187"/>
    <cellStyle name="Percent 34 2 4 3" xfId="11607"/>
    <cellStyle name="Percent 34 2 4 3 2" xfId="31285"/>
    <cellStyle name="Percent 34 2 4 4" xfId="17759"/>
    <cellStyle name="Percent 34 2 4 4 2" xfId="37437"/>
    <cellStyle name="Percent 34 2 4 5" xfId="25121"/>
    <cellStyle name="Percent 34 2 5" xfId="6945"/>
    <cellStyle name="Percent 34 2 5 2" xfId="13139"/>
    <cellStyle name="Percent 34 2 5 2 2" xfId="32817"/>
    <cellStyle name="Percent 34 2 5 3" xfId="19291"/>
    <cellStyle name="Percent 34 2 5 3 2" xfId="38969"/>
    <cellStyle name="Percent 34 2 5 4" xfId="26653"/>
    <cellStyle name="Percent 34 2 6" xfId="10073"/>
    <cellStyle name="Percent 34 2 6 2" xfId="29751"/>
    <cellStyle name="Percent 34 2 7" xfId="16225"/>
    <cellStyle name="Percent 34 2 7 2" xfId="35903"/>
    <cellStyle name="Percent 34 2 8" xfId="23570"/>
    <cellStyle name="Percent 34 3" xfId="3514"/>
    <cellStyle name="Percent 34 3 2" xfId="3515"/>
    <cellStyle name="Percent 34 3 2 2" xfId="4541"/>
    <cellStyle name="Percent 34 3 2 2 2" xfId="6166"/>
    <cellStyle name="Percent 34 3 2 2 2 2" xfId="9252"/>
    <cellStyle name="Percent 34 3 2 2 2 2 2" xfId="15445"/>
    <cellStyle name="Percent 34 3 2 2 2 2 2 2" xfId="35123"/>
    <cellStyle name="Percent 34 3 2 2 2 2 3" xfId="21597"/>
    <cellStyle name="Percent 34 3 2 2 2 2 3 2" xfId="41275"/>
    <cellStyle name="Percent 34 3 2 2 2 2 4" xfId="28959"/>
    <cellStyle name="Percent 34 3 2 2 2 3" xfId="12379"/>
    <cellStyle name="Percent 34 3 2 2 2 3 2" xfId="32057"/>
    <cellStyle name="Percent 34 3 2 2 2 4" xfId="18531"/>
    <cellStyle name="Percent 34 3 2 2 2 4 2" xfId="38209"/>
    <cellStyle name="Percent 34 3 2 2 2 5" xfId="25893"/>
    <cellStyle name="Percent 34 3 2 2 3" xfId="7717"/>
    <cellStyle name="Percent 34 3 2 2 3 2" xfId="13911"/>
    <cellStyle name="Percent 34 3 2 2 3 2 2" xfId="33589"/>
    <cellStyle name="Percent 34 3 2 2 3 3" xfId="20063"/>
    <cellStyle name="Percent 34 3 2 2 3 3 2" xfId="39741"/>
    <cellStyle name="Percent 34 3 2 2 3 4" xfId="27425"/>
    <cellStyle name="Percent 34 3 2 2 4" xfId="10845"/>
    <cellStyle name="Percent 34 3 2 2 4 2" xfId="30523"/>
    <cellStyle name="Percent 34 3 2 2 5" xfId="16997"/>
    <cellStyle name="Percent 34 3 2 2 5 2" xfId="36675"/>
    <cellStyle name="Percent 34 3 2 2 6" xfId="24359"/>
    <cellStyle name="Percent 34 3 2 3" xfId="5396"/>
    <cellStyle name="Percent 34 3 2 3 2" xfId="8483"/>
    <cellStyle name="Percent 34 3 2 3 2 2" xfId="14676"/>
    <cellStyle name="Percent 34 3 2 3 2 2 2" xfId="34354"/>
    <cellStyle name="Percent 34 3 2 3 2 3" xfId="20828"/>
    <cellStyle name="Percent 34 3 2 3 2 3 2" xfId="40506"/>
    <cellStyle name="Percent 34 3 2 3 2 4" xfId="28190"/>
    <cellStyle name="Percent 34 3 2 3 3" xfId="11610"/>
    <cellStyle name="Percent 34 3 2 3 3 2" xfId="31288"/>
    <cellStyle name="Percent 34 3 2 3 4" xfId="17762"/>
    <cellStyle name="Percent 34 3 2 3 4 2" xfId="37440"/>
    <cellStyle name="Percent 34 3 2 3 5" xfId="25124"/>
    <cellStyle name="Percent 34 3 2 4" xfId="6948"/>
    <cellStyle name="Percent 34 3 2 4 2" xfId="13142"/>
    <cellStyle name="Percent 34 3 2 4 2 2" xfId="32820"/>
    <cellStyle name="Percent 34 3 2 4 3" xfId="19294"/>
    <cellStyle name="Percent 34 3 2 4 3 2" xfId="38972"/>
    <cellStyle name="Percent 34 3 2 4 4" xfId="26656"/>
    <cellStyle name="Percent 34 3 2 5" xfId="10076"/>
    <cellStyle name="Percent 34 3 2 5 2" xfId="29754"/>
    <cellStyle name="Percent 34 3 2 6" xfId="16228"/>
    <cellStyle name="Percent 34 3 2 6 2" xfId="35906"/>
    <cellStyle name="Percent 34 3 2 7" xfId="23573"/>
    <cellStyle name="Percent 34 3 3" xfId="4540"/>
    <cellStyle name="Percent 34 3 3 2" xfId="6165"/>
    <cellStyle name="Percent 34 3 3 2 2" xfId="9251"/>
    <cellStyle name="Percent 34 3 3 2 2 2" xfId="15444"/>
    <cellStyle name="Percent 34 3 3 2 2 2 2" xfId="35122"/>
    <cellStyle name="Percent 34 3 3 2 2 3" xfId="21596"/>
    <cellStyle name="Percent 34 3 3 2 2 3 2" xfId="41274"/>
    <cellStyle name="Percent 34 3 3 2 2 4" xfId="28958"/>
    <cellStyle name="Percent 34 3 3 2 3" xfId="12378"/>
    <cellStyle name="Percent 34 3 3 2 3 2" xfId="32056"/>
    <cellStyle name="Percent 34 3 3 2 4" xfId="18530"/>
    <cellStyle name="Percent 34 3 3 2 4 2" xfId="38208"/>
    <cellStyle name="Percent 34 3 3 2 5" xfId="25892"/>
    <cellStyle name="Percent 34 3 3 3" xfId="7716"/>
    <cellStyle name="Percent 34 3 3 3 2" xfId="13910"/>
    <cellStyle name="Percent 34 3 3 3 2 2" xfId="33588"/>
    <cellStyle name="Percent 34 3 3 3 3" xfId="20062"/>
    <cellStyle name="Percent 34 3 3 3 3 2" xfId="39740"/>
    <cellStyle name="Percent 34 3 3 3 4" xfId="27424"/>
    <cellStyle name="Percent 34 3 3 4" xfId="10844"/>
    <cellStyle name="Percent 34 3 3 4 2" xfId="30522"/>
    <cellStyle name="Percent 34 3 3 5" xfId="16996"/>
    <cellStyle name="Percent 34 3 3 5 2" xfId="36674"/>
    <cellStyle name="Percent 34 3 3 6" xfId="24358"/>
    <cellStyle name="Percent 34 3 4" xfId="5395"/>
    <cellStyle name="Percent 34 3 4 2" xfId="8482"/>
    <cellStyle name="Percent 34 3 4 2 2" xfId="14675"/>
    <cellStyle name="Percent 34 3 4 2 2 2" xfId="34353"/>
    <cellStyle name="Percent 34 3 4 2 3" xfId="20827"/>
    <cellStyle name="Percent 34 3 4 2 3 2" xfId="40505"/>
    <cellStyle name="Percent 34 3 4 2 4" xfId="28189"/>
    <cellStyle name="Percent 34 3 4 3" xfId="11609"/>
    <cellStyle name="Percent 34 3 4 3 2" xfId="31287"/>
    <cellStyle name="Percent 34 3 4 4" xfId="17761"/>
    <cellStyle name="Percent 34 3 4 4 2" xfId="37439"/>
    <cellStyle name="Percent 34 3 4 5" xfId="25123"/>
    <cellStyle name="Percent 34 3 5" xfId="6947"/>
    <cellStyle name="Percent 34 3 5 2" xfId="13141"/>
    <cellStyle name="Percent 34 3 5 2 2" xfId="32819"/>
    <cellStyle name="Percent 34 3 5 3" xfId="19293"/>
    <cellStyle name="Percent 34 3 5 3 2" xfId="38971"/>
    <cellStyle name="Percent 34 3 5 4" xfId="26655"/>
    <cellStyle name="Percent 34 3 6" xfId="10075"/>
    <cellStyle name="Percent 34 3 6 2" xfId="29753"/>
    <cellStyle name="Percent 34 3 7" xfId="16227"/>
    <cellStyle name="Percent 34 3 7 2" xfId="35905"/>
    <cellStyle name="Percent 34 3 8" xfId="23572"/>
    <cellStyle name="Percent 34 4" xfId="3516"/>
    <cellStyle name="Percent 34 4 2" xfId="3517"/>
    <cellStyle name="Percent 34 4 2 2" xfId="4542"/>
    <cellStyle name="Percent 34 4 2 2 2" xfId="6167"/>
    <cellStyle name="Percent 34 4 2 2 2 2" xfId="9253"/>
    <cellStyle name="Percent 34 4 2 2 2 2 2" xfId="15446"/>
    <cellStyle name="Percent 34 4 2 2 2 2 2 2" xfId="35124"/>
    <cellStyle name="Percent 34 4 2 2 2 2 3" xfId="21598"/>
    <cellStyle name="Percent 34 4 2 2 2 2 3 2" xfId="41276"/>
    <cellStyle name="Percent 34 4 2 2 2 2 4" xfId="28960"/>
    <cellStyle name="Percent 34 4 2 2 2 3" xfId="12380"/>
    <cellStyle name="Percent 34 4 2 2 2 3 2" xfId="32058"/>
    <cellStyle name="Percent 34 4 2 2 2 4" xfId="18532"/>
    <cellStyle name="Percent 34 4 2 2 2 4 2" xfId="38210"/>
    <cellStyle name="Percent 34 4 2 2 2 5" xfId="25894"/>
    <cellStyle name="Percent 34 4 2 2 3" xfId="7718"/>
    <cellStyle name="Percent 34 4 2 2 3 2" xfId="13912"/>
    <cellStyle name="Percent 34 4 2 2 3 2 2" xfId="33590"/>
    <cellStyle name="Percent 34 4 2 2 3 3" xfId="20064"/>
    <cellStyle name="Percent 34 4 2 2 3 3 2" xfId="39742"/>
    <cellStyle name="Percent 34 4 2 2 3 4" xfId="27426"/>
    <cellStyle name="Percent 34 4 2 2 4" xfId="10846"/>
    <cellStyle name="Percent 34 4 2 2 4 2" xfId="30524"/>
    <cellStyle name="Percent 34 4 2 2 5" xfId="16998"/>
    <cellStyle name="Percent 34 4 2 2 5 2" xfId="36676"/>
    <cellStyle name="Percent 34 4 2 2 6" xfId="24360"/>
    <cellStyle name="Percent 34 4 2 3" xfId="5397"/>
    <cellStyle name="Percent 34 4 2 3 2" xfId="8484"/>
    <cellStyle name="Percent 34 4 2 3 2 2" xfId="14677"/>
    <cellStyle name="Percent 34 4 2 3 2 2 2" xfId="34355"/>
    <cellStyle name="Percent 34 4 2 3 2 3" xfId="20829"/>
    <cellStyle name="Percent 34 4 2 3 2 3 2" xfId="40507"/>
    <cellStyle name="Percent 34 4 2 3 2 4" xfId="28191"/>
    <cellStyle name="Percent 34 4 2 3 3" xfId="11611"/>
    <cellStyle name="Percent 34 4 2 3 3 2" xfId="31289"/>
    <cellStyle name="Percent 34 4 2 3 4" xfId="17763"/>
    <cellStyle name="Percent 34 4 2 3 4 2" xfId="37441"/>
    <cellStyle name="Percent 34 4 2 3 5" xfId="25125"/>
    <cellStyle name="Percent 34 4 2 4" xfId="6949"/>
    <cellStyle name="Percent 34 4 2 4 2" xfId="13143"/>
    <cellStyle name="Percent 34 4 2 4 2 2" xfId="32821"/>
    <cellStyle name="Percent 34 4 2 4 3" xfId="19295"/>
    <cellStyle name="Percent 34 4 2 4 3 2" xfId="38973"/>
    <cellStyle name="Percent 34 4 2 4 4" xfId="26657"/>
    <cellStyle name="Percent 34 4 2 5" xfId="10077"/>
    <cellStyle name="Percent 34 4 2 5 2" xfId="29755"/>
    <cellStyle name="Percent 34 4 2 6" xfId="16229"/>
    <cellStyle name="Percent 34 4 2 6 2" xfId="35907"/>
    <cellStyle name="Percent 34 4 2 7" xfId="23574"/>
    <cellStyle name="Percent 34 5" xfId="3518"/>
    <cellStyle name="Percent 34 5 2" xfId="4543"/>
    <cellStyle name="Percent 34 5 2 2" xfId="6168"/>
    <cellStyle name="Percent 34 5 2 2 2" xfId="9254"/>
    <cellStyle name="Percent 34 5 2 2 2 2" xfId="15447"/>
    <cellStyle name="Percent 34 5 2 2 2 2 2" xfId="35125"/>
    <cellStyle name="Percent 34 5 2 2 2 3" xfId="21599"/>
    <cellStyle name="Percent 34 5 2 2 2 3 2" xfId="41277"/>
    <cellStyle name="Percent 34 5 2 2 2 4" xfId="28961"/>
    <cellStyle name="Percent 34 5 2 2 3" xfId="12381"/>
    <cellStyle name="Percent 34 5 2 2 3 2" xfId="32059"/>
    <cellStyle name="Percent 34 5 2 2 4" xfId="18533"/>
    <cellStyle name="Percent 34 5 2 2 4 2" xfId="38211"/>
    <cellStyle name="Percent 34 5 2 2 5" xfId="25895"/>
    <cellStyle name="Percent 34 5 2 3" xfId="7719"/>
    <cellStyle name="Percent 34 5 2 3 2" xfId="13913"/>
    <cellStyle name="Percent 34 5 2 3 2 2" xfId="33591"/>
    <cellStyle name="Percent 34 5 2 3 3" xfId="20065"/>
    <cellStyle name="Percent 34 5 2 3 3 2" xfId="39743"/>
    <cellStyle name="Percent 34 5 2 3 4" xfId="27427"/>
    <cellStyle name="Percent 34 5 2 4" xfId="10847"/>
    <cellStyle name="Percent 34 5 2 4 2" xfId="30525"/>
    <cellStyle name="Percent 34 5 2 5" xfId="16999"/>
    <cellStyle name="Percent 34 5 2 5 2" xfId="36677"/>
    <cellStyle name="Percent 34 5 2 6" xfId="24361"/>
    <cellStyle name="Percent 34 5 3" xfId="5398"/>
    <cellStyle name="Percent 34 5 3 2" xfId="8485"/>
    <cellStyle name="Percent 34 5 3 2 2" xfId="14678"/>
    <cellStyle name="Percent 34 5 3 2 2 2" xfId="34356"/>
    <cellStyle name="Percent 34 5 3 2 3" xfId="20830"/>
    <cellStyle name="Percent 34 5 3 2 3 2" xfId="40508"/>
    <cellStyle name="Percent 34 5 3 2 4" xfId="28192"/>
    <cellStyle name="Percent 34 5 3 3" xfId="11612"/>
    <cellStyle name="Percent 34 5 3 3 2" xfId="31290"/>
    <cellStyle name="Percent 34 5 3 4" xfId="17764"/>
    <cellStyle name="Percent 34 5 3 4 2" xfId="37442"/>
    <cellStyle name="Percent 34 5 3 5" xfId="25126"/>
    <cellStyle name="Percent 34 5 4" xfId="6950"/>
    <cellStyle name="Percent 34 5 4 2" xfId="13144"/>
    <cellStyle name="Percent 34 5 4 2 2" xfId="32822"/>
    <cellStyle name="Percent 34 5 4 3" xfId="19296"/>
    <cellStyle name="Percent 34 5 4 3 2" xfId="38974"/>
    <cellStyle name="Percent 34 5 4 4" xfId="26658"/>
    <cellStyle name="Percent 34 5 5" xfId="10078"/>
    <cellStyle name="Percent 34 5 5 2" xfId="29756"/>
    <cellStyle name="Percent 34 5 6" xfId="16230"/>
    <cellStyle name="Percent 34 5 6 2" xfId="35908"/>
    <cellStyle name="Percent 34 5 7" xfId="23575"/>
    <cellStyle name="Percent 35" xfId="3519"/>
    <cellStyle name="Percent 35 2" xfId="3520"/>
    <cellStyle name="Percent 35 2 2" xfId="3521"/>
    <cellStyle name="Percent 35 2 2 2" xfId="4545"/>
    <cellStyle name="Percent 35 2 2 2 2" xfId="6170"/>
    <cellStyle name="Percent 35 2 2 2 2 2" xfId="9256"/>
    <cellStyle name="Percent 35 2 2 2 2 2 2" xfId="15449"/>
    <cellStyle name="Percent 35 2 2 2 2 2 2 2" xfId="35127"/>
    <cellStyle name="Percent 35 2 2 2 2 2 3" xfId="21601"/>
    <cellStyle name="Percent 35 2 2 2 2 2 3 2" xfId="41279"/>
    <cellStyle name="Percent 35 2 2 2 2 2 4" xfId="28963"/>
    <cellStyle name="Percent 35 2 2 2 2 3" xfId="12383"/>
    <cellStyle name="Percent 35 2 2 2 2 3 2" xfId="32061"/>
    <cellStyle name="Percent 35 2 2 2 2 4" xfId="18535"/>
    <cellStyle name="Percent 35 2 2 2 2 4 2" xfId="38213"/>
    <cellStyle name="Percent 35 2 2 2 2 5" xfId="25897"/>
    <cellStyle name="Percent 35 2 2 2 3" xfId="7721"/>
    <cellStyle name="Percent 35 2 2 2 3 2" xfId="13915"/>
    <cellStyle name="Percent 35 2 2 2 3 2 2" xfId="33593"/>
    <cellStyle name="Percent 35 2 2 2 3 3" xfId="20067"/>
    <cellStyle name="Percent 35 2 2 2 3 3 2" xfId="39745"/>
    <cellStyle name="Percent 35 2 2 2 3 4" xfId="27429"/>
    <cellStyle name="Percent 35 2 2 2 4" xfId="10849"/>
    <cellStyle name="Percent 35 2 2 2 4 2" xfId="30527"/>
    <cellStyle name="Percent 35 2 2 2 5" xfId="17001"/>
    <cellStyle name="Percent 35 2 2 2 5 2" xfId="36679"/>
    <cellStyle name="Percent 35 2 2 2 6" xfId="24363"/>
    <cellStyle name="Percent 35 2 2 3" xfId="5400"/>
    <cellStyle name="Percent 35 2 2 3 2" xfId="8487"/>
    <cellStyle name="Percent 35 2 2 3 2 2" xfId="14680"/>
    <cellStyle name="Percent 35 2 2 3 2 2 2" xfId="34358"/>
    <cellStyle name="Percent 35 2 2 3 2 3" xfId="20832"/>
    <cellStyle name="Percent 35 2 2 3 2 3 2" xfId="40510"/>
    <cellStyle name="Percent 35 2 2 3 2 4" xfId="28194"/>
    <cellStyle name="Percent 35 2 2 3 3" xfId="11614"/>
    <cellStyle name="Percent 35 2 2 3 3 2" xfId="31292"/>
    <cellStyle name="Percent 35 2 2 3 4" xfId="17766"/>
    <cellStyle name="Percent 35 2 2 3 4 2" xfId="37444"/>
    <cellStyle name="Percent 35 2 2 3 5" xfId="25128"/>
    <cellStyle name="Percent 35 2 2 4" xfId="6952"/>
    <cellStyle name="Percent 35 2 2 4 2" xfId="13146"/>
    <cellStyle name="Percent 35 2 2 4 2 2" xfId="32824"/>
    <cellStyle name="Percent 35 2 2 4 3" xfId="19298"/>
    <cellStyle name="Percent 35 2 2 4 3 2" xfId="38976"/>
    <cellStyle name="Percent 35 2 2 4 4" xfId="26660"/>
    <cellStyle name="Percent 35 2 2 5" xfId="10080"/>
    <cellStyle name="Percent 35 2 2 5 2" xfId="29758"/>
    <cellStyle name="Percent 35 2 2 6" xfId="16232"/>
    <cellStyle name="Percent 35 2 2 6 2" xfId="35910"/>
    <cellStyle name="Percent 35 2 2 7" xfId="23577"/>
    <cellStyle name="Percent 35 2 3" xfId="4544"/>
    <cellStyle name="Percent 35 2 3 2" xfId="6169"/>
    <cellStyle name="Percent 35 2 3 2 2" xfId="9255"/>
    <cellStyle name="Percent 35 2 3 2 2 2" xfId="15448"/>
    <cellStyle name="Percent 35 2 3 2 2 2 2" xfId="35126"/>
    <cellStyle name="Percent 35 2 3 2 2 3" xfId="21600"/>
    <cellStyle name="Percent 35 2 3 2 2 3 2" xfId="41278"/>
    <cellStyle name="Percent 35 2 3 2 2 4" xfId="28962"/>
    <cellStyle name="Percent 35 2 3 2 3" xfId="12382"/>
    <cellStyle name="Percent 35 2 3 2 3 2" xfId="32060"/>
    <cellStyle name="Percent 35 2 3 2 4" xfId="18534"/>
    <cellStyle name="Percent 35 2 3 2 4 2" xfId="38212"/>
    <cellStyle name="Percent 35 2 3 2 5" xfId="25896"/>
    <cellStyle name="Percent 35 2 3 3" xfId="7720"/>
    <cellStyle name="Percent 35 2 3 3 2" xfId="13914"/>
    <cellStyle name="Percent 35 2 3 3 2 2" xfId="33592"/>
    <cellStyle name="Percent 35 2 3 3 3" xfId="20066"/>
    <cellStyle name="Percent 35 2 3 3 3 2" xfId="39744"/>
    <cellStyle name="Percent 35 2 3 3 4" xfId="27428"/>
    <cellStyle name="Percent 35 2 3 4" xfId="10848"/>
    <cellStyle name="Percent 35 2 3 4 2" xfId="30526"/>
    <cellStyle name="Percent 35 2 3 5" xfId="17000"/>
    <cellStyle name="Percent 35 2 3 5 2" xfId="36678"/>
    <cellStyle name="Percent 35 2 3 6" xfId="24362"/>
    <cellStyle name="Percent 35 2 4" xfId="5399"/>
    <cellStyle name="Percent 35 2 4 2" xfId="8486"/>
    <cellStyle name="Percent 35 2 4 2 2" xfId="14679"/>
    <cellStyle name="Percent 35 2 4 2 2 2" xfId="34357"/>
    <cellStyle name="Percent 35 2 4 2 3" xfId="20831"/>
    <cellStyle name="Percent 35 2 4 2 3 2" xfId="40509"/>
    <cellStyle name="Percent 35 2 4 2 4" xfId="28193"/>
    <cellStyle name="Percent 35 2 4 3" xfId="11613"/>
    <cellStyle name="Percent 35 2 4 3 2" xfId="31291"/>
    <cellStyle name="Percent 35 2 4 4" xfId="17765"/>
    <cellStyle name="Percent 35 2 4 4 2" xfId="37443"/>
    <cellStyle name="Percent 35 2 4 5" xfId="25127"/>
    <cellStyle name="Percent 35 2 5" xfId="6951"/>
    <cellStyle name="Percent 35 2 5 2" xfId="13145"/>
    <cellStyle name="Percent 35 2 5 2 2" xfId="32823"/>
    <cellStyle name="Percent 35 2 5 3" xfId="19297"/>
    <cellStyle name="Percent 35 2 5 3 2" xfId="38975"/>
    <cellStyle name="Percent 35 2 5 4" xfId="26659"/>
    <cellStyle name="Percent 35 2 6" xfId="10079"/>
    <cellStyle name="Percent 35 2 6 2" xfId="29757"/>
    <cellStyle name="Percent 35 2 7" xfId="16231"/>
    <cellStyle name="Percent 35 2 7 2" xfId="35909"/>
    <cellStyle name="Percent 35 2 8" xfId="23576"/>
    <cellStyle name="Percent 35 3" xfId="3522"/>
    <cellStyle name="Percent 35 3 2" xfId="3523"/>
    <cellStyle name="Percent 35 3 2 2" xfId="4547"/>
    <cellStyle name="Percent 35 3 2 2 2" xfId="6172"/>
    <cellStyle name="Percent 35 3 2 2 2 2" xfId="9258"/>
    <cellStyle name="Percent 35 3 2 2 2 2 2" xfId="15451"/>
    <cellStyle name="Percent 35 3 2 2 2 2 2 2" xfId="35129"/>
    <cellStyle name="Percent 35 3 2 2 2 2 3" xfId="21603"/>
    <cellStyle name="Percent 35 3 2 2 2 2 3 2" xfId="41281"/>
    <cellStyle name="Percent 35 3 2 2 2 2 4" xfId="28965"/>
    <cellStyle name="Percent 35 3 2 2 2 3" xfId="12385"/>
    <cellStyle name="Percent 35 3 2 2 2 3 2" xfId="32063"/>
    <cellStyle name="Percent 35 3 2 2 2 4" xfId="18537"/>
    <cellStyle name="Percent 35 3 2 2 2 4 2" xfId="38215"/>
    <cellStyle name="Percent 35 3 2 2 2 5" xfId="25899"/>
    <cellStyle name="Percent 35 3 2 2 3" xfId="7723"/>
    <cellStyle name="Percent 35 3 2 2 3 2" xfId="13917"/>
    <cellStyle name="Percent 35 3 2 2 3 2 2" xfId="33595"/>
    <cellStyle name="Percent 35 3 2 2 3 3" xfId="20069"/>
    <cellStyle name="Percent 35 3 2 2 3 3 2" xfId="39747"/>
    <cellStyle name="Percent 35 3 2 2 3 4" xfId="27431"/>
    <cellStyle name="Percent 35 3 2 2 4" xfId="10851"/>
    <cellStyle name="Percent 35 3 2 2 4 2" xfId="30529"/>
    <cellStyle name="Percent 35 3 2 2 5" xfId="17003"/>
    <cellStyle name="Percent 35 3 2 2 5 2" xfId="36681"/>
    <cellStyle name="Percent 35 3 2 2 6" xfId="24365"/>
    <cellStyle name="Percent 35 3 2 3" xfId="5402"/>
    <cellStyle name="Percent 35 3 2 3 2" xfId="8489"/>
    <cellStyle name="Percent 35 3 2 3 2 2" xfId="14682"/>
    <cellStyle name="Percent 35 3 2 3 2 2 2" xfId="34360"/>
    <cellStyle name="Percent 35 3 2 3 2 3" xfId="20834"/>
    <cellStyle name="Percent 35 3 2 3 2 3 2" xfId="40512"/>
    <cellStyle name="Percent 35 3 2 3 2 4" xfId="28196"/>
    <cellStyle name="Percent 35 3 2 3 3" xfId="11616"/>
    <cellStyle name="Percent 35 3 2 3 3 2" xfId="31294"/>
    <cellStyle name="Percent 35 3 2 3 4" xfId="17768"/>
    <cellStyle name="Percent 35 3 2 3 4 2" xfId="37446"/>
    <cellStyle name="Percent 35 3 2 3 5" xfId="25130"/>
    <cellStyle name="Percent 35 3 2 4" xfId="6954"/>
    <cellStyle name="Percent 35 3 2 4 2" xfId="13148"/>
    <cellStyle name="Percent 35 3 2 4 2 2" xfId="32826"/>
    <cellStyle name="Percent 35 3 2 4 3" xfId="19300"/>
    <cellStyle name="Percent 35 3 2 4 3 2" xfId="38978"/>
    <cellStyle name="Percent 35 3 2 4 4" xfId="26662"/>
    <cellStyle name="Percent 35 3 2 5" xfId="10082"/>
    <cellStyle name="Percent 35 3 2 5 2" xfId="29760"/>
    <cellStyle name="Percent 35 3 2 6" xfId="16234"/>
    <cellStyle name="Percent 35 3 2 6 2" xfId="35912"/>
    <cellStyle name="Percent 35 3 2 7" xfId="23579"/>
    <cellStyle name="Percent 35 3 3" xfId="4546"/>
    <cellStyle name="Percent 35 3 3 2" xfId="6171"/>
    <cellStyle name="Percent 35 3 3 2 2" xfId="9257"/>
    <cellStyle name="Percent 35 3 3 2 2 2" xfId="15450"/>
    <cellStyle name="Percent 35 3 3 2 2 2 2" xfId="35128"/>
    <cellStyle name="Percent 35 3 3 2 2 3" xfId="21602"/>
    <cellStyle name="Percent 35 3 3 2 2 3 2" xfId="41280"/>
    <cellStyle name="Percent 35 3 3 2 2 4" xfId="28964"/>
    <cellStyle name="Percent 35 3 3 2 3" xfId="12384"/>
    <cellStyle name="Percent 35 3 3 2 3 2" xfId="32062"/>
    <cellStyle name="Percent 35 3 3 2 4" xfId="18536"/>
    <cellStyle name="Percent 35 3 3 2 4 2" xfId="38214"/>
    <cellStyle name="Percent 35 3 3 2 5" xfId="25898"/>
    <cellStyle name="Percent 35 3 3 3" xfId="7722"/>
    <cellStyle name="Percent 35 3 3 3 2" xfId="13916"/>
    <cellStyle name="Percent 35 3 3 3 2 2" xfId="33594"/>
    <cellStyle name="Percent 35 3 3 3 3" xfId="20068"/>
    <cellStyle name="Percent 35 3 3 3 3 2" xfId="39746"/>
    <cellStyle name="Percent 35 3 3 3 4" xfId="27430"/>
    <cellStyle name="Percent 35 3 3 4" xfId="10850"/>
    <cellStyle name="Percent 35 3 3 4 2" xfId="30528"/>
    <cellStyle name="Percent 35 3 3 5" xfId="17002"/>
    <cellStyle name="Percent 35 3 3 5 2" xfId="36680"/>
    <cellStyle name="Percent 35 3 3 6" xfId="24364"/>
    <cellStyle name="Percent 35 3 4" xfId="5401"/>
    <cellStyle name="Percent 35 3 4 2" xfId="8488"/>
    <cellStyle name="Percent 35 3 4 2 2" xfId="14681"/>
    <cellStyle name="Percent 35 3 4 2 2 2" xfId="34359"/>
    <cellStyle name="Percent 35 3 4 2 3" xfId="20833"/>
    <cellStyle name="Percent 35 3 4 2 3 2" xfId="40511"/>
    <cellStyle name="Percent 35 3 4 2 4" xfId="28195"/>
    <cellStyle name="Percent 35 3 4 3" xfId="11615"/>
    <cellStyle name="Percent 35 3 4 3 2" xfId="31293"/>
    <cellStyle name="Percent 35 3 4 4" xfId="17767"/>
    <cellStyle name="Percent 35 3 4 4 2" xfId="37445"/>
    <cellStyle name="Percent 35 3 4 5" xfId="25129"/>
    <cellStyle name="Percent 35 3 5" xfId="6953"/>
    <cellStyle name="Percent 35 3 5 2" xfId="13147"/>
    <cellStyle name="Percent 35 3 5 2 2" xfId="32825"/>
    <cellStyle name="Percent 35 3 5 3" xfId="19299"/>
    <cellStyle name="Percent 35 3 5 3 2" xfId="38977"/>
    <cellStyle name="Percent 35 3 5 4" xfId="26661"/>
    <cellStyle name="Percent 35 3 6" xfId="10081"/>
    <cellStyle name="Percent 35 3 6 2" xfId="29759"/>
    <cellStyle name="Percent 35 3 7" xfId="16233"/>
    <cellStyle name="Percent 35 3 7 2" xfId="35911"/>
    <cellStyle name="Percent 35 3 8" xfId="23578"/>
    <cellStyle name="Percent 35 4" xfId="3524"/>
    <cellStyle name="Percent 35 4 2" xfId="3525"/>
    <cellStyle name="Percent 35 4 2 2" xfId="4548"/>
    <cellStyle name="Percent 35 4 2 2 2" xfId="6173"/>
    <cellStyle name="Percent 35 4 2 2 2 2" xfId="9259"/>
    <cellStyle name="Percent 35 4 2 2 2 2 2" xfId="15452"/>
    <cellStyle name="Percent 35 4 2 2 2 2 2 2" xfId="35130"/>
    <cellStyle name="Percent 35 4 2 2 2 2 3" xfId="21604"/>
    <cellStyle name="Percent 35 4 2 2 2 2 3 2" xfId="41282"/>
    <cellStyle name="Percent 35 4 2 2 2 2 4" xfId="28966"/>
    <cellStyle name="Percent 35 4 2 2 2 3" xfId="12386"/>
    <cellStyle name="Percent 35 4 2 2 2 3 2" xfId="32064"/>
    <cellStyle name="Percent 35 4 2 2 2 4" xfId="18538"/>
    <cellStyle name="Percent 35 4 2 2 2 4 2" xfId="38216"/>
    <cellStyle name="Percent 35 4 2 2 2 5" xfId="25900"/>
    <cellStyle name="Percent 35 4 2 2 3" xfId="7724"/>
    <cellStyle name="Percent 35 4 2 2 3 2" xfId="13918"/>
    <cellStyle name="Percent 35 4 2 2 3 2 2" xfId="33596"/>
    <cellStyle name="Percent 35 4 2 2 3 3" xfId="20070"/>
    <cellStyle name="Percent 35 4 2 2 3 3 2" xfId="39748"/>
    <cellStyle name="Percent 35 4 2 2 3 4" xfId="27432"/>
    <cellStyle name="Percent 35 4 2 2 4" xfId="10852"/>
    <cellStyle name="Percent 35 4 2 2 4 2" xfId="30530"/>
    <cellStyle name="Percent 35 4 2 2 5" xfId="17004"/>
    <cellStyle name="Percent 35 4 2 2 5 2" xfId="36682"/>
    <cellStyle name="Percent 35 4 2 2 6" xfId="24366"/>
    <cellStyle name="Percent 35 4 2 3" xfId="5403"/>
    <cellStyle name="Percent 35 4 2 3 2" xfId="8490"/>
    <cellStyle name="Percent 35 4 2 3 2 2" xfId="14683"/>
    <cellStyle name="Percent 35 4 2 3 2 2 2" xfId="34361"/>
    <cellStyle name="Percent 35 4 2 3 2 3" xfId="20835"/>
    <cellStyle name="Percent 35 4 2 3 2 3 2" xfId="40513"/>
    <cellStyle name="Percent 35 4 2 3 2 4" xfId="28197"/>
    <cellStyle name="Percent 35 4 2 3 3" xfId="11617"/>
    <cellStyle name="Percent 35 4 2 3 3 2" xfId="31295"/>
    <cellStyle name="Percent 35 4 2 3 4" xfId="17769"/>
    <cellStyle name="Percent 35 4 2 3 4 2" xfId="37447"/>
    <cellStyle name="Percent 35 4 2 3 5" xfId="25131"/>
    <cellStyle name="Percent 35 4 2 4" xfId="6955"/>
    <cellStyle name="Percent 35 4 2 4 2" xfId="13149"/>
    <cellStyle name="Percent 35 4 2 4 2 2" xfId="32827"/>
    <cellStyle name="Percent 35 4 2 4 3" xfId="19301"/>
    <cellStyle name="Percent 35 4 2 4 3 2" xfId="38979"/>
    <cellStyle name="Percent 35 4 2 4 4" xfId="26663"/>
    <cellStyle name="Percent 35 4 2 5" xfId="10083"/>
    <cellStyle name="Percent 35 4 2 5 2" xfId="29761"/>
    <cellStyle name="Percent 35 4 2 6" xfId="16235"/>
    <cellStyle name="Percent 35 4 2 6 2" xfId="35913"/>
    <cellStyle name="Percent 35 4 2 7" xfId="23580"/>
    <cellStyle name="Percent 35 5" xfId="3526"/>
    <cellStyle name="Percent 35 5 2" xfId="4549"/>
    <cellStyle name="Percent 35 5 2 2" xfId="6174"/>
    <cellStyle name="Percent 35 5 2 2 2" xfId="9260"/>
    <cellStyle name="Percent 35 5 2 2 2 2" xfId="15453"/>
    <cellStyle name="Percent 35 5 2 2 2 2 2" xfId="35131"/>
    <cellStyle name="Percent 35 5 2 2 2 3" xfId="21605"/>
    <cellStyle name="Percent 35 5 2 2 2 3 2" xfId="41283"/>
    <cellStyle name="Percent 35 5 2 2 2 4" xfId="28967"/>
    <cellStyle name="Percent 35 5 2 2 3" xfId="12387"/>
    <cellStyle name="Percent 35 5 2 2 3 2" xfId="32065"/>
    <cellStyle name="Percent 35 5 2 2 4" xfId="18539"/>
    <cellStyle name="Percent 35 5 2 2 4 2" xfId="38217"/>
    <cellStyle name="Percent 35 5 2 2 5" xfId="25901"/>
    <cellStyle name="Percent 35 5 2 3" xfId="7725"/>
    <cellStyle name="Percent 35 5 2 3 2" xfId="13919"/>
    <cellStyle name="Percent 35 5 2 3 2 2" xfId="33597"/>
    <cellStyle name="Percent 35 5 2 3 3" xfId="20071"/>
    <cellStyle name="Percent 35 5 2 3 3 2" xfId="39749"/>
    <cellStyle name="Percent 35 5 2 3 4" xfId="27433"/>
    <cellStyle name="Percent 35 5 2 4" xfId="10853"/>
    <cellStyle name="Percent 35 5 2 4 2" xfId="30531"/>
    <cellStyle name="Percent 35 5 2 5" xfId="17005"/>
    <cellStyle name="Percent 35 5 2 5 2" xfId="36683"/>
    <cellStyle name="Percent 35 5 2 6" xfId="24367"/>
    <cellStyle name="Percent 35 5 3" xfId="5404"/>
    <cellStyle name="Percent 35 5 3 2" xfId="8491"/>
    <cellStyle name="Percent 35 5 3 2 2" xfId="14684"/>
    <cellStyle name="Percent 35 5 3 2 2 2" xfId="34362"/>
    <cellStyle name="Percent 35 5 3 2 3" xfId="20836"/>
    <cellStyle name="Percent 35 5 3 2 3 2" xfId="40514"/>
    <cellStyle name="Percent 35 5 3 2 4" xfId="28198"/>
    <cellStyle name="Percent 35 5 3 3" xfId="11618"/>
    <cellStyle name="Percent 35 5 3 3 2" xfId="31296"/>
    <cellStyle name="Percent 35 5 3 4" xfId="17770"/>
    <cellStyle name="Percent 35 5 3 4 2" xfId="37448"/>
    <cellStyle name="Percent 35 5 3 5" xfId="25132"/>
    <cellStyle name="Percent 35 5 4" xfId="6956"/>
    <cellStyle name="Percent 35 5 4 2" xfId="13150"/>
    <cellStyle name="Percent 35 5 4 2 2" xfId="32828"/>
    <cellStyle name="Percent 35 5 4 3" xfId="19302"/>
    <cellStyle name="Percent 35 5 4 3 2" xfId="38980"/>
    <cellStyle name="Percent 35 5 4 4" xfId="26664"/>
    <cellStyle name="Percent 35 5 5" xfId="10084"/>
    <cellStyle name="Percent 35 5 5 2" xfId="29762"/>
    <cellStyle name="Percent 35 5 6" xfId="16236"/>
    <cellStyle name="Percent 35 5 6 2" xfId="35914"/>
    <cellStyle name="Percent 35 5 7" xfId="23581"/>
    <cellStyle name="Percent 36" xfId="3527"/>
    <cellStyle name="Percent 37" xfId="3528"/>
    <cellStyle name="Percent 38" xfId="3529"/>
    <cellStyle name="Percent 39" xfId="3530"/>
    <cellStyle name="Percent 4" xfId="52"/>
    <cellStyle name="Percent 4 10" xfId="319"/>
    <cellStyle name="Percent 4 10 2" xfId="22734"/>
    <cellStyle name="Percent 4 10 3" xfId="21925"/>
    <cellStyle name="Percent 4 11" xfId="21937"/>
    <cellStyle name="Percent 4 12" xfId="21948"/>
    <cellStyle name="Percent 4 13" xfId="21959"/>
    <cellStyle name="Percent 4 14" xfId="21929"/>
    <cellStyle name="Percent 4 15" xfId="21995"/>
    <cellStyle name="Percent 4 16" xfId="21997"/>
    <cellStyle name="Percent 4 17" xfId="22013"/>
    <cellStyle name="Percent 4 18" xfId="22007"/>
    <cellStyle name="Percent 4 19" xfId="22034"/>
    <cellStyle name="Percent 4 2" xfId="3532"/>
    <cellStyle name="Percent 4 2 2" xfId="3533"/>
    <cellStyle name="Percent 4 2 2 2" xfId="3534"/>
    <cellStyle name="Percent 4 2 2 3" xfId="3535"/>
    <cellStyle name="Percent 4 2 3" xfId="23583"/>
    <cellStyle name="Percent 4 2 4" xfId="42060"/>
    <cellStyle name="Percent 4 2 5" xfId="21809"/>
    <cellStyle name="Percent 4 20" xfId="22043"/>
    <cellStyle name="Percent 4 21" xfId="22132"/>
    <cellStyle name="Percent 4 22" xfId="22182"/>
    <cellStyle name="Percent 4 23" xfId="22208"/>
    <cellStyle name="Percent 4 24" xfId="22178"/>
    <cellStyle name="Percent 4 25" xfId="22207"/>
    <cellStyle name="Percent 4 26" xfId="22205"/>
    <cellStyle name="Percent 4 27" xfId="22212"/>
    <cellStyle name="Percent 4 28" xfId="22244"/>
    <cellStyle name="Percent 4 29" xfId="42059"/>
    <cellStyle name="Percent 4 3" xfId="3536"/>
    <cellStyle name="Percent 4 3 2" xfId="23584"/>
    <cellStyle name="Percent 4 3 3" xfId="42061"/>
    <cellStyle name="Percent 4 3 4" xfId="21825"/>
    <cellStyle name="Percent 4 4" xfId="3537"/>
    <cellStyle name="Percent 4 4 2" xfId="23585"/>
    <cellStyle name="Percent 4 4 3" xfId="42062"/>
    <cellStyle name="Percent 4 4 4" xfId="21830"/>
    <cellStyle name="Percent 4 5" xfId="3538"/>
    <cellStyle name="Percent 4 5 2" xfId="23586"/>
    <cellStyle name="Percent 4 5 3" xfId="42063"/>
    <cellStyle name="Percent 4 5 4" xfId="21832"/>
    <cellStyle name="Percent 4 6" xfId="3539"/>
    <cellStyle name="Percent 4 6 2" xfId="23587"/>
    <cellStyle name="Percent 4 6 3" xfId="21840"/>
    <cellStyle name="Percent 4 7" xfId="3761"/>
    <cellStyle name="Percent 4 7 2" xfId="23599"/>
    <cellStyle name="Percent 4 7 3" xfId="21874"/>
    <cellStyle name="Percent 4 8" xfId="3531"/>
    <cellStyle name="Percent 4 8 2" xfId="23582"/>
    <cellStyle name="Percent 4 8 3" xfId="21899"/>
    <cellStyle name="Percent 4 9" xfId="9301"/>
    <cellStyle name="Percent 4 9 2" xfId="28999"/>
    <cellStyle name="Percent 4 9 3" xfId="21912"/>
    <cellStyle name="Percent 40" xfId="3540"/>
    <cellStyle name="Percent 41" xfId="3541"/>
    <cellStyle name="Percent 42" xfId="3542"/>
    <cellStyle name="Percent 43" xfId="3543"/>
    <cellStyle name="Percent 44" xfId="3544"/>
    <cellStyle name="Percent 45" xfId="3545"/>
    <cellStyle name="Percent 46" xfId="3546"/>
    <cellStyle name="Percent 47" xfId="3547"/>
    <cellStyle name="Percent 48" xfId="3548"/>
    <cellStyle name="Percent 49" xfId="3549"/>
    <cellStyle name="Percent 5" xfId="53"/>
    <cellStyle name="Percent 5 10" xfId="9343"/>
    <cellStyle name="Percent 5 10 2" xfId="22439"/>
    <cellStyle name="Percent 5 10 3" xfId="29021"/>
    <cellStyle name="Percent 5 10 4" xfId="41623"/>
    <cellStyle name="Percent 5 10 5" xfId="21958"/>
    <cellStyle name="Percent 5 11" xfId="15495"/>
    <cellStyle name="Percent 5 11 2" xfId="22442"/>
    <cellStyle name="Percent 5 11 3" xfId="35173"/>
    <cellStyle name="Percent 5 11 4" xfId="41626"/>
    <cellStyle name="Percent 5 11 5" xfId="21968"/>
    <cellStyle name="Percent 5 12" xfId="338"/>
    <cellStyle name="Percent 5 12 2" xfId="22445"/>
    <cellStyle name="Percent 5 12 3" xfId="22737"/>
    <cellStyle name="Percent 5 12 4" xfId="41629"/>
    <cellStyle name="Percent 5 12 5" xfId="21975"/>
    <cellStyle name="Percent 5 13" xfId="21978"/>
    <cellStyle name="Percent 5 13 2" xfId="22448"/>
    <cellStyle name="Percent 5 13 3" xfId="41532"/>
    <cellStyle name="Percent 5 13 4" xfId="41632"/>
    <cellStyle name="Percent 5 14" xfId="21981"/>
    <cellStyle name="Percent 5 14 2" xfId="22451"/>
    <cellStyle name="Percent 5 14 3" xfId="41449"/>
    <cellStyle name="Percent 5 14 4" xfId="41635"/>
    <cellStyle name="Percent 5 15" xfId="22041"/>
    <cellStyle name="Percent 5 15 2" xfId="22467"/>
    <cellStyle name="Percent 5 15 3" xfId="41392"/>
    <cellStyle name="Percent 5 15 4" xfId="41651"/>
    <cellStyle name="Percent 5 16" xfId="22071"/>
    <cellStyle name="Percent 5 16 2" xfId="22483"/>
    <cellStyle name="Percent 5 16 3" xfId="41425"/>
    <cellStyle name="Percent 5 16 4" xfId="41667"/>
    <cellStyle name="Percent 5 17" xfId="22098"/>
    <cellStyle name="Percent 5 17 2" xfId="22499"/>
    <cellStyle name="Percent 5 17 3" xfId="41411"/>
    <cellStyle name="Percent 5 17 4" xfId="41683"/>
    <cellStyle name="Percent 5 18" xfId="22124"/>
    <cellStyle name="Percent 5 18 2" xfId="22515"/>
    <cellStyle name="Percent 5 18 3" xfId="41348"/>
    <cellStyle name="Percent 5 18 4" xfId="41699"/>
    <cellStyle name="Percent 5 19" xfId="22149"/>
    <cellStyle name="Percent 5 19 2" xfId="22531"/>
    <cellStyle name="Percent 5 19 3" xfId="41387"/>
    <cellStyle name="Percent 5 19 4" xfId="41715"/>
    <cellStyle name="Percent 5 2" xfId="117"/>
    <cellStyle name="Percent 5 2 10" xfId="9349"/>
    <cellStyle name="Percent 5 2 10 2" xfId="29027"/>
    <cellStyle name="Percent 5 2 11" xfId="15501"/>
    <cellStyle name="Percent 5 2 11 2" xfId="35179"/>
    <cellStyle name="Percent 5 2 12" xfId="353"/>
    <cellStyle name="Percent 5 2 12 2" xfId="22744"/>
    <cellStyle name="Percent 5 2 13" xfId="41599"/>
    <cellStyle name="Percent 5 2 14" xfId="21849"/>
    <cellStyle name="Percent 5 2 15" xfId="42065"/>
    <cellStyle name="Percent 5 2 2" xfId="372"/>
    <cellStyle name="Percent 5 2 2 10" xfId="22755"/>
    <cellStyle name="Percent 5 2 2 11" xfId="22415"/>
    <cellStyle name="Percent 5 2 2 2" xfId="3789"/>
    <cellStyle name="Percent 5 2 2 2 2" xfId="4565"/>
    <cellStyle name="Percent 5 2 2 2 2 2" xfId="6190"/>
    <cellStyle name="Percent 5 2 2 2 2 2 2" xfId="9276"/>
    <cellStyle name="Percent 5 2 2 2 2 2 2 2" xfId="15469"/>
    <cellStyle name="Percent 5 2 2 2 2 2 2 2 2" xfId="35147"/>
    <cellStyle name="Percent 5 2 2 2 2 2 2 3" xfId="21621"/>
    <cellStyle name="Percent 5 2 2 2 2 2 2 3 2" xfId="41299"/>
    <cellStyle name="Percent 5 2 2 2 2 2 2 4" xfId="28983"/>
    <cellStyle name="Percent 5 2 2 2 2 2 3" xfId="12403"/>
    <cellStyle name="Percent 5 2 2 2 2 2 3 2" xfId="32081"/>
    <cellStyle name="Percent 5 2 2 2 2 2 4" xfId="18555"/>
    <cellStyle name="Percent 5 2 2 2 2 2 4 2" xfId="38233"/>
    <cellStyle name="Percent 5 2 2 2 2 2 5" xfId="25917"/>
    <cellStyle name="Percent 5 2 2 2 2 3" xfId="7741"/>
    <cellStyle name="Percent 5 2 2 2 2 3 2" xfId="13935"/>
    <cellStyle name="Percent 5 2 2 2 2 3 2 2" xfId="33613"/>
    <cellStyle name="Percent 5 2 2 2 2 3 3" xfId="20087"/>
    <cellStyle name="Percent 5 2 2 2 2 3 3 2" xfId="39765"/>
    <cellStyle name="Percent 5 2 2 2 2 3 4" xfId="27449"/>
    <cellStyle name="Percent 5 2 2 2 2 4" xfId="10869"/>
    <cellStyle name="Percent 5 2 2 2 2 4 2" xfId="30547"/>
    <cellStyle name="Percent 5 2 2 2 2 5" xfId="17021"/>
    <cellStyle name="Percent 5 2 2 2 2 5 2" xfId="36699"/>
    <cellStyle name="Percent 5 2 2 2 2 6" xfId="24383"/>
    <cellStyle name="Percent 5 2 2 2 3" xfId="5421"/>
    <cellStyle name="Percent 5 2 2 2 3 2" xfId="8507"/>
    <cellStyle name="Percent 5 2 2 2 3 2 2" xfId="14700"/>
    <cellStyle name="Percent 5 2 2 2 3 2 2 2" xfId="34378"/>
    <cellStyle name="Percent 5 2 2 2 3 2 3" xfId="20852"/>
    <cellStyle name="Percent 5 2 2 2 3 2 3 2" xfId="40530"/>
    <cellStyle name="Percent 5 2 2 2 3 2 4" xfId="28214"/>
    <cellStyle name="Percent 5 2 2 2 3 3" xfId="11634"/>
    <cellStyle name="Percent 5 2 2 2 3 3 2" xfId="31312"/>
    <cellStyle name="Percent 5 2 2 2 3 4" xfId="17786"/>
    <cellStyle name="Percent 5 2 2 2 3 4 2" xfId="37464"/>
    <cellStyle name="Percent 5 2 2 2 3 5" xfId="25148"/>
    <cellStyle name="Percent 5 2 2 2 4" xfId="6972"/>
    <cellStyle name="Percent 5 2 2 2 4 2" xfId="13166"/>
    <cellStyle name="Percent 5 2 2 2 4 2 2" xfId="32844"/>
    <cellStyle name="Percent 5 2 2 2 4 3" xfId="19318"/>
    <cellStyle name="Percent 5 2 2 2 4 3 2" xfId="38996"/>
    <cellStyle name="Percent 5 2 2 2 4 4" xfId="26680"/>
    <cellStyle name="Percent 5 2 2 2 5" xfId="9315"/>
    <cellStyle name="Percent 5 2 2 2 5 2" xfId="15487"/>
    <cellStyle name="Percent 5 2 2 2 5 2 2" xfId="35165"/>
    <cellStyle name="Percent 5 2 2 2 5 3" xfId="21639"/>
    <cellStyle name="Percent 5 2 2 2 5 3 2" xfId="41317"/>
    <cellStyle name="Percent 5 2 2 2 5 4" xfId="29012"/>
    <cellStyle name="Percent 5 2 2 2 6" xfId="10100"/>
    <cellStyle name="Percent 5 2 2 2 6 2" xfId="29778"/>
    <cellStyle name="Percent 5 2 2 2 7" xfId="16252"/>
    <cellStyle name="Percent 5 2 2 2 7 2" xfId="35930"/>
    <cellStyle name="Percent 5 2 2 2 8" xfId="23614"/>
    <cellStyle name="Percent 5 2 2 3" xfId="3552"/>
    <cellStyle name="Percent 5 2 2 4" xfId="3825"/>
    <cellStyle name="Percent 5 2 2 4 2" xfId="5450"/>
    <cellStyle name="Percent 5 2 2 4 2 2" xfId="8536"/>
    <cellStyle name="Percent 5 2 2 4 2 2 2" xfId="14729"/>
    <cellStyle name="Percent 5 2 2 4 2 2 2 2" xfId="34407"/>
    <cellStyle name="Percent 5 2 2 4 2 2 3" xfId="20881"/>
    <cellStyle name="Percent 5 2 2 4 2 2 3 2" xfId="40559"/>
    <cellStyle name="Percent 5 2 2 4 2 2 4" xfId="28243"/>
    <cellStyle name="Percent 5 2 2 4 2 3" xfId="11663"/>
    <cellStyle name="Percent 5 2 2 4 2 3 2" xfId="31341"/>
    <cellStyle name="Percent 5 2 2 4 2 4" xfId="17815"/>
    <cellStyle name="Percent 5 2 2 4 2 4 2" xfId="37493"/>
    <cellStyle name="Percent 5 2 2 4 2 5" xfId="25177"/>
    <cellStyle name="Percent 5 2 2 4 3" xfId="7001"/>
    <cellStyle name="Percent 5 2 2 4 3 2" xfId="13195"/>
    <cellStyle name="Percent 5 2 2 4 3 2 2" xfId="32873"/>
    <cellStyle name="Percent 5 2 2 4 3 3" xfId="19347"/>
    <cellStyle name="Percent 5 2 2 4 3 3 2" xfId="39025"/>
    <cellStyle name="Percent 5 2 2 4 3 4" xfId="26709"/>
    <cellStyle name="Percent 5 2 2 4 4" xfId="10129"/>
    <cellStyle name="Percent 5 2 2 4 4 2" xfId="29807"/>
    <cellStyle name="Percent 5 2 2 4 5" xfId="16281"/>
    <cellStyle name="Percent 5 2 2 4 5 2" xfId="35959"/>
    <cellStyle name="Percent 5 2 2 4 6" xfId="23643"/>
    <cellStyle name="Percent 5 2 2 5" xfId="4664"/>
    <cellStyle name="Percent 5 2 2 5 2" xfId="7767"/>
    <cellStyle name="Percent 5 2 2 5 2 2" xfId="13960"/>
    <cellStyle name="Percent 5 2 2 5 2 2 2" xfId="33638"/>
    <cellStyle name="Percent 5 2 2 5 2 3" xfId="20112"/>
    <cellStyle name="Percent 5 2 2 5 2 3 2" xfId="39790"/>
    <cellStyle name="Percent 5 2 2 5 2 4" xfId="27474"/>
    <cellStyle name="Percent 5 2 2 5 3" xfId="10894"/>
    <cellStyle name="Percent 5 2 2 5 3 2" xfId="30572"/>
    <cellStyle name="Percent 5 2 2 5 4" xfId="17046"/>
    <cellStyle name="Percent 5 2 2 5 4 2" xfId="36724"/>
    <cellStyle name="Percent 5 2 2 5 5" xfId="24408"/>
    <cellStyle name="Percent 5 2 2 6" xfId="6232"/>
    <cellStyle name="Percent 5 2 2 6 2" xfId="12426"/>
    <cellStyle name="Percent 5 2 2 6 2 2" xfId="32104"/>
    <cellStyle name="Percent 5 2 2 6 3" xfId="18578"/>
    <cellStyle name="Percent 5 2 2 6 3 2" xfId="38256"/>
    <cellStyle name="Percent 5 2 2 6 4" xfId="25940"/>
    <cellStyle name="Percent 5 2 2 7" xfId="9304"/>
    <cellStyle name="Percent 5 2 2 7 2" xfId="15478"/>
    <cellStyle name="Percent 5 2 2 7 2 2" xfId="35156"/>
    <cellStyle name="Percent 5 2 2 7 3" xfId="21630"/>
    <cellStyle name="Percent 5 2 2 7 3 2" xfId="41308"/>
    <cellStyle name="Percent 5 2 2 7 4" xfId="29002"/>
    <cellStyle name="Percent 5 2 2 8" xfId="9360"/>
    <cellStyle name="Percent 5 2 2 8 2" xfId="29038"/>
    <cellStyle name="Percent 5 2 2 9" xfId="15512"/>
    <cellStyle name="Percent 5 2 2 9 2" xfId="35190"/>
    <cellStyle name="Percent 5 2 3" xfId="3553"/>
    <cellStyle name="Percent 5 2 3 2" xfId="9314"/>
    <cellStyle name="Percent 5 2 3 2 2" xfId="15486"/>
    <cellStyle name="Percent 5 2 3 2 2 2" xfId="35164"/>
    <cellStyle name="Percent 5 2 3 2 3" xfId="21638"/>
    <cellStyle name="Percent 5 2 3 2 3 2" xfId="41316"/>
    <cellStyle name="Percent 5 2 3 2 4" xfId="29011"/>
    <cellStyle name="Percent 5 2 4" xfId="3772"/>
    <cellStyle name="Percent 5 2 4 2" xfId="4556"/>
    <cellStyle name="Percent 5 2 4 2 2" xfId="6181"/>
    <cellStyle name="Percent 5 2 4 2 2 2" xfId="9267"/>
    <cellStyle name="Percent 5 2 4 2 2 2 2" xfId="15460"/>
    <cellStyle name="Percent 5 2 4 2 2 2 2 2" xfId="35138"/>
    <cellStyle name="Percent 5 2 4 2 2 2 3" xfId="21612"/>
    <cellStyle name="Percent 5 2 4 2 2 2 3 2" xfId="41290"/>
    <cellStyle name="Percent 5 2 4 2 2 2 4" xfId="28974"/>
    <cellStyle name="Percent 5 2 4 2 2 3" xfId="12394"/>
    <cellStyle name="Percent 5 2 4 2 2 3 2" xfId="32072"/>
    <cellStyle name="Percent 5 2 4 2 2 4" xfId="18546"/>
    <cellStyle name="Percent 5 2 4 2 2 4 2" xfId="38224"/>
    <cellStyle name="Percent 5 2 4 2 2 5" xfId="25908"/>
    <cellStyle name="Percent 5 2 4 2 3" xfId="7732"/>
    <cellStyle name="Percent 5 2 4 2 3 2" xfId="13926"/>
    <cellStyle name="Percent 5 2 4 2 3 2 2" xfId="33604"/>
    <cellStyle name="Percent 5 2 4 2 3 3" xfId="20078"/>
    <cellStyle name="Percent 5 2 4 2 3 3 2" xfId="39756"/>
    <cellStyle name="Percent 5 2 4 2 3 4" xfId="27440"/>
    <cellStyle name="Percent 5 2 4 2 4" xfId="10860"/>
    <cellStyle name="Percent 5 2 4 2 4 2" xfId="30538"/>
    <cellStyle name="Percent 5 2 4 2 5" xfId="17012"/>
    <cellStyle name="Percent 5 2 4 2 5 2" xfId="36690"/>
    <cellStyle name="Percent 5 2 4 2 6" xfId="24374"/>
    <cellStyle name="Percent 5 2 4 3" xfId="5412"/>
    <cellStyle name="Percent 5 2 4 3 2" xfId="8498"/>
    <cellStyle name="Percent 5 2 4 3 2 2" xfId="14691"/>
    <cellStyle name="Percent 5 2 4 3 2 2 2" xfId="34369"/>
    <cellStyle name="Percent 5 2 4 3 2 3" xfId="20843"/>
    <cellStyle name="Percent 5 2 4 3 2 3 2" xfId="40521"/>
    <cellStyle name="Percent 5 2 4 3 2 4" xfId="28205"/>
    <cellStyle name="Percent 5 2 4 3 3" xfId="11625"/>
    <cellStyle name="Percent 5 2 4 3 3 2" xfId="31303"/>
    <cellStyle name="Percent 5 2 4 3 4" xfId="17777"/>
    <cellStyle name="Percent 5 2 4 3 4 2" xfId="37455"/>
    <cellStyle name="Percent 5 2 4 3 5" xfId="25139"/>
    <cellStyle name="Percent 5 2 4 4" xfId="6963"/>
    <cellStyle name="Percent 5 2 4 4 2" xfId="13157"/>
    <cellStyle name="Percent 5 2 4 4 2 2" xfId="32835"/>
    <cellStyle name="Percent 5 2 4 4 3" xfId="19309"/>
    <cellStyle name="Percent 5 2 4 4 3 2" xfId="38987"/>
    <cellStyle name="Percent 5 2 4 4 4" xfId="26671"/>
    <cellStyle name="Percent 5 2 4 5" xfId="10091"/>
    <cellStyle name="Percent 5 2 4 5 2" xfId="29769"/>
    <cellStyle name="Percent 5 2 4 6" xfId="16243"/>
    <cellStyle name="Percent 5 2 4 6 2" xfId="35921"/>
    <cellStyle name="Percent 5 2 4 7" xfId="23605"/>
    <cellStyle name="Percent 5 2 5" xfId="3551"/>
    <cellStyle name="Percent 5 2 6" xfId="3814"/>
    <cellStyle name="Percent 5 2 6 2" xfId="5439"/>
    <cellStyle name="Percent 5 2 6 2 2" xfId="8525"/>
    <cellStyle name="Percent 5 2 6 2 2 2" xfId="14718"/>
    <cellStyle name="Percent 5 2 6 2 2 2 2" xfId="34396"/>
    <cellStyle name="Percent 5 2 6 2 2 3" xfId="20870"/>
    <cellStyle name="Percent 5 2 6 2 2 3 2" xfId="40548"/>
    <cellStyle name="Percent 5 2 6 2 2 4" xfId="28232"/>
    <cellStyle name="Percent 5 2 6 2 3" xfId="11652"/>
    <cellStyle name="Percent 5 2 6 2 3 2" xfId="31330"/>
    <cellStyle name="Percent 5 2 6 2 4" xfId="17804"/>
    <cellStyle name="Percent 5 2 6 2 4 2" xfId="37482"/>
    <cellStyle name="Percent 5 2 6 2 5" xfId="25166"/>
    <cellStyle name="Percent 5 2 6 3" xfId="6990"/>
    <cellStyle name="Percent 5 2 6 3 2" xfId="13184"/>
    <cellStyle name="Percent 5 2 6 3 2 2" xfId="32862"/>
    <cellStyle name="Percent 5 2 6 3 3" xfId="19336"/>
    <cellStyle name="Percent 5 2 6 3 3 2" xfId="39014"/>
    <cellStyle name="Percent 5 2 6 3 4" xfId="26698"/>
    <cellStyle name="Percent 5 2 6 4" xfId="10118"/>
    <cellStyle name="Percent 5 2 6 4 2" xfId="29796"/>
    <cellStyle name="Percent 5 2 6 5" xfId="16270"/>
    <cellStyle name="Percent 5 2 6 5 2" xfId="35948"/>
    <cellStyle name="Percent 5 2 6 6" xfId="23632"/>
    <cellStyle name="Percent 5 2 7" xfId="4652"/>
    <cellStyle name="Percent 5 2 7 2" xfId="7756"/>
    <cellStyle name="Percent 5 2 7 2 2" xfId="13949"/>
    <cellStyle name="Percent 5 2 7 2 2 2" xfId="33627"/>
    <cellStyle name="Percent 5 2 7 2 3" xfId="20101"/>
    <cellStyle name="Percent 5 2 7 2 3 2" xfId="39779"/>
    <cellStyle name="Percent 5 2 7 2 4" xfId="27463"/>
    <cellStyle name="Percent 5 2 7 3" xfId="10883"/>
    <cellStyle name="Percent 5 2 7 3 2" xfId="30561"/>
    <cellStyle name="Percent 5 2 7 4" xfId="17035"/>
    <cellStyle name="Percent 5 2 7 4 2" xfId="36713"/>
    <cellStyle name="Percent 5 2 7 5" xfId="24397"/>
    <cellStyle name="Percent 5 2 8" xfId="6221"/>
    <cellStyle name="Percent 5 2 8 2" xfId="12415"/>
    <cellStyle name="Percent 5 2 8 2 2" xfId="32093"/>
    <cellStyle name="Percent 5 2 8 3" xfId="18567"/>
    <cellStyle name="Percent 5 2 8 3 2" xfId="38245"/>
    <cellStyle name="Percent 5 2 8 4" xfId="25929"/>
    <cellStyle name="Percent 5 2 9" xfId="9303"/>
    <cellStyle name="Percent 5 2 9 2" xfId="15477"/>
    <cellStyle name="Percent 5 2 9 2 2" xfId="35155"/>
    <cellStyle name="Percent 5 2 9 3" xfId="21629"/>
    <cellStyle name="Percent 5 2 9 3 2" xfId="41307"/>
    <cellStyle name="Percent 5 2 9 4" xfId="29001"/>
    <cellStyle name="Percent 5 20" xfId="22171"/>
    <cellStyle name="Percent 5 20 2" xfId="22547"/>
    <cellStyle name="Percent 5 20 3" xfId="41468"/>
    <cellStyle name="Percent 5 20 4" xfId="41731"/>
    <cellStyle name="Percent 5 21" xfId="22196"/>
    <cellStyle name="Percent 5 21 2" xfId="22563"/>
    <cellStyle name="Percent 5 21 3" xfId="41494"/>
    <cellStyle name="Percent 5 21 4" xfId="41747"/>
    <cellStyle name="Percent 5 22" xfId="22236"/>
    <cellStyle name="Percent 5 22 2" xfId="22579"/>
    <cellStyle name="Percent 5 22 3" xfId="41385"/>
    <cellStyle name="Percent 5 22 4" xfId="41763"/>
    <cellStyle name="Percent 5 23" xfId="22264"/>
    <cellStyle name="Percent 5 23 2" xfId="22595"/>
    <cellStyle name="Percent 5 23 3" xfId="41478"/>
    <cellStyle name="Percent 5 23 4" xfId="41779"/>
    <cellStyle name="Percent 5 24" xfId="22290"/>
    <cellStyle name="Percent 5 24 2" xfId="22611"/>
    <cellStyle name="Percent 5 24 3" xfId="41446"/>
    <cellStyle name="Percent 5 24 4" xfId="41795"/>
    <cellStyle name="Percent 5 25" xfId="22314"/>
    <cellStyle name="Percent 5 25 2" xfId="22627"/>
    <cellStyle name="Percent 5 25 3" xfId="41391"/>
    <cellStyle name="Percent 5 25 4" xfId="41811"/>
    <cellStyle name="Percent 5 26" xfId="22337"/>
    <cellStyle name="Percent 5 26 2" xfId="22643"/>
    <cellStyle name="Percent 5 26 3" xfId="41530"/>
    <cellStyle name="Percent 5 26 4" xfId="41827"/>
    <cellStyle name="Percent 5 27" xfId="22353"/>
    <cellStyle name="Percent 5 27 2" xfId="22659"/>
    <cellStyle name="Percent 5 27 3" xfId="41451"/>
    <cellStyle name="Percent 5 27 4" xfId="41843"/>
    <cellStyle name="Percent 5 28" xfId="22369"/>
    <cellStyle name="Percent 5 28 2" xfId="22675"/>
    <cellStyle name="Percent 5 28 3" xfId="41438"/>
    <cellStyle name="Percent 5 28 4" xfId="41859"/>
    <cellStyle name="Percent 5 29" xfId="21765"/>
    <cellStyle name="Percent 5 3" xfId="366"/>
    <cellStyle name="Percent 5 3 10" xfId="22749"/>
    <cellStyle name="Percent 5 3 11" xfId="41602"/>
    <cellStyle name="Percent 5 3 12" xfId="42066"/>
    <cellStyle name="Percent 5 3 13" xfId="21872"/>
    <cellStyle name="Percent 5 3 2" xfId="3784"/>
    <cellStyle name="Percent 5 3 2 2" xfId="4560"/>
    <cellStyle name="Percent 5 3 2 2 2" xfId="6185"/>
    <cellStyle name="Percent 5 3 2 2 2 2" xfId="9271"/>
    <cellStyle name="Percent 5 3 2 2 2 2 2" xfId="15464"/>
    <cellStyle name="Percent 5 3 2 2 2 2 2 2" xfId="35142"/>
    <cellStyle name="Percent 5 3 2 2 2 2 3" xfId="21616"/>
    <cellStyle name="Percent 5 3 2 2 2 2 3 2" xfId="41294"/>
    <cellStyle name="Percent 5 3 2 2 2 2 4" xfId="28978"/>
    <cellStyle name="Percent 5 3 2 2 2 3" xfId="12398"/>
    <cellStyle name="Percent 5 3 2 2 2 3 2" xfId="32076"/>
    <cellStyle name="Percent 5 3 2 2 2 4" xfId="18550"/>
    <cellStyle name="Percent 5 3 2 2 2 4 2" xfId="38228"/>
    <cellStyle name="Percent 5 3 2 2 2 5" xfId="25912"/>
    <cellStyle name="Percent 5 3 2 2 3" xfId="7736"/>
    <cellStyle name="Percent 5 3 2 2 3 2" xfId="13930"/>
    <cellStyle name="Percent 5 3 2 2 3 2 2" xfId="33608"/>
    <cellStyle name="Percent 5 3 2 2 3 3" xfId="20082"/>
    <cellStyle name="Percent 5 3 2 2 3 3 2" xfId="39760"/>
    <cellStyle name="Percent 5 3 2 2 3 4" xfId="27444"/>
    <cellStyle name="Percent 5 3 2 2 4" xfId="10864"/>
    <cellStyle name="Percent 5 3 2 2 4 2" xfId="30542"/>
    <cellStyle name="Percent 5 3 2 2 5" xfId="17016"/>
    <cellStyle name="Percent 5 3 2 2 5 2" xfId="36694"/>
    <cellStyle name="Percent 5 3 2 2 6" xfId="24378"/>
    <cellStyle name="Percent 5 3 2 3" xfId="5416"/>
    <cellStyle name="Percent 5 3 2 3 2" xfId="8502"/>
    <cellStyle name="Percent 5 3 2 3 2 2" xfId="14695"/>
    <cellStyle name="Percent 5 3 2 3 2 2 2" xfId="34373"/>
    <cellStyle name="Percent 5 3 2 3 2 3" xfId="20847"/>
    <cellStyle name="Percent 5 3 2 3 2 3 2" xfId="40525"/>
    <cellStyle name="Percent 5 3 2 3 2 4" xfId="28209"/>
    <cellStyle name="Percent 5 3 2 3 3" xfId="11629"/>
    <cellStyle name="Percent 5 3 2 3 3 2" xfId="31307"/>
    <cellStyle name="Percent 5 3 2 3 4" xfId="17781"/>
    <cellStyle name="Percent 5 3 2 3 4 2" xfId="37459"/>
    <cellStyle name="Percent 5 3 2 3 5" xfId="25143"/>
    <cellStyle name="Percent 5 3 2 4" xfId="6967"/>
    <cellStyle name="Percent 5 3 2 4 2" xfId="13161"/>
    <cellStyle name="Percent 5 3 2 4 2 2" xfId="32839"/>
    <cellStyle name="Percent 5 3 2 4 3" xfId="19313"/>
    <cellStyle name="Percent 5 3 2 4 3 2" xfId="38991"/>
    <cellStyle name="Percent 5 3 2 4 4" xfId="26675"/>
    <cellStyle name="Percent 5 3 2 5" xfId="10095"/>
    <cellStyle name="Percent 5 3 2 5 2" xfId="29773"/>
    <cellStyle name="Percent 5 3 2 6" xfId="16247"/>
    <cellStyle name="Percent 5 3 2 6 2" xfId="35925"/>
    <cellStyle name="Percent 5 3 2 7" xfId="23609"/>
    <cellStyle name="Percent 5 3 2 8" xfId="22418"/>
    <cellStyle name="Percent 5 3 3" xfId="3554"/>
    <cellStyle name="Percent 5 3 4" xfId="3819"/>
    <cellStyle name="Percent 5 3 4 2" xfId="5444"/>
    <cellStyle name="Percent 5 3 4 2 2" xfId="8530"/>
    <cellStyle name="Percent 5 3 4 2 2 2" xfId="14723"/>
    <cellStyle name="Percent 5 3 4 2 2 2 2" xfId="34401"/>
    <cellStyle name="Percent 5 3 4 2 2 3" xfId="20875"/>
    <cellStyle name="Percent 5 3 4 2 2 3 2" xfId="40553"/>
    <cellStyle name="Percent 5 3 4 2 2 4" xfId="28237"/>
    <cellStyle name="Percent 5 3 4 2 3" xfId="11657"/>
    <cellStyle name="Percent 5 3 4 2 3 2" xfId="31335"/>
    <cellStyle name="Percent 5 3 4 2 4" xfId="17809"/>
    <cellStyle name="Percent 5 3 4 2 4 2" xfId="37487"/>
    <cellStyle name="Percent 5 3 4 2 5" xfId="25171"/>
    <cellStyle name="Percent 5 3 4 3" xfId="6995"/>
    <cellStyle name="Percent 5 3 4 3 2" xfId="13189"/>
    <cellStyle name="Percent 5 3 4 3 2 2" xfId="32867"/>
    <cellStyle name="Percent 5 3 4 3 3" xfId="19341"/>
    <cellStyle name="Percent 5 3 4 3 3 2" xfId="39019"/>
    <cellStyle name="Percent 5 3 4 3 4" xfId="26703"/>
    <cellStyle name="Percent 5 3 4 4" xfId="10123"/>
    <cellStyle name="Percent 5 3 4 4 2" xfId="29801"/>
    <cellStyle name="Percent 5 3 4 5" xfId="16275"/>
    <cellStyle name="Percent 5 3 4 5 2" xfId="35953"/>
    <cellStyle name="Percent 5 3 4 6" xfId="23637"/>
    <cellStyle name="Percent 5 3 5" xfId="4658"/>
    <cellStyle name="Percent 5 3 5 2" xfId="7761"/>
    <cellStyle name="Percent 5 3 5 2 2" xfId="13954"/>
    <cellStyle name="Percent 5 3 5 2 2 2" xfId="33632"/>
    <cellStyle name="Percent 5 3 5 2 3" xfId="20106"/>
    <cellStyle name="Percent 5 3 5 2 3 2" xfId="39784"/>
    <cellStyle name="Percent 5 3 5 2 4" xfId="27468"/>
    <cellStyle name="Percent 5 3 5 3" xfId="10888"/>
    <cellStyle name="Percent 5 3 5 3 2" xfId="30566"/>
    <cellStyle name="Percent 5 3 5 4" xfId="17040"/>
    <cellStyle name="Percent 5 3 5 4 2" xfId="36718"/>
    <cellStyle name="Percent 5 3 5 5" xfId="24402"/>
    <cellStyle name="Percent 5 3 6" xfId="6226"/>
    <cellStyle name="Percent 5 3 6 2" xfId="12420"/>
    <cellStyle name="Percent 5 3 6 2 2" xfId="32098"/>
    <cellStyle name="Percent 5 3 6 3" xfId="18572"/>
    <cellStyle name="Percent 5 3 6 3 2" xfId="38250"/>
    <cellStyle name="Percent 5 3 6 4" xfId="25934"/>
    <cellStyle name="Percent 5 3 7" xfId="9313"/>
    <cellStyle name="Percent 5 3 7 2" xfId="15485"/>
    <cellStyle name="Percent 5 3 7 2 2" xfId="35163"/>
    <cellStyle name="Percent 5 3 7 3" xfId="21637"/>
    <cellStyle name="Percent 5 3 7 3 2" xfId="41315"/>
    <cellStyle name="Percent 5 3 7 4" xfId="29010"/>
    <cellStyle name="Percent 5 3 8" xfId="9354"/>
    <cellStyle name="Percent 5 3 8 2" xfId="29032"/>
    <cellStyle name="Percent 5 3 9" xfId="15506"/>
    <cellStyle name="Percent 5 3 9 2" xfId="35184"/>
    <cellStyle name="Percent 5 30" xfId="42064"/>
    <cellStyle name="Percent 5 4" xfId="3764"/>
    <cellStyle name="Percent 5 4 10" xfId="21883"/>
    <cellStyle name="Percent 5 4 2" xfId="4552"/>
    <cellStyle name="Percent 5 4 2 2" xfId="6177"/>
    <cellStyle name="Percent 5 4 2 2 2" xfId="9263"/>
    <cellStyle name="Percent 5 4 2 2 2 2" xfId="15456"/>
    <cellStyle name="Percent 5 4 2 2 2 2 2" xfId="35134"/>
    <cellStyle name="Percent 5 4 2 2 2 3" xfId="21608"/>
    <cellStyle name="Percent 5 4 2 2 2 3 2" xfId="41286"/>
    <cellStyle name="Percent 5 4 2 2 2 4" xfId="28970"/>
    <cellStyle name="Percent 5 4 2 2 3" xfId="12390"/>
    <cellStyle name="Percent 5 4 2 2 3 2" xfId="32068"/>
    <cellStyle name="Percent 5 4 2 2 4" xfId="18542"/>
    <cellStyle name="Percent 5 4 2 2 4 2" xfId="38220"/>
    <cellStyle name="Percent 5 4 2 2 5" xfId="25904"/>
    <cellStyle name="Percent 5 4 2 3" xfId="7728"/>
    <cellStyle name="Percent 5 4 2 3 2" xfId="13922"/>
    <cellStyle name="Percent 5 4 2 3 2 2" xfId="33600"/>
    <cellStyle name="Percent 5 4 2 3 3" xfId="20074"/>
    <cellStyle name="Percent 5 4 2 3 3 2" xfId="39752"/>
    <cellStyle name="Percent 5 4 2 3 4" xfId="27436"/>
    <cellStyle name="Percent 5 4 2 4" xfId="10856"/>
    <cellStyle name="Percent 5 4 2 4 2" xfId="30534"/>
    <cellStyle name="Percent 5 4 2 5" xfId="17008"/>
    <cellStyle name="Percent 5 4 2 5 2" xfId="36686"/>
    <cellStyle name="Percent 5 4 2 6" xfId="24370"/>
    <cellStyle name="Percent 5 4 2 7" xfId="22421"/>
    <cellStyle name="Percent 5 4 3" xfId="5408"/>
    <cellStyle name="Percent 5 4 3 2" xfId="8494"/>
    <cellStyle name="Percent 5 4 3 2 2" xfId="14687"/>
    <cellStyle name="Percent 5 4 3 2 2 2" xfId="34365"/>
    <cellStyle name="Percent 5 4 3 2 3" xfId="20839"/>
    <cellStyle name="Percent 5 4 3 2 3 2" xfId="40517"/>
    <cellStyle name="Percent 5 4 3 2 4" xfId="28201"/>
    <cellStyle name="Percent 5 4 3 3" xfId="11621"/>
    <cellStyle name="Percent 5 4 3 3 2" xfId="31299"/>
    <cellStyle name="Percent 5 4 3 4" xfId="17773"/>
    <cellStyle name="Percent 5 4 3 4 2" xfId="37451"/>
    <cellStyle name="Percent 5 4 3 5" xfId="25135"/>
    <cellStyle name="Percent 5 4 4" xfId="6959"/>
    <cellStyle name="Percent 5 4 4 2" xfId="13153"/>
    <cellStyle name="Percent 5 4 4 2 2" xfId="32831"/>
    <cellStyle name="Percent 5 4 4 3" xfId="19305"/>
    <cellStyle name="Percent 5 4 4 3 2" xfId="38983"/>
    <cellStyle name="Percent 5 4 4 4" xfId="26667"/>
    <cellStyle name="Percent 5 4 5" xfId="10087"/>
    <cellStyle name="Percent 5 4 5 2" xfId="29765"/>
    <cellStyle name="Percent 5 4 6" xfId="16239"/>
    <cellStyle name="Percent 5 4 6 2" xfId="35917"/>
    <cellStyle name="Percent 5 4 7" xfId="23601"/>
    <cellStyle name="Percent 5 4 8" xfId="41605"/>
    <cellStyle name="Percent 5 4 9" xfId="42067"/>
    <cellStyle name="Percent 5 5" xfId="3550"/>
    <cellStyle name="Percent 5 5 2" xfId="22424"/>
    <cellStyle name="Percent 5 5 3" xfId="23588"/>
    <cellStyle name="Percent 5 5 4" xfId="41442"/>
    <cellStyle name="Percent 5 5 5" xfId="41608"/>
    <cellStyle name="Percent 5 5 6" xfId="21897"/>
    <cellStyle name="Percent 5 6" xfId="3808"/>
    <cellStyle name="Percent 5 6 2" xfId="5433"/>
    <cellStyle name="Percent 5 6 2 2" xfId="8519"/>
    <cellStyle name="Percent 5 6 2 2 2" xfId="14712"/>
    <cellStyle name="Percent 5 6 2 2 2 2" xfId="34390"/>
    <cellStyle name="Percent 5 6 2 2 3" xfId="20864"/>
    <cellStyle name="Percent 5 6 2 2 3 2" xfId="40542"/>
    <cellStyle name="Percent 5 6 2 2 4" xfId="28226"/>
    <cellStyle name="Percent 5 6 2 3" xfId="11646"/>
    <cellStyle name="Percent 5 6 2 3 2" xfId="31324"/>
    <cellStyle name="Percent 5 6 2 4" xfId="17798"/>
    <cellStyle name="Percent 5 6 2 4 2" xfId="37476"/>
    <cellStyle name="Percent 5 6 2 5" xfId="25160"/>
    <cellStyle name="Percent 5 6 2 6" xfId="22427"/>
    <cellStyle name="Percent 5 6 3" xfId="6984"/>
    <cellStyle name="Percent 5 6 3 2" xfId="13178"/>
    <cellStyle name="Percent 5 6 3 2 2" xfId="32856"/>
    <cellStyle name="Percent 5 6 3 3" xfId="19330"/>
    <cellStyle name="Percent 5 6 3 3 2" xfId="39008"/>
    <cellStyle name="Percent 5 6 3 4" xfId="26692"/>
    <cellStyle name="Percent 5 6 4" xfId="10112"/>
    <cellStyle name="Percent 5 6 4 2" xfId="29790"/>
    <cellStyle name="Percent 5 6 5" xfId="16264"/>
    <cellStyle name="Percent 5 6 5 2" xfId="35942"/>
    <cellStyle name="Percent 5 6 6" xfId="23626"/>
    <cellStyle name="Percent 5 6 7" xfId="41611"/>
    <cellStyle name="Percent 5 6 8" xfId="21911"/>
    <cellStyle name="Percent 5 7" xfId="4646"/>
    <cellStyle name="Percent 5 7 2" xfId="7750"/>
    <cellStyle name="Percent 5 7 2 2" xfId="13943"/>
    <cellStyle name="Percent 5 7 2 2 2" xfId="33621"/>
    <cellStyle name="Percent 5 7 2 3" xfId="20095"/>
    <cellStyle name="Percent 5 7 2 3 2" xfId="39773"/>
    <cellStyle name="Percent 5 7 2 4" xfId="27457"/>
    <cellStyle name="Percent 5 7 2 5" xfId="22430"/>
    <cellStyle name="Percent 5 7 3" xfId="10877"/>
    <cellStyle name="Percent 5 7 3 2" xfId="30555"/>
    <cellStyle name="Percent 5 7 4" xfId="17029"/>
    <cellStyle name="Percent 5 7 4 2" xfId="36707"/>
    <cellStyle name="Percent 5 7 5" xfId="24391"/>
    <cellStyle name="Percent 5 7 6" xfId="41614"/>
    <cellStyle name="Percent 5 7 7" xfId="21924"/>
    <cellStyle name="Percent 5 8" xfId="6215"/>
    <cellStyle name="Percent 5 8 2" xfId="12409"/>
    <cellStyle name="Percent 5 8 2 2" xfId="32087"/>
    <cellStyle name="Percent 5 8 2 3" xfId="22433"/>
    <cellStyle name="Percent 5 8 3" xfId="18561"/>
    <cellStyle name="Percent 5 8 3 2" xfId="38239"/>
    <cellStyle name="Percent 5 8 4" xfId="25923"/>
    <cellStyle name="Percent 5 8 5" xfId="41617"/>
    <cellStyle name="Percent 5 8 6" xfId="21936"/>
    <cellStyle name="Percent 5 9" xfId="9302"/>
    <cellStyle name="Percent 5 9 2" xfId="15476"/>
    <cellStyle name="Percent 5 9 2 2" xfId="35154"/>
    <cellStyle name="Percent 5 9 2 3" xfId="22436"/>
    <cellStyle name="Percent 5 9 3" xfId="21628"/>
    <cellStyle name="Percent 5 9 3 2" xfId="41306"/>
    <cellStyle name="Percent 5 9 4" xfId="29000"/>
    <cellStyle name="Percent 5 9 5" xfId="41620"/>
    <cellStyle name="Percent 5 9 6" xfId="21947"/>
    <cellStyle name="Percent 50" xfId="3555"/>
    <cellStyle name="Percent 51" xfId="3556"/>
    <cellStyle name="Percent 52" xfId="3557"/>
    <cellStyle name="Percent 53" xfId="3558"/>
    <cellStyle name="Percent 54" xfId="3559"/>
    <cellStyle name="Percent 55" xfId="3560"/>
    <cellStyle name="Percent 56" xfId="3561"/>
    <cellStyle name="Percent 57" xfId="3562"/>
    <cellStyle name="Percent 58" xfId="3563"/>
    <cellStyle name="Percent 59" xfId="3564"/>
    <cellStyle name="Percent 6" xfId="54"/>
    <cellStyle name="Percent 6 2" xfId="118"/>
    <cellStyle name="Percent 6 2 2" xfId="3567"/>
    <cellStyle name="Percent 6 2 3" xfId="3568"/>
    <cellStyle name="Percent 6 2 4" xfId="3566"/>
    <cellStyle name="Percent 6 3" xfId="3569"/>
    <cellStyle name="Percent 6 4" xfId="3767"/>
    <cellStyle name="Percent 6 5" xfId="3565"/>
    <cellStyle name="Percent 6 6" xfId="345"/>
    <cellStyle name="Percent 6 7" xfId="42068"/>
    <cellStyle name="Percent 60" xfId="3570"/>
    <cellStyle name="Percent 61" xfId="3571"/>
    <cellStyle name="Percent 62" xfId="3572"/>
    <cellStyle name="Percent 63" xfId="3573"/>
    <cellStyle name="Percent 64" xfId="3574"/>
    <cellStyle name="Percent 65" xfId="3575"/>
    <cellStyle name="Percent 66" xfId="3576"/>
    <cellStyle name="Percent 67" xfId="3577"/>
    <cellStyle name="Percent 68" xfId="3578"/>
    <cellStyle name="Percent 69" xfId="3579"/>
    <cellStyle name="Percent 7" xfId="18"/>
    <cellStyle name="Percent 7 2" xfId="103"/>
    <cellStyle name="Percent 7 2 2" xfId="3582"/>
    <cellStyle name="Percent 7 2 3" xfId="3583"/>
    <cellStyle name="Percent 7 2 4" xfId="3581"/>
    <cellStyle name="Percent 7 3" xfId="3584"/>
    <cellStyle name="Percent 7 4" xfId="3585"/>
    <cellStyle name="Percent 7 5" xfId="3580"/>
    <cellStyle name="Percent 7 6" xfId="42069"/>
    <cellStyle name="Percent 70" xfId="3586"/>
    <cellStyle name="Percent 71" xfId="3587"/>
    <cellStyle name="Percent 72" xfId="3588"/>
    <cellStyle name="Percent 73" xfId="3589"/>
    <cellStyle name="Percent 74" xfId="3590"/>
    <cellStyle name="Percent 75" xfId="3591"/>
    <cellStyle name="Percent 76" xfId="3592"/>
    <cellStyle name="Percent 77" xfId="3593"/>
    <cellStyle name="Percent 78" xfId="3594"/>
    <cellStyle name="Percent 79" xfId="3595"/>
    <cellStyle name="Percent 8" xfId="55"/>
    <cellStyle name="Percent 8 2" xfId="3597"/>
    <cellStyle name="Percent 8 2 2" xfId="3598"/>
    <cellStyle name="Percent 8 2 3" xfId="3599"/>
    <cellStyle name="Percent 8 2 4" xfId="9316"/>
    <cellStyle name="Percent 8 2 4 2" xfId="15488"/>
    <cellStyle name="Percent 8 2 4 2 2" xfId="35166"/>
    <cellStyle name="Percent 8 2 4 3" xfId="21640"/>
    <cellStyle name="Percent 8 2 4 3 2" xfId="41318"/>
    <cellStyle name="Percent 8 2 4 4" xfId="29013"/>
    <cellStyle name="Percent 8 3" xfId="9305"/>
    <cellStyle name="Percent 8 3 2" xfId="15479"/>
    <cellStyle name="Percent 8 3 2 2" xfId="35157"/>
    <cellStyle name="Percent 8 3 3" xfId="21631"/>
    <cellStyle name="Percent 8 3 3 2" xfId="41309"/>
    <cellStyle name="Percent 8 3 4" xfId="29003"/>
    <cellStyle name="Percent 8 4" xfId="3596"/>
    <cellStyle name="Percent 80" xfId="3600"/>
    <cellStyle name="Percent 81" xfId="3601"/>
    <cellStyle name="Percent 82" xfId="3602"/>
    <cellStyle name="Percent 83" xfId="3603"/>
    <cellStyle name="Percent 84" xfId="3604"/>
    <cellStyle name="Percent 85" xfId="3605"/>
    <cellStyle name="Percent 86" xfId="3606"/>
    <cellStyle name="Percent 87" xfId="3607"/>
    <cellStyle name="Percent 88" xfId="3608"/>
    <cellStyle name="Percent 89" xfId="3609"/>
    <cellStyle name="Percent 9" xfId="57"/>
    <cellStyle name="Percent 9 2" xfId="120"/>
    <cellStyle name="Percent 9 2 2" xfId="146"/>
    <cellStyle name="Percent 9 2 2 2" xfId="210"/>
    <cellStyle name="Percent 9 2 2 2 2" xfId="23590"/>
    <cellStyle name="Percent 9 2 2 3" xfId="3612"/>
    <cellStyle name="Percent 9 2 2 4" xfId="21746"/>
    <cellStyle name="Percent 9 2 3" xfId="172"/>
    <cellStyle name="Percent 9 2 3 2" xfId="3613"/>
    <cellStyle name="Percent 9 2 4" xfId="3611"/>
    <cellStyle name="Percent 9 2 5" xfId="21708"/>
    <cellStyle name="Percent 9 3" xfId="92"/>
    <cellStyle name="Percent 9 3 2" xfId="197"/>
    <cellStyle name="Percent 9 3 3" xfId="21733"/>
    <cellStyle name="Percent 9 4" xfId="135"/>
    <cellStyle name="Percent 9 4 2" xfId="185"/>
    <cellStyle name="Percent 9 4 3" xfId="21721"/>
    <cellStyle name="Percent 9 5" xfId="159"/>
    <cellStyle name="Percent 9 5 2" xfId="23589"/>
    <cellStyle name="Percent 9 6" xfId="3610"/>
    <cellStyle name="Percent 9 7" xfId="21695"/>
    <cellStyle name="Percent 90" xfId="3614"/>
    <cellStyle name="Percent 91" xfId="3615"/>
    <cellStyle name="Percent 92" xfId="3616"/>
    <cellStyle name="Percent 93" xfId="3617"/>
    <cellStyle name="Percent 94" xfId="3618"/>
    <cellStyle name="Percent 95" xfId="3619"/>
    <cellStyle name="Percent 96" xfId="3620"/>
    <cellStyle name="Percent 97" xfId="3621"/>
    <cellStyle name="Percent 98" xfId="3622"/>
    <cellStyle name="Percent 99" xfId="3623"/>
    <cellStyle name="placeholder" xfId="3624"/>
    <cellStyle name="PS_Comma" xfId="68"/>
    <cellStyle name="PSChar" xfId="69"/>
    <cellStyle name="PSDate" xfId="70"/>
    <cellStyle name="PSDec" xfId="71"/>
    <cellStyle name="PSHeading" xfId="72"/>
    <cellStyle name="PSInt" xfId="73"/>
    <cellStyle name="PSSpacer" xfId="74"/>
    <cellStyle name="ReportTitlePrompt" xfId="320"/>
    <cellStyle name="ReportTitleValue" xfId="321"/>
    <cellStyle name="Row Lvl 1" xfId="3625"/>
    <cellStyle name="Row Lvl 2" xfId="3626"/>
    <cellStyle name="RowAcctAbovePrompt" xfId="322"/>
    <cellStyle name="RowAcctSOBAbovePrompt" xfId="323"/>
    <cellStyle name="RowAcctSOBValue" xfId="324"/>
    <cellStyle name="RowAcctValue" xfId="325"/>
    <cellStyle name="RowAttrAbovePrompt" xfId="326"/>
    <cellStyle name="RowAttrValue" xfId="327"/>
    <cellStyle name="RowColSetAbovePrompt" xfId="328"/>
    <cellStyle name="RowColSetLeftPrompt" xfId="329"/>
    <cellStyle name="RowColSetValue" xfId="330"/>
    <cellStyle name="RowLeftPrompt" xfId="331"/>
    <cellStyle name="SampleUsingFormatMask" xfId="332"/>
    <cellStyle name="SampleWithNoFormatMask" xfId="333"/>
    <cellStyle name="STYLE1" xfId="3627"/>
    <cellStyle name="STYLE1 2" xfId="3628"/>
    <cellStyle name="STYLE1 2 2" xfId="3629"/>
    <cellStyle name="STYLE1 2 3" xfId="3630"/>
    <cellStyle name="STYLE1 3" xfId="3631"/>
    <cellStyle name="STYLE1 4" xfId="3632"/>
    <cellStyle name="STYLE1 5" xfId="3633"/>
    <cellStyle name="STYLE2" xfId="3634"/>
    <cellStyle name="STYLE2 2" xfId="3635"/>
    <cellStyle name="STYLE2 2 2" xfId="3636"/>
    <cellStyle name="STYLE2 2 3" xfId="3637"/>
    <cellStyle name="STYLE2 3" xfId="3638"/>
    <cellStyle name="STYLE2 4" xfId="3639"/>
    <cellStyle name="STYLE3" xfId="3640"/>
    <cellStyle name="STYLE3 2" xfId="3641"/>
    <cellStyle name="STYLE3 2 2" xfId="3642"/>
    <cellStyle name="STYLE3 2 3" xfId="3643"/>
    <cellStyle name="STYLE3 3" xfId="3644"/>
    <cellStyle name="STYLE3 4" xfId="3645"/>
    <cellStyle name="STYLE3 5" xfId="3646"/>
    <cellStyle name="STYLE4" xfId="3647"/>
    <cellStyle name="STYLE4 2" xfId="3648"/>
    <cellStyle name="STYLE4 3" xfId="3649"/>
    <cellStyle name="STYLE5" xfId="3650"/>
    <cellStyle name="STYLE6" xfId="3651"/>
    <cellStyle name="STYLE7" xfId="3652"/>
    <cellStyle name="Title" xfId="21644" builtinId="15" customBuiltin="1"/>
    <cellStyle name="Title 2" xfId="3653"/>
    <cellStyle name="Title 2 2" xfId="3654"/>
    <cellStyle name="Title 3" xfId="3655"/>
    <cellStyle name="Title 4" xfId="3656"/>
    <cellStyle name="Title 5" xfId="3657"/>
    <cellStyle name="Title 6" xfId="3658"/>
    <cellStyle name="Title Left" xfId="3659"/>
    <cellStyle name="Total" xfId="21659" builtinId="25" customBuiltin="1"/>
    <cellStyle name="Total 2" xfId="3660"/>
    <cellStyle name="Total 3" xfId="3661"/>
    <cellStyle name="Total 4" xfId="3662"/>
    <cellStyle name="Total 5" xfId="3663"/>
    <cellStyle name="Total 5 2" xfId="4633"/>
    <cellStyle name="Total 5 2 2" xfId="6192"/>
    <cellStyle name="Total 5 3" xfId="4623"/>
    <cellStyle name="Total 5 3 2" xfId="5366"/>
    <cellStyle name="Total 5 4" xfId="4610"/>
    <cellStyle name="Total 5 4 2" xfId="6196"/>
    <cellStyle name="Total 5 5" xfId="4603"/>
    <cellStyle name="Total 5 5 2" xfId="5290"/>
    <cellStyle name="Total 5 6" xfId="4654"/>
    <cellStyle name="Total 6" xfId="3664"/>
    <cellStyle name="Total 6 2" xfId="4634"/>
    <cellStyle name="Total 6 2 2" xfId="5385"/>
    <cellStyle name="Total 6 3" xfId="4613"/>
    <cellStyle name="Total 6 3 2" xfId="6195"/>
    <cellStyle name="Total 6 4" xfId="4588"/>
    <cellStyle name="Total 6 4 2" xfId="5268"/>
    <cellStyle name="Total 6 5" xfId="4582"/>
    <cellStyle name="Total 6 5 2" xfId="5267"/>
    <cellStyle name="Total 6 6" xfId="4857"/>
    <cellStyle name="UploadThisRowValue" xfId="334"/>
    <cellStyle name="Warning Text" xfId="21657" builtinId="11" customBuiltin="1"/>
    <cellStyle name="Warning Text 2" xfId="3665"/>
    <cellStyle name="Warning Text 3" xfId="3666"/>
    <cellStyle name="Warning Text 4" xfId="3667"/>
    <cellStyle name="Warning Text 5" xfId="3668"/>
    <cellStyle name="warnings" xfId="3669"/>
    <cellStyle name="WM_STANDARD" xfId="75"/>
    <cellStyle name="WMI_Standard" xfId="76"/>
    <cellStyle name="XComma" xfId="3670"/>
    <cellStyle name="XComma 0.0" xfId="3671"/>
    <cellStyle name="XComma 0.00" xfId="3672"/>
    <cellStyle name="XComma 0.000" xfId="3673"/>
    <cellStyle name="XCurrency" xfId="3674"/>
    <cellStyle name="XCurrency 0.0" xfId="3675"/>
    <cellStyle name="XCurrency 0.00" xfId="3676"/>
    <cellStyle name="XCurrency 0.000" xfId="3677"/>
    <cellStyle name="xstyle" xfId="3678"/>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a:t>
            </a:r>
            <a:r>
              <a:rPr lang="en-US" baseline="0"/>
              <a:t> Plant after DFIT</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'Net plant'!$A$36</c:f>
              <c:strCache>
                <c:ptCount val="1"/>
                <c:pt idx="0">
                  <c:v>Net Plant after DFIT </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0.10916163604549453"/>
                  <c:y val="0.28457312627588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'Net plant'!$B$35:$G$35</c:f>
              <c:numCache>
                <c:formatCode>General</c:formatCode>
                <c:ptCount val="6"/>
                <c:pt idx="0">
                  <c:v>0</c:v>
                </c:pt>
                <c:pt idx="1">
                  <c:v>1</c:v>
                </c:pt>
                <c:pt idx="2">
                  <c:v>2</c:v>
                </c:pt>
                <c:pt idx="3">
                  <c:v>3</c:v>
                </c:pt>
                <c:pt idx="4">
                  <c:v>4</c:v>
                </c:pt>
                <c:pt idx="5">
                  <c:v>5</c:v>
                </c:pt>
              </c:numCache>
            </c:numRef>
          </c:xVal>
          <c:yVal>
            <c:numRef>
              <c:f>'Net plant'!$B$36:$G$36</c:f>
              <c:numCache>
                <c:formatCode>#,##0</c:formatCode>
                <c:ptCount val="6"/>
                <c:pt idx="0">
                  <c:v>173806</c:v>
                </c:pt>
                <c:pt idx="1">
                  <c:v>177901</c:v>
                </c:pt>
                <c:pt idx="2">
                  <c:v>183553</c:v>
                </c:pt>
                <c:pt idx="3">
                  <c:v>195287</c:v>
                </c:pt>
                <c:pt idx="4">
                  <c:v>207759</c:v>
                </c:pt>
                <c:pt idx="5">
                  <c:v>225901</c:v>
                </c:pt>
              </c:numCache>
            </c:numRef>
          </c:yVal>
          <c:smooth val="0"/>
        </c:ser>
        <c:ser>
          <c:idx val="1"/>
          <c:order val="1"/>
          <c:tx>
            <c:strRef>
              <c:f>'Net plant'!#REF!</c:f>
              <c:strCache>
                <c:ptCount val="1"/>
                <c:pt idx="0">
                  <c:v>#REF!</c:v>
                </c:pt>
              </c:strCache>
            </c:strRef>
          </c:tx>
          <c:spPr>
            <a:ln w="28575" cap="rnd">
              <a:noFill/>
              <a:round/>
            </a:ln>
            <a:effectLst/>
          </c:spPr>
          <c:marker>
            <c:symbol val="circle"/>
            <c:size val="5"/>
            <c:spPr>
              <a:noFill/>
              <a:ln w="9525">
                <a:noFill/>
              </a:ln>
              <a:effectLst/>
            </c:spPr>
          </c:marker>
          <c:trendline>
            <c:spPr>
              <a:ln w="19050" cap="rnd">
                <a:solidFill>
                  <a:schemeClr val="accent2"/>
                </a:solidFill>
                <a:prstDash val="sysDot"/>
              </a:ln>
              <a:effectLst/>
            </c:spPr>
            <c:trendlineType val="poly"/>
            <c:order val="2"/>
            <c:dispRSqr val="0"/>
            <c:dispEq val="0"/>
          </c:trendline>
          <c:xVal>
            <c:numRef>
              <c:f>'Net plant'!$B$35:$G$35</c:f>
              <c:numCache>
                <c:formatCode>General</c:formatCode>
                <c:ptCount val="6"/>
                <c:pt idx="0">
                  <c:v>0</c:v>
                </c:pt>
                <c:pt idx="1">
                  <c:v>1</c:v>
                </c:pt>
                <c:pt idx="2">
                  <c:v>2</c:v>
                </c:pt>
                <c:pt idx="3">
                  <c:v>3</c:v>
                </c:pt>
                <c:pt idx="4">
                  <c:v>4</c:v>
                </c:pt>
                <c:pt idx="5">
                  <c:v>5</c:v>
                </c:pt>
              </c:numCache>
            </c:numRef>
          </c:xVal>
          <c:yVal>
            <c:numRef>
              <c:f>'Net plant'!#REF!</c:f>
              <c:numCache>
                <c:formatCode>General</c:formatCode>
                <c:ptCount val="1"/>
                <c:pt idx="0">
                  <c:v>1</c:v>
                </c:pt>
              </c:numCache>
            </c:numRef>
          </c:yVal>
          <c:smooth val="0"/>
        </c:ser>
        <c:dLbls>
          <c:showLegendKey val="0"/>
          <c:showVal val="0"/>
          <c:showCatName val="0"/>
          <c:showSerName val="0"/>
          <c:showPercent val="0"/>
          <c:showBubbleSize val="0"/>
        </c:dLbls>
        <c:axId val="483914272"/>
        <c:axId val="483917800"/>
      </c:scatterChart>
      <c:valAx>
        <c:axId val="4839142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917800"/>
        <c:crosses val="autoZero"/>
        <c:crossBetween val="midCat"/>
      </c:valAx>
      <c:valAx>
        <c:axId val="483917800"/>
        <c:scaling>
          <c:orientation val="minMax"/>
          <c:max val="230000"/>
          <c:min val="16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914272"/>
        <c:crosses val="autoZero"/>
        <c:crossBetween val="midCat"/>
      </c:valAx>
      <c:spPr>
        <a:noFill/>
        <a:ln>
          <a:noFill/>
        </a:ln>
        <a:effectLst/>
      </c:spPr>
    </c:plotArea>
    <c:legend>
      <c:legendPos val="b"/>
      <c:legendEntry>
        <c:idx val="1"/>
        <c:delete val="1"/>
      </c:legendEntry>
      <c:legendEntry>
        <c:idx val="3"/>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'Other Revenue'!$A$2</c:f>
              <c:strCache>
                <c:ptCount val="1"/>
                <c:pt idx="0">
                  <c:v>Adj. Other Revenue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2.6190726159230068E-2"/>
                  <c:y val="0.2214216972878390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'Other Revenue'!$B$1:$G$1</c:f>
              <c:numCache>
                <c:formatCode>General</c:formatCode>
                <c:ptCount val="6"/>
                <c:pt idx="0">
                  <c:v>2009</c:v>
                </c:pt>
                <c:pt idx="1">
                  <c:v>2010</c:v>
                </c:pt>
                <c:pt idx="2">
                  <c:v>2011</c:v>
                </c:pt>
                <c:pt idx="3">
                  <c:v>2012</c:v>
                </c:pt>
                <c:pt idx="4">
                  <c:v>2013</c:v>
                </c:pt>
                <c:pt idx="5">
                  <c:v>2014</c:v>
                </c:pt>
              </c:numCache>
            </c:numRef>
          </c:xVal>
          <c:yVal>
            <c:numRef>
              <c:f>'Other Revenue'!$B$2:$G$2</c:f>
              <c:numCache>
                <c:formatCode>#,##0</c:formatCode>
                <c:ptCount val="6"/>
                <c:pt idx="0">
                  <c:v>93</c:v>
                </c:pt>
                <c:pt idx="1">
                  <c:v>64</c:v>
                </c:pt>
                <c:pt idx="2">
                  <c:v>47</c:v>
                </c:pt>
                <c:pt idx="3">
                  <c:v>285</c:v>
                </c:pt>
                <c:pt idx="4">
                  <c:v>403</c:v>
                </c:pt>
                <c:pt idx="5">
                  <c:v>332</c:v>
                </c:pt>
              </c:numCache>
            </c:numRef>
          </c:yVal>
          <c:smooth val="0"/>
        </c:ser>
        <c:dLbls>
          <c:showLegendKey val="0"/>
          <c:showVal val="0"/>
          <c:showCatName val="0"/>
          <c:showSerName val="0"/>
          <c:showPercent val="0"/>
          <c:showBubbleSize val="0"/>
        </c:dLbls>
        <c:axId val="706617336"/>
        <c:axId val="706615376"/>
      </c:scatterChart>
      <c:valAx>
        <c:axId val="7066173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615376"/>
        <c:crosses val="autoZero"/>
        <c:crossBetween val="midCat"/>
      </c:valAx>
      <c:valAx>
        <c:axId val="706615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6173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a:t>
            </a:r>
            <a:r>
              <a:rPr lang="en-US" baseline="0"/>
              <a:t> Operating Expense (Natural Gas)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'Op Exp'!$A$5</c:f>
              <c:strCache>
                <c:ptCount val="1"/>
                <c:pt idx="0">
                  <c:v>Adj. Operating Expense (2009-2014, excl. 2012)</c:v>
                </c:pt>
              </c:strCache>
            </c:strRef>
          </c:tx>
          <c:spPr>
            <a:ln w="28575" cap="rnd">
              <a:noFill/>
              <a:round/>
            </a:ln>
            <a:effectLst/>
          </c:spPr>
          <c:marker>
            <c:symbol val="circle"/>
            <c:size val="5"/>
            <c:spPr>
              <a:solidFill>
                <a:schemeClr val="accent1"/>
              </a:solidFill>
              <a:ln w="9525">
                <a:solidFill>
                  <a:schemeClr val="accent1"/>
                </a:solidFill>
              </a:ln>
              <a:effectLst/>
            </c:spPr>
          </c:marker>
          <c:xVal>
            <c:numRef>
              <c:f>'Op Exp'!$B$4:$G$4</c:f>
              <c:numCache>
                <c:formatCode>General</c:formatCode>
                <c:ptCount val="6"/>
                <c:pt idx="0">
                  <c:v>2009</c:v>
                </c:pt>
                <c:pt idx="1">
                  <c:v>2010</c:v>
                </c:pt>
                <c:pt idx="2">
                  <c:v>2011</c:v>
                </c:pt>
                <c:pt idx="3">
                  <c:v>2012</c:v>
                </c:pt>
                <c:pt idx="4">
                  <c:v>2013</c:v>
                </c:pt>
                <c:pt idx="5">
                  <c:v>2014</c:v>
                </c:pt>
              </c:numCache>
            </c:numRef>
          </c:xVal>
          <c:yVal>
            <c:numRef>
              <c:f>'Op Exp'!$B$5:$G$5</c:f>
              <c:numCache>
                <c:formatCode>#,##0</c:formatCode>
                <c:ptCount val="6"/>
                <c:pt idx="0">
                  <c:v>24600</c:v>
                </c:pt>
                <c:pt idx="1">
                  <c:v>26009</c:v>
                </c:pt>
                <c:pt idx="2">
                  <c:v>27851.852941999998</c:v>
                </c:pt>
                <c:pt idx="4">
                  <c:v>31057</c:v>
                </c:pt>
                <c:pt idx="5">
                  <c:v>31478</c:v>
                </c:pt>
              </c:numCache>
            </c:numRef>
          </c:yVal>
          <c:smooth val="0"/>
        </c:ser>
        <c:ser>
          <c:idx val="1"/>
          <c:order val="1"/>
          <c:tx>
            <c:strRef>
              <c:f>'Op Exp'!$A$6</c:f>
              <c:strCache>
                <c:ptCount val="1"/>
                <c:pt idx="0">
                  <c:v>Adj. Operating Expense (2012)</c:v>
                </c:pt>
              </c:strCache>
            </c:strRef>
          </c:tx>
          <c:spPr>
            <a:ln w="28575" cap="rnd">
              <a:noFill/>
              <a:round/>
            </a:ln>
            <a:effectLst/>
          </c:spPr>
          <c:marker>
            <c:symbol val="circle"/>
            <c:size val="5"/>
            <c:spPr>
              <a:solidFill>
                <a:schemeClr val="accent2"/>
              </a:solidFill>
              <a:ln w="9525">
                <a:solidFill>
                  <a:schemeClr val="accent2"/>
                </a:solidFill>
              </a:ln>
              <a:effectLst/>
            </c:spPr>
          </c:marker>
          <c:xVal>
            <c:numRef>
              <c:f>'Op Exp'!$B$4:$G$4</c:f>
              <c:numCache>
                <c:formatCode>General</c:formatCode>
                <c:ptCount val="6"/>
                <c:pt idx="0">
                  <c:v>2009</c:v>
                </c:pt>
                <c:pt idx="1">
                  <c:v>2010</c:v>
                </c:pt>
                <c:pt idx="2">
                  <c:v>2011</c:v>
                </c:pt>
                <c:pt idx="3">
                  <c:v>2012</c:v>
                </c:pt>
                <c:pt idx="4">
                  <c:v>2013</c:v>
                </c:pt>
                <c:pt idx="5">
                  <c:v>2014</c:v>
                </c:pt>
              </c:numCache>
            </c:numRef>
          </c:xVal>
          <c:yVal>
            <c:numRef>
              <c:f>'Op Exp'!$B$6:$G$6</c:f>
              <c:numCache>
                <c:formatCode>#,##0</c:formatCode>
                <c:ptCount val="6"/>
                <c:pt idx="3">
                  <c:v>30759</c:v>
                </c:pt>
              </c:numCache>
            </c:numRef>
          </c:yVal>
          <c:smooth val="0"/>
        </c:ser>
        <c:ser>
          <c:idx val="2"/>
          <c:order val="2"/>
          <c:tx>
            <c:strRef>
              <c:f>'Op Exp'!$A$7</c:f>
              <c:strCache>
                <c:ptCount val="1"/>
                <c:pt idx="0">
                  <c:v>Adj. Operating Expense (2013-2014)</c:v>
                </c:pt>
              </c:strCache>
            </c:strRef>
          </c:tx>
          <c:spPr>
            <a:ln w="28575"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1"/>
            <c:dispEq val="1"/>
            <c:trendlineLbl>
              <c:layout>
                <c:manualLayout>
                  <c:x val="-0.51671648723375352"/>
                  <c:y val="3.0006088509136192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'Op Exp'!$B$4:$G$4</c:f>
              <c:numCache>
                <c:formatCode>General</c:formatCode>
                <c:ptCount val="6"/>
                <c:pt idx="0">
                  <c:v>2009</c:v>
                </c:pt>
                <c:pt idx="1">
                  <c:v>2010</c:v>
                </c:pt>
                <c:pt idx="2">
                  <c:v>2011</c:v>
                </c:pt>
                <c:pt idx="3">
                  <c:v>2012</c:v>
                </c:pt>
                <c:pt idx="4">
                  <c:v>2013</c:v>
                </c:pt>
                <c:pt idx="5">
                  <c:v>2014</c:v>
                </c:pt>
              </c:numCache>
            </c:numRef>
          </c:xVal>
          <c:yVal>
            <c:numRef>
              <c:f>'Op Exp'!$B$7:$G$7</c:f>
              <c:numCache>
                <c:formatCode>General</c:formatCode>
                <c:ptCount val="6"/>
                <c:pt idx="4" formatCode="#,##0">
                  <c:v>31057</c:v>
                </c:pt>
                <c:pt idx="5" formatCode="#,##0">
                  <c:v>31478</c:v>
                </c:pt>
              </c:numCache>
            </c:numRef>
          </c:yVal>
          <c:smooth val="0"/>
        </c:ser>
        <c:ser>
          <c:idx val="3"/>
          <c:order val="3"/>
          <c:tx>
            <c:strRef>
              <c:f>'Op Exp'!#REF!</c:f>
              <c:strCache>
                <c:ptCount val="1"/>
                <c:pt idx="0">
                  <c:v>#REF!</c:v>
                </c:pt>
              </c:strCache>
            </c:strRef>
          </c:tx>
          <c:spPr>
            <a:ln w="28575" cap="rnd">
              <a:noFill/>
              <a:round/>
            </a:ln>
            <a:effectLst/>
          </c:spPr>
          <c:marker>
            <c:symbol val="circle"/>
            <c:size val="5"/>
            <c:spPr>
              <a:solidFill>
                <a:schemeClr val="accent4"/>
              </a:solidFill>
              <a:ln w="9525">
                <a:solidFill>
                  <a:schemeClr val="accent4"/>
                </a:solidFill>
              </a:ln>
              <a:effectLst/>
            </c:spPr>
          </c:marker>
          <c:xVal>
            <c:numRef>
              <c:f>'Op Exp'!$B$4:$G$4</c:f>
              <c:numCache>
                <c:formatCode>General</c:formatCode>
                <c:ptCount val="6"/>
                <c:pt idx="0">
                  <c:v>2009</c:v>
                </c:pt>
                <c:pt idx="1">
                  <c:v>2010</c:v>
                </c:pt>
                <c:pt idx="2">
                  <c:v>2011</c:v>
                </c:pt>
                <c:pt idx="3">
                  <c:v>2012</c:v>
                </c:pt>
                <c:pt idx="4">
                  <c:v>2013</c:v>
                </c:pt>
                <c:pt idx="5">
                  <c:v>2014</c:v>
                </c:pt>
              </c:numCache>
            </c:numRef>
          </c:xVal>
          <c:yVal>
            <c:numRef>
              <c:f>'Op Exp'!#REF!</c:f>
              <c:numCache>
                <c:formatCode>General</c:formatCode>
                <c:ptCount val="1"/>
                <c:pt idx="0">
                  <c:v>1</c:v>
                </c:pt>
              </c:numCache>
            </c:numRef>
          </c:yVal>
          <c:smooth val="0"/>
        </c:ser>
        <c:dLbls>
          <c:showLegendKey val="0"/>
          <c:showVal val="0"/>
          <c:showCatName val="0"/>
          <c:showSerName val="0"/>
          <c:showPercent val="0"/>
          <c:showBubbleSize val="0"/>
        </c:dLbls>
        <c:axId val="706617728"/>
        <c:axId val="706614200"/>
      </c:scatterChart>
      <c:valAx>
        <c:axId val="7066177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614200"/>
        <c:crosses val="autoZero"/>
        <c:crossBetween val="midCat"/>
      </c:valAx>
      <c:valAx>
        <c:axId val="706614200"/>
        <c:scaling>
          <c:orientation val="minMax"/>
          <c:min val="2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617728"/>
        <c:crosses val="autoZero"/>
        <c:crossBetween val="midCat"/>
      </c:valAx>
      <c:spPr>
        <a:noFill/>
        <a:ln>
          <a:noFill/>
        </a:ln>
        <a:effectLst/>
      </c:spPr>
    </c:plotArea>
    <c:legend>
      <c:legendPos val="b"/>
      <c:legendEntry>
        <c:idx val="0"/>
        <c:delete val="1"/>
      </c:legendEntry>
      <c:legendEntry>
        <c:idx val="1"/>
        <c:delete val="1"/>
      </c:legendEntry>
      <c:legendEntry>
        <c:idx val="3"/>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'Plant trends'!$B$17</c:f>
              <c:strCache>
                <c:ptCount val="1"/>
                <c:pt idx="0">
                  <c:v>Distribution Plant</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0"/>
            <c:trendlineLbl>
              <c:layout>
                <c:manualLayout>
                  <c:x val="-5.0914842292112315E-2"/>
                  <c:y val="0.24680701370662034"/>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trends'!$C$16:$H$16</c:f>
              <c:numCache>
                <c:formatCode>General</c:formatCode>
                <c:ptCount val="6"/>
                <c:pt idx="0">
                  <c:v>2009</c:v>
                </c:pt>
                <c:pt idx="1">
                  <c:v>2010</c:v>
                </c:pt>
                <c:pt idx="2">
                  <c:v>2011</c:v>
                </c:pt>
                <c:pt idx="3">
                  <c:v>2012</c:v>
                </c:pt>
                <c:pt idx="4">
                  <c:v>2013</c:v>
                </c:pt>
                <c:pt idx="5">
                  <c:v>2014</c:v>
                </c:pt>
              </c:numCache>
            </c:numRef>
          </c:xVal>
          <c:yVal>
            <c:numRef>
              <c:f>'Plant trends'!$C$17:$H$17</c:f>
              <c:numCache>
                <c:formatCode>General</c:formatCode>
                <c:ptCount val="6"/>
                <c:pt idx="0">
                  <c:v>171955</c:v>
                </c:pt>
                <c:pt idx="1">
                  <c:v>179849</c:v>
                </c:pt>
                <c:pt idx="2">
                  <c:v>183790</c:v>
                </c:pt>
                <c:pt idx="3">
                  <c:v>193474</c:v>
                </c:pt>
                <c:pt idx="4">
                  <c:v>204807</c:v>
                </c:pt>
                <c:pt idx="5">
                  <c:v>223099</c:v>
                </c:pt>
              </c:numCache>
            </c:numRef>
          </c:yVal>
          <c:smooth val="0"/>
        </c:ser>
        <c:dLbls>
          <c:showLegendKey val="0"/>
          <c:showVal val="0"/>
          <c:showCatName val="0"/>
          <c:showSerName val="0"/>
          <c:showPercent val="0"/>
          <c:showBubbleSize val="0"/>
        </c:dLbls>
        <c:axId val="481584160"/>
        <c:axId val="481583768"/>
      </c:scatterChart>
      <c:valAx>
        <c:axId val="481584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583768"/>
        <c:crosses val="autoZero"/>
        <c:crossBetween val="midCat"/>
      </c:valAx>
      <c:valAx>
        <c:axId val="481583768"/>
        <c:scaling>
          <c:orientation val="minMax"/>
          <c:min val="15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5841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'Plant trends'!$B$19</c:f>
              <c:strCache>
                <c:ptCount val="1"/>
                <c:pt idx="0">
                  <c:v>General Plant</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0"/>
            <c:trendlineLbl>
              <c:layout>
                <c:manualLayout>
                  <c:x val="-5.1754395946171504E-2"/>
                  <c:y val="0.19351072495248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trends'!$C$18:$H$18</c:f>
              <c:numCache>
                <c:formatCode>General</c:formatCode>
                <c:ptCount val="6"/>
                <c:pt idx="0">
                  <c:v>2009</c:v>
                </c:pt>
                <c:pt idx="1">
                  <c:v>2010</c:v>
                </c:pt>
                <c:pt idx="2">
                  <c:v>2011</c:v>
                </c:pt>
                <c:pt idx="3">
                  <c:v>2012</c:v>
                </c:pt>
                <c:pt idx="4">
                  <c:v>2013</c:v>
                </c:pt>
                <c:pt idx="5">
                  <c:v>2014</c:v>
                </c:pt>
              </c:numCache>
            </c:numRef>
          </c:xVal>
          <c:yVal>
            <c:numRef>
              <c:f>'Plant trends'!$C$19:$H$19</c:f>
              <c:numCache>
                <c:formatCode>General</c:formatCode>
                <c:ptCount val="6"/>
                <c:pt idx="0">
                  <c:v>18865</c:v>
                </c:pt>
                <c:pt idx="1">
                  <c:v>22679</c:v>
                </c:pt>
                <c:pt idx="2">
                  <c:v>28045</c:v>
                </c:pt>
                <c:pt idx="3">
                  <c:v>32623</c:v>
                </c:pt>
                <c:pt idx="4">
                  <c:v>37499</c:v>
                </c:pt>
                <c:pt idx="5">
                  <c:v>41740</c:v>
                </c:pt>
              </c:numCache>
            </c:numRef>
          </c:yVal>
          <c:smooth val="0"/>
        </c:ser>
        <c:dLbls>
          <c:showLegendKey val="0"/>
          <c:showVal val="0"/>
          <c:showCatName val="0"/>
          <c:showSerName val="0"/>
          <c:showPercent val="0"/>
          <c:showBubbleSize val="0"/>
        </c:dLbls>
        <c:axId val="481581416"/>
        <c:axId val="481586120"/>
      </c:scatterChart>
      <c:valAx>
        <c:axId val="481581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586120"/>
        <c:crosses val="autoZero"/>
        <c:crossBetween val="midCat"/>
      </c:valAx>
      <c:valAx>
        <c:axId val="481586120"/>
        <c:scaling>
          <c:orientation val="minMax"/>
          <c:min val="1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581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'Plant trends'!$B$21</c:f>
              <c:strCache>
                <c:ptCount val="1"/>
                <c:pt idx="0">
                  <c:v>Underground Storage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0"/>
            <c:trendlineLbl>
              <c:layout>
                <c:manualLayout>
                  <c:x val="-5.051167846443437E-2"/>
                  <c:y val="9.650091487540865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trends'!$C$20:$H$20</c:f>
              <c:numCache>
                <c:formatCode>General</c:formatCode>
                <c:ptCount val="6"/>
                <c:pt idx="0">
                  <c:v>2009</c:v>
                </c:pt>
                <c:pt idx="1">
                  <c:v>2010</c:v>
                </c:pt>
                <c:pt idx="2">
                  <c:v>2011</c:v>
                </c:pt>
                <c:pt idx="3">
                  <c:v>2012</c:v>
                </c:pt>
                <c:pt idx="4">
                  <c:v>2013</c:v>
                </c:pt>
                <c:pt idx="5">
                  <c:v>2014</c:v>
                </c:pt>
              </c:numCache>
            </c:numRef>
          </c:xVal>
          <c:yVal>
            <c:numRef>
              <c:f>'Plant trends'!$C$21:$H$21</c:f>
              <c:numCache>
                <c:formatCode>General</c:formatCode>
                <c:ptCount val="6"/>
                <c:pt idx="1">
                  <c:v>12135</c:v>
                </c:pt>
                <c:pt idx="2">
                  <c:v>13722</c:v>
                </c:pt>
                <c:pt idx="3">
                  <c:v>15688</c:v>
                </c:pt>
                <c:pt idx="4">
                  <c:v>15623</c:v>
                </c:pt>
                <c:pt idx="5">
                  <c:v>15714</c:v>
                </c:pt>
              </c:numCache>
            </c:numRef>
          </c:yVal>
          <c:smooth val="0"/>
        </c:ser>
        <c:dLbls>
          <c:showLegendKey val="0"/>
          <c:showVal val="0"/>
          <c:showCatName val="0"/>
          <c:showSerName val="0"/>
          <c:showPercent val="0"/>
          <c:showBubbleSize val="0"/>
        </c:dLbls>
        <c:axId val="481581808"/>
        <c:axId val="481585336"/>
      </c:scatterChart>
      <c:valAx>
        <c:axId val="481581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585336"/>
        <c:crosses val="autoZero"/>
        <c:crossBetween val="midCat"/>
      </c:valAx>
      <c:valAx>
        <c:axId val="481585336"/>
        <c:scaling>
          <c:orientation val="minMax"/>
          <c:min val="5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5818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a:t>
            </a:r>
            <a:r>
              <a:rPr lang="en-US" baseline="0"/>
              <a:t> Plant (Natural Gas)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'Plant trends'!$B$11</c:f>
              <c:strCache>
                <c:ptCount val="1"/>
                <c:pt idx="0">
                  <c:v>Underground Storage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trends'!$C$11:$H$11</c:f>
              <c:numCache>
                <c:formatCode>General</c:formatCode>
                <c:ptCount val="6"/>
                <c:pt idx="0">
                  <c:v>13991</c:v>
                </c:pt>
                <c:pt idx="1">
                  <c:v>12135</c:v>
                </c:pt>
                <c:pt idx="2">
                  <c:v>13722</c:v>
                </c:pt>
                <c:pt idx="3">
                  <c:v>15688</c:v>
                </c:pt>
                <c:pt idx="4">
                  <c:v>15623</c:v>
                </c:pt>
                <c:pt idx="5">
                  <c:v>15714</c:v>
                </c:pt>
              </c:numCache>
            </c:numRef>
          </c:val>
          <c:smooth val="0"/>
        </c:ser>
        <c:ser>
          <c:idx val="1"/>
          <c:order val="1"/>
          <c:tx>
            <c:strRef>
              <c:f>'Plant trends'!$B$12</c:f>
              <c:strCache>
                <c:ptCount val="1"/>
                <c:pt idx="0">
                  <c:v>Distribution Plant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trends'!$C$12:$H$12</c:f>
              <c:numCache>
                <c:formatCode>General</c:formatCode>
                <c:ptCount val="6"/>
                <c:pt idx="0">
                  <c:v>171955</c:v>
                </c:pt>
                <c:pt idx="1">
                  <c:v>179849</c:v>
                </c:pt>
                <c:pt idx="2">
                  <c:v>183790</c:v>
                </c:pt>
                <c:pt idx="3">
                  <c:v>193474</c:v>
                </c:pt>
                <c:pt idx="4">
                  <c:v>204807</c:v>
                </c:pt>
                <c:pt idx="5">
                  <c:v>223099</c:v>
                </c:pt>
              </c:numCache>
            </c:numRef>
          </c:val>
          <c:smooth val="0"/>
        </c:ser>
        <c:ser>
          <c:idx val="2"/>
          <c:order val="2"/>
          <c:tx>
            <c:strRef>
              <c:f>'Plant trends'!$B$13</c:f>
              <c:strCache>
                <c:ptCount val="1"/>
                <c:pt idx="0">
                  <c:v>General Plant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trends'!$C$13:$H$13</c:f>
              <c:numCache>
                <c:formatCode>General</c:formatCode>
                <c:ptCount val="6"/>
                <c:pt idx="0">
                  <c:v>18865</c:v>
                </c:pt>
                <c:pt idx="1">
                  <c:v>22679</c:v>
                </c:pt>
                <c:pt idx="2">
                  <c:v>28045</c:v>
                </c:pt>
                <c:pt idx="3">
                  <c:v>32623</c:v>
                </c:pt>
                <c:pt idx="4">
                  <c:v>37499</c:v>
                </c:pt>
                <c:pt idx="5">
                  <c:v>41740</c:v>
                </c:pt>
              </c:numCache>
            </c:numRef>
          </c:val>
          <c:smooth val="0"/>
        </c:ser>
        <c:dLbls>
          <c:showLegendKey val="0"/>
          <c:showVal val="0"/>
          <c:showCatName val="0"/>
          <c:showSerName val="0"/>
          <c:showPercent val="0"/>
          <c:showBubbleSize val="0"/>
        </c:dLbls>
        <c:marker val="1"/>
        <c:smooth val="0"/>
        <c:axId val="481582200"/>
        <c:axId val="481582984"/>
      </c:lineChart>
      <c:catAx>
        <c:axId val="481582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582984"/>
        <c:crosses val="autoZero"/>
        <c:auto val="1"/>
        <c:lblAlgn val="ctr"/>
        <c:lblOffset val="100"/>
        <c:noMultiLvlLbl val="0"/>
      </c:catAx>
      <c:valAx>
        <c:axId val="481582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582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'Net plant'!$A$34</c:f>
              <c:strCache>
                <c:ptCount val="1"/>
                <c:pt idx="0">
                  <c:v>Net Plant after DFIT </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0"/>
          </c:trendline>
          <c:xVal>
            <c:numRef>
              <c:f>'Net plant'!$B$33:$G$33</c:f>
              <c:numCache>
                <c:formatCode>General</c:formatCode>
                <c:ptCount val="6"/>
                <c:pt idx="0">
                  <c:v>2009</c:v>
                </c:pt>
                <c:pt idx="1">
                  <c:v>2010</c:v>
                </c:pt>
                <c:pt idx="2">
                  <c:v>2011</c:v>
                </c:pt>
                <c:pt idx="3">
                  <c:v>2012</c:v>
                </c:pt>
                <c:pt idx="4">
                  <c:v>2013</c:v>
                </c:pt>
                <c:pt idx="5">
                  <c:v>2014</c:v>
                </c:pt>
              </c:numCache>
            </c:numRef>
          </c:xVal>
          <c:yVal>
            <c:numRef>
              <c:f>'Net plant'!$B$34:$G$34</c:f>
              <c:numCache>
                <c:formatCode>#,##0</c:formatCode>
                <c:ptCount val="6"/>
                <c:pt idx="0">
                  <c:v>173806</c:v>
                </c:pt>
                <c:pt idx="1">
                  <c:v>177901</c:v>
                </c:pt>
                <c:pt idx="2">
                  <c:v>183553</c:v>
                </c:pt>
                <c:pt idx="3">
                  <c:v>195287</c:v>
                </c:pt>
                <c:pt idx="4">
                  <c:v>207759</c:v>
                </c:pt>
                <c:pt idx="5">
                  <c:v>225901</c:v>
                </c:pt>
              </c:numCache>
            </c:numRef>
          </c:yVal>
          <c:smooth val="0"/>
        </c:ser>
        <c:dLbls>
          <c:showLegendKey val="0"/>
          <c:showVal val="0"/>
          <c:showCatName val="0"/>
          <c:showSerName val="0"/>
          <c:showPercent val="0"/>
          <c:showBubbleSize val="0"/>
        </c:dLbls>
        <c:axId val="483919368"/>
        <c:axId val="483914664"/>
      </c:scatterChart>
      <c:valAx>
        <c:axId val="4839193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914664"/>
        <c:crosses val="autoZero"/>
        <c:crossBetween val="midCat"/>
      </c:valAx>
      <c:valAx>
        <c:axId val="483914664"/>
        <c:scaling>
          <c:orientation val="minMax"/>
          <c:min val="16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39193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'Net plant'!$A$5</c:f>
              <c:strCache>
                <c:ptCount val="1"/>
                <c:pt idx="0">
                  <c:v>Net Plant after DFIT </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0.32655722947926374"/>
                  <c:y val="4.1244682776721865E-2"/>
                </c:manualLayout>
              </c:layout>
              <c:numFmt formatCode="#,##0.00" sourceLinked="0"/>
            </c:trendlineLbl>
          </c:trendline>
          <c:xVal>
            <c:numRef>
              <c:f>'Net plant'!$B$4:$I$4</c:f>
              <c:numCache>
                <c:formatCode>General</c:formatCode>
                <c:ptCount val="8"/>
                <c:pt idx="0">
                  <c:v>0</c:v>
                </c:pt>
                <c:pt idx="1">
                  <c:v>1</c:v>
                </c:pt>
                <c:pt idx="2">
                  <c:v>2</c:v>
                </c:pt>
                <c:pt idx="3">
                  <c:v>3</c:v>
                </c:pt>
                <c:pt idx="4">
                  <c:v>4</c:v>
                </c:pt>
                <c:pt idx="5">
                  <c:v>5</c:v>
                </c:pt>
                <c:pt idx="6">
                  <c:v>6</c:v>
                </c:pt>
                <c:pt idx="7">
                  <c:v>7</c:v>
                </c:pt>
              </c:numCache>
            </c:numRef>
          </c:xVal>
          <c:yVal>
            <c:numRef>
              <c:f>'Net plant'!$B$5:$I$5</c:f>
              <c:numCache>
                <c:formatCode>_(* #,##0_);_(* \(#,##0\);_(* "-"??_);_(@_)</c:formatCode>
                <c:ptCount val="8"/>
                <c:pt idx="0">
                  <c:v>145500</c:v>
                </c:pt>
                <c:pt idx="1">
                  <c:v>154054</c:v>
                </c:pt>
                <c:pt idx="2">
                  <c:v>173806</c:v>
                </c:pt>
                <c:pt idx="3">
                  <c:v>177901</c:v>
                </c:pt>
                <c:pt idx="4">
                  <c:v>183553</c:v>
                </c:pt>
                <c:pt idx="5">
                  <c:v>195287</c:v>
                </c:pt>
                <c:pt idx="6">
                  <c:v>207759</c:v>
                </c:pt>
                <c:pt idx="7">
                  <c:v>225901</c:v>
                </c:pt>
              </c:numCache>
            </c:numRef>
          </c:yVal>
          <c:smooth val="0"/>
        </c:ser>
        <c:dLbls>
          <c:showLegendKey val="0"/>
          <c:showVal val="0"/>
          <c:showCatName val="0"/>
          <c:showSerName val="0"/>
          <c:showPercent val="0"/>
          <c:showBubbleSize val="0"/>
        </c:dLbls>
        <c:axId val="558222232"/>
        <c:axId val="558224584"/>
      </c:scatterChart>
      <c:valAx>
        <c:axId val="5582222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8224584"/>
        <c:crosses val="autoZero"/>
        <c:crossBetween val="midCat"/>
      </c:valAx>
      <c:valAx>
        <c:axId val="558224584"/>
        <c:scaling>
          <c:orientation val="minMax"/>
          <c:min val="14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82222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Depreciation/Amortization (Natural Gas, 2009 at year 0)</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'Dep Amort'!$A$35</c:f>
              <c:strCache>
                <c:ptCount val="1"/>
                <c:pt idx="0">
                  <c:v>Depreciation/Amortization</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8.0045888046377647E-2"/>
                  <c:y val="0.3397278911564637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'Dep Amort'!$B$34:$G$34</c:f>
              <c:numCache>
                <c:formatCode>General</c:formatCode>
                <c:ptCount val="6"/>
                <c:pt idx="0">
                  <c:v>0</c:v>
                </c:pt>
                <c:pt idx="1">
                  <c:v>1</c:v>
                </c:pt>
                <c:pt idx="2">
                  <c:v>2</c:v>
                </c:pt>
                <c:pt idx="3">
                  <c:v>3</c:v>
                </c:pt>
                <c:pt idx="4">
                  <c:v>4</c:v>
                </c:pt>
                <c:pt idx="5">
                  <c:v>5</c:v>
                </c:pt>
              </c:numCache>
            </c:numRef>
          </c:xVal>
          <c:yVal>
            <c:numRef>
              <c:f>'Dep Amort'!$B$35:$G$35</c:f>
              <c:numCache>
                <c:formatCode>#,##0</c:formatCode>
                <c:ptCount val="6"/>
                <c:pt idx="0">
                  <c:v>8456</c:v>
                </c:pt>
                <c:pt idx="1">
                  <c:v>9127</c:v>
                </c:pt>
                <c:pt idx="2">
                  <c:v>9778</c:v>
                </c:pt>
                <c:pt idx="3">
                  <c:v>10692</c:v>
                </c:pt>
                <c:pt idx="4">
                  <c:v>12173</c:v>
                </c:pt>
                <c:pt idx="5">
                  <c:v>13304</c:v>
                </c:pt>
              </c:numCache>
            </c:numRef>
          </c:yVal>
          <c:smooth val="0"/>
        </c:ser>
        <c:dLbls>
          <c:showLegendKey val="0"/>
          <c:showVal val="0"/>
          <c:showCatName val="0"/>
          <c:showSerName val="0"/>
          <c:showPercent val="0"/>
          <c:showBubbleSize val="0"/>
        </c:dLbls>
        <c:axId val="558989912"/>
        <c:axId val="559642416"/>
      </c:scatterChart>
      <c:valAx>
        <c:axId val="558989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642416"/>
        <c:crosses val="autoZero"/>
        <c:crossBetween val="midCat"/>
      </c:valAx>
      <c:valAx>
        <c:axId val="559642416"/>
        <c:scaling>
          <c:orientation val="minMax"/>
          <c:min val="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89899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Depreciation/Amortization (Natural</a:t>
            </a:r>
            <a:r>
              <a:rPr lang="en-US" baseline="0"/>
              <a:t> Gas)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'Dep Amort'!$A$33</c:f>
              <c:strCache>
                <c:ptCount val="1"/>
                <c:pt idx="0">
                  <c:v>Depreciation/Amortization</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0"/>
          </c:trendline>
          <c:xVal>
            <c:numRef>
              <c:f>'Dep Amort'!$B$32:$G$32</c:f>
              <c:numCache>
                <c:formatCode>General</c:formatCode>
                <c:ptCount val="6"/>
                <c:pt idx="0">
                  <c:v>2009</c:v>
                </c:pt>
                <c:pt idx="1">
                  <c:v>2010</c:v>
                </c:pt>
                <c:pt idx="2">
                  <c:v>2011</c:v>
                </c:pt>
                <c:pt idx="3">
                  <c:v>2012</c:v>
                </c:pt>
                <c:pt idx="4">
                  <c:v>2013</c:v>
                </c:pt>
                <c:pt idx="5">
                  <c:v>2014</c:v>
                </c:pt>
              </c:numCache>
            </c:numRef>
          </c:xVal>
          <c:yVal>
            <c:numRef>
              <c:f>'Dep Amort'!$B$33:$G$33</c:f>
              <c:numCache>
                <c:formatCode>#,##0</c:formatCode>
                <c:ptCount val="6"/>
                <c:pt idx="0">
                  <c:v>8456</c:v>
                </c:pt>
                <c:pt idx="1">
                  <c:v>9127</c:v>
                </c:pt>
                <c:pt idx="2">
                  <c:v>9778</c:v>
                </c:pt>
                <c:pt idx="3">
                  <c:v>10692</c:v>
                </c:pt>
                <c:pt idx="4">
                  <c:v>12173</c:v>
                </c:pt>
                <c:pt idx="5">
                  <c:v>13304</c:v>
                </c:pt>
              </c:numCache>
            </c:numRef>
          </c:yVal>
          <c:smooth val="0"/>
        </c:ser>
        <c:dLbls>
          <c:showLegendKey val="0"/>
          <c:showVal val="0"/>
          <c:showCatName val="0"/>
          <c:showSerName val="0"/>
          <c:showPercent val="0"/>
          <c:showBubbleSize val="0"/>
        </c:dLbls>
        <c:axId val="706618120"/>
        <c:axId val="706616160"/>
      </c:scatterChart>
      <c:valAx>
        <c:axId val="706618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616160"/>
        <c:crosses val="autoZero"/>
        <c:crossBetween val="midCat"/>
      </c:valAx>
      <c:valAx>
        <c:axId val="706616160"/>
        <c:scaling>
          <c:orientation val="minMax"/>
          <c:min val="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6181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Depreciation/Amortization (Natural</a:t>
            </a:r>
            <a:r>
              <a:rPr lang="en-US" baseline="0"/>
              <a:t> Gas)</a:t>
            </a:r>
            <a:endParaRPr lang="en-US"/>
          </a:p>
        </c:rich>
      </c:tx>
      <c:layout/>
      <c:overlay val="0"/>
      <c:spPr>
        <a:noFill/>
        <a:ln>
          <a:noFill/>
        </a:ln>
        <a:effectLst/>
      </c:spPr>
    </c:title>
    <c:autoTitleDeleted val="0"/>
    <c:plotArea>
      <c:layout/>
      <c:scatterChart>
        <c:scatterStyle val="lineMarker"/>
        <c:varyColors val="0"/>
        <c:ser>
          <c:idx val="0"/>
          <c:order val="0"/>
          <c:tx>
            <c:strRef>
              <c:f>'Dep Amort'!$A$5</c:f>
              <c:strCache>
                <c:ptCount val="1"/>
                <c:pt idx="0">
                  <c:v>Depreciation/Amortization</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numFmt formatCode="General" sourceLinked="0"/>
            </c:trendlineLbl>
          </c:trendline>
          <c:xVal>
            <c:numRef>
              <c:f>'Dep Amort'!$B$4:$I$4</c:f>
              <c:numCache>
                <c:formatCode>General</c:formatCode>
                <c:ptCount val="8"/>
                <c:pt idx="0">
                  <c:v>0</c:v>
                </c:pt>
                <c:pt idx="1">
                  <c:v>1</c:v>
                </c:pt>
                <c:pt idx="2">
                  <c:v>2</c:v>
                </c:pt>
                <c:pt idx="3">
                  <c:v>3</c:v>
                </c:pt>
                <c:pt idx="4">
                  <c:v>4</c:v>
                </c:pt>
                <c:pt idx="5">
                  <c:v>5</c:v>
                </c:pt>
                <c:pt idx="6">
                  <c:v>6</c:v>
                </c:pt>
                <c:pt idx="7">
                  <c:v>7</c:v>
                </c:pt>
              </c:numCache>
            </c:numRef>
          </c:xVal>
          <c:yVal>
            <c:numRef>
              <c:f>'Dep Amort'!$B$5:$I$5</c:f>
              <c:numCache>
                <c:formatCode>#,##0</c:formatCode>
                <c:ptCount val="8"/>
                <c:pt idx="0">
                  <c:v>7413</c:v>
                </c:pt>
                <c:pt idx="1">
                  <c:v>7752</c:v>
                </c:pt>
                <c:pt idx="2">
                  <c:v>8456</c:v>
                </c:pt>
                <c:pt idx="3">
                  <c:v>9127</c:v>
                </c:pt>
                <c:pt idx="4">
                  <c:v>9778</c:v>
                </c:pt>
                <c:pt idx="5">
                  <c:v>10692</c:v>
                </c:pt>
                <c:pt idx="6">
                  <c:v>12173</c:v>
                </c:pt>
                <c:pt idx="7">
                  <c:v>13304</c:v>
                </c:pt>
              </c:numCache>
            </c:numRef>
          </c:yVal>
          <c:smooth val="0"/>
        </c:ser>
        <c:dLbls>
          <c:showLegendKey val="0"/>
          <c:showVal val="0"/>
          <c:showCatName val="0"/>
          <c:showSerName val="0"/>
          <c:showPercent val="0"/>
          <c:showBubbleSize val="0"/>
        </c:dLbls>
        <c:axId val="706615768"/>
        <c:axId val="706614592"/>
      </c:scatterChart>
      <c:valAx>
        <c:axId val="7066157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614592"/>
        <c:crosses val="autoZero"/>
        <c:crossBetween val="midCat"/>
      </c:valAx>
      <c:valAx>
        <c:axId val="706614592"/>
        <c:scaling>
          <c:orientation val="minMax"/>
          <c:min val="6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6157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'Taxes (other than income)'!$A$36</c:f>
              <c:strCache>
                <c:ptCount val="1"/>
                <c:pt idx="0">
                  <c:v>Taxes (other than income)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'Taxes (other than income)'!$B$35:$G$35</c:f>
              <c:numCache>
                <c:formatCode>General</c:formatCode>
                <c:ptCount val="6"/>
                <c:pt idx="0">
                  <c:v>0</c:v>
                </c:pt>
                <c:pt idx="1">
                  <c:v>1</c:v>
                </c:pt>
                <c:pt idx="2">
                  <c:v>2</c:v>
                </c:pt>
                <c:pt idx="3">
                  <c:v>3</c:v>
                </c:pt>
                <c:pt idx="4">
                  <c:v>4</c:v>
                </c:pt>
                <c:pt idx="5">
                  <c:v>5</c:v>
                </c:pt>
              </c:numCache>
            </c:numRef>
          </c:xVal>
          <c:yVal>
            <c:numRef>
              <c:f>'Taxes (other than income)'!$B$36:$G$36</c:f>
              <c:numCache>
                <c:formatCode>#,##0</c:formatCode>
                <c:ptCount val="6"/>
                <c:pt idx="0">
                  <c:v>3728</c:v>
                </c:pt>
                <c:pt idx="1">
                  <c:v>3834</c:v>
                </c:pt>
                <c:pt idx="2">
                  <c:v>4316.6743270000006</c:v>
                </c:pt>
                <c:pt idx="3">
                  <c:v>4592</c:v>
                </c:pt>
                <c:pt idx="4">
                  <c:v>5191</c:v>
                </c:pt>
                <c:pt idx="5">
                  <c:v>5523</c:v>
                </c:pt>
              </c:numCache>
            </c:numRef>
          </c:yVal>
          <c:smooth val="0"/>
        </c:ser>
        <c:dLbls>
          <c:showLegendKey val="0"/>
          <c:showVal val="0"/>
          <c:showCatName val="0"/>
          <c:showSerName val="0"/>
          <c:showPercent val="0"/>
          <c:showBubbleSize val="0"/>
        </c:dLbls>
        <c:axId val="706618904"/>
        <c:axId val="706612240"/>
      </c:scatterChart>
      <c:valAx>
        <c:axId val="706618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612240"/>
        <c:crosses val="autoZero"/>
        <c:crossBetween val="midCat"/>
      </c:valAx>
      <c:valAx>
        <c:axId val="706612240"/>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6189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'Taxes (other than income)'!$A$34</c:f>
              <c:strCache>
                <c:ptCount val="1"/>
                <c:pt idx="0">
                  <c:v>Taxes (other than income)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0"/>
          </c:trendline>
          <c:xVal>
            <c:numRef>
              <c:f>'Taxes (other than income)'!$B$33:$G$33</c:f>
              <c:numCache>
                <c:formatCode>General</c:formatCode>
                <c:ptCount val="6"/>
                <c:pt idx="0">
                  <c:v>2009</c:v>
                </c:pt>
                <c:pt idx="1">
                  <c:v>2010</c:v>
                </c:pt>
                <c:pt idx="2">
                  <c:v>2011</c:v>
                </c:pt>
                <c:pt idx="3">
                  <c:v>2012</c:v>
                </c:pt>
                <c:pt idx="4">
                  <c:v>2013</c:v>
                </c:pt>
                <c:pt idx="5">
                  <c:v>2014</c:v>
                </c:pt>
              </c:numCache>
            </c:numRef>
          </c:xVal>
          <c:yVal>
            <c:numRef>
              <c:f>'Taxes (other than income)'!$B$34:$G$34</c:f>
              <c:numCache>
                <c:formatCode>#,##0</c:formatCode>
                <c:ptCount val="6"/>
                <c:pt idx="0">
                  <c:v>3728</c:v>
                </c:pt>
                <c:pt idx="1">
                  <c:v>3834</c:v>
                </c:pt>
                <c:pt idx="2">
                  <c:v>4316.6743270000006</c:v>
                </c:pt>
                <c:pt idx="3">
                  <c:v>4592</c:v>
                </c:pt>
                <c:pt idx="4">
                  <c:v>5191</c:v>
                </c:pt>
                <c:pt idx="5">
                  <c:v>5523</c:v>
                </c:pt>
              </c:numCache>
            </c:numRef>
          </c:yVal>
          <c:smooth val="0"/>
        </c:ser>
        <c:dLbls>
          <c:showLegendKey val="0"/>
          <c:showVal val="0"/>
          <c:showCatName val="0"/>
          <c:showSerName val="0"/>
          <c:showPercent val="0"/>
          <c:showBubbleSize val="0"/>
        </c:dLbls>
        <c:axId val="706614984"/>
        <c:axId val="706616552"/>
      </c:scatterChart>
      <c:valAx>
        <c:axId val="706614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616552"/>
        <c:crosses val="autoZero"/>
        <c:crossBetween val="midCat"/>
      </c:valAx>
      <c:valAx>
        <c:axId val="706616552"/>
        <c:scaling>
          <c:orientation val="minMax"/>
          <c:min val="35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6149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'Taxes (other than income)'!$A$6</c:f>
              <c:strCache>
                <c:ptCount val="1"/>
                <c:pt idx="0">
                  <c:v>Taxes (other than income)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numFmt formatCode="General" sourceLinked="0"/>
            </c:trendlineLbl>
          </c:trendline>
          <c:xVal>
            <c:numRef>
              <c:f>'Taxes (other than income)'!$B$5:$I$5</c:f>
              <c:numCache>
                <c:formatCode>General</c:formatCode>
                <c:ptCount val="8"/>
                <c:pt idx="0">
                  <c:v>0</c:v>
                </c:pt>
                <c:pt idx="1">
                  <c:v>1</c:v>
                </c:pt>
                <c:pt idx="2">
                  <c:v>2</c:v>
                </c:pt>
                <c:pt idx="3">
                  <c:v>3</c:v>
                </c:pt>
                <c:pt idx="4">
                  <c:v>4</c:v>
                </c:pt>
                <c:pt idx="5">
                  <c:v>5</c:v>
                </c:pt>
                <c:pt idx="6">
                  <c:v>6</c:v>
                </c:pt>
                <c:pt idx="7">
                  <c:v>7</c:v>
                </c:pt>
              </c:numCache>
            </c:numRef>
          </c:xVal>
          <c:yVal>
            <c:numRef>
              <c:f>'Taxes (other than income)'!$B$6:$I$6</c:f>
              <c:numCache>
                <c:formatCode>_(* #,##0_);_(* \(#,##0\);_(* "-"??_);_(@_)</c:formatCode>
                <c:ptCount val="8"/>
                <c:pt idx="0">
                  <c:v>3541</c:v>
                </c:pt>
                <c:pt idx="1">
                  <c:v>2961</c:v>
                </c:pt>
                <c:pt idx="2">
                  <c:v>3728</c:v>
                </c:pt>
                <c:pt idx="3">
                  <c:v>3834</c:v>
                </c:pt>
                <c:pt idx="4">
                  <c:v>4316.6743270000006</c:v>
                </c:pt>
                <c:pt idx="5">
                  <c:v>4592</c:v>
                </c:pt>
                <c:pt idx="6">
                  <c:v>5191</c:v>
                </c:pt>
                <c:pt idx="7">
                  <c:v>5523</c:v>
                </c:pt>
              </c:numCache>
            </c:numRef>
          </c:yVal>
          <c:smooth val="0"/>
        </c:ser>
        <c:dLbls>
          <c:showLegendKey val="0"/>
          <c:showVal val="0"/>
          <c:showCatName val="0"/>
          <c:showSerName val="0"/>
          <c:showPercent val="0"/>
          <c:showBubbleSize val="0"/>
        </c:dLbls>
        <c:axId val="706619296"/>
        <c:axId val="706616944"/>
      </c:scatterChart>
      <c:valAx>
        <c:axId val="7066192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616944"/>
        <c:crosses val="autoZero"/>
        <c:crossBetween val="midCat"/>
      </c:valAx>
      <c:valAx>
        <c:axId val="706616944"/>
        <c:scaling>
          <c:orientation val="minMax"/>
          <c:min val="25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6192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44" l="0.70000000000000062" r="0.70000000000000062" t="0.75000000000000144"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142987</xdr:colOff>
      <xdr:row>44</xdr:row>
      <xdr:rowOff>64769</xdr:rowOff>
    </xdr:from>
    <xdr:to>
      <xdr:col>6</xdr:col>
      <xdr:colOff>661147</xdr:colOff>
      <xdr:row>62</xdr:row>
      <xdr:rowOff>22860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490819</xdr:colOff>
      <xdr:row>43</xdr:row>
      <xdr:rowOff>135144</xdr:rowOff>
    </xdr:from>
    <xdr:to>
      <xdr:col>19</xdr:col>
      <xdr:colOff>265356</xdr:colOff>
      <xdr:row>60</xdr:row>
      <xdr:rowOff>28015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233083</xdr:colOff>
      <xdr:row>6</xdr:row>
      <xdr:rowOff>112731</xdr:rowOff>
    </xdr:from>
    <xdr:to>
      <xdr:col>7</xdr:col>
      <xdr:colOff>41238</xdr:colOff>
      <xdr:row>23</xdr:row>
      <xdr:rowOff>16809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36830</xdr:colOff>
      <xdr:row>43</xdr:row>
      <xdr:rowOff>80010</xdr:rowOff>
    </xdr:from>
    <xdr:to>
      <xdr:col>6</xdr:col>
      <xdr:colOff>452120</xdr:colOff>
      <xdr:row>60</xdr:row>
      <xdr:rowOff>33020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75565</xdr:colOff>
      <xdr:row>39</xdr:row>
      <xdr:rowOff>107950</xdr:rowOff>
    </xdr:from>
    <xdr:to>
      <xdr:col>20</xdr:col>
      <xdr:colOff>488950</xdr:colOff>
      <xdr:row>55</xdr:row>
      <xdr:rowOff>137160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91440</xdr:colOff>
      <xdr:row>6</xdr:row>
      <xdr:rowOff>57150</xdr:rowOff>
    </xdr:from>
    <xdr:to>
      <xdr:col>6</xdr:col>
      <xdr:colOff>495300</xdr:colOff>
      <xdr:row>22</xdr:row>
      <xdr:rowOff>118110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102394</xdr:colOff>
      <xdr:row>45</xdr:row>
      <xdr:rowOff>0</xdr:rowOff>
    </xdr:from>
    <xdr:to>
      <xdr:col>6</xdr:col>
      <xdr:colOff>468154</xdr:colOff>
      <xdr:row>61</xdr:row>
      <xdr:rowOff>45720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20955</xdr:colOff>
      <xdr:row>44</xdr:row>
      <xdr:rowOff>166212</xdr:rowOff>
    </xdr:from>
    <xdr:to>
      <xdr:col>20</xdr:col>
      <xdr:colOff>156687</xdr:colOff>
      <xdr:row>60</xdr:row>
      <xdr:rowOff>60484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68580</xdr:colOff>
      <xdr:row>7</xdr:row>
      <xdr:rowOff>11430</xdr:rowOff>
    </xdr:from>
    <xdr:to>
      <xdr:col>6</xdr:col>
      <xdr:colOff>525780</xdr:colOff>
      <xdr:row>23</xdr:row>
      <xdr:rowOff>72390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11430</xdr:rowOff>
    </xdr:from>
    <xdr:to>
      <xdr:col>6</xdr:col>
      <xdr:colOff>175260</xdr:colOff>
      <xdr:row>26</xdr:row>
      <xdr:rowOff>72390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13</xdr:row>
      <xdr:rowOff>60960</xdr:rowOff>
    </xdr:from>
    <xdr:to>
      <xdr:col>5</xdr:col>
      <xdr:colOff>476250</xdr:colOff>
      <xdr:row>30</xdr:row>
      <xdr:rowOff>69850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39</xdr:row>
      <xdr:rowOff>118110</xdr:rowOff>
    </xdr:from>
    <xdr:to>
      <xdr:col>7</xdr:col>
      <xdr:colOff>502920</xdr:colOff>
      <xdr:row>56</xdr:row>
      <xdr:rowOff>13970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172720</xdr:colOff>
      <xdr:row>65</xdr:row>
      <xdr:rowOff>59690</xdr:rowOff>
    </xdr:from>
    <xdr:to>
      <xdr:col>7</xdr:col>
      <xdr:colOff>515620</xdr:colOff>
      <xdr:row>81</xdr:row>
      <xdr:rowOff>139700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160020</xdr:colOff>
      <xdr:row>82</xdr:row>
      <xdr:rowOff>138430</xdr:rowOff>
    </xdr:from>
    <xdr:to>
      <xdr:col>7</xdr:col>
      <xdr:colOff>510540</xdr:colOff>
      <xdr:row>99</xdr:row>
      <xdr:rowOff>83820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160020</xdr:colOff>
      <xdr:row>22</xdr:row>
      <xdr:rowOff>34290</xdr:rowOff>
    </xdr:from>
    <xdr:to>
      <xdr:col>7</xdr:col>
      <xdr:colOff>487680</xdr:colOff>
      <xdr:row>38</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9525</xdr:colOff>
      <xdr:row>6</xdr:row>
      <xdr:rowOff>28575</xdr:rowOff>
    </xdr:from>
    <xdr:to>
      <xdr:col>13</xdr:col>
      <xdr:colOff>209550</xdr:colOff>
      <xdr:row>8</xdr:row>
      <xdr:rowOff>125730</xdr:rowOff>
    </xdr:to>
    <xdr:sp macro="" textlink="">
      <xdr:nvSpPr>
        <xdr:cNvPr id="2" name="AutoShape 1"/>
        <xdr:cNvSpPr>
          <a:spLocks/>
        </xdr:cNvSpPr>
      </xdr:nvSpPr>
      <xdr:spPr bwMode="auto">
        <a:xfrm>
          <a:off x="10708005" y="836295"/>
          <a:ext cx="200025" cy="356235"/>
        </a:xfrm>
        <a:prstGeom prst="rightBrace">
          <a:avLst>
            <a:gd name="adj1" fmla="val 16270"/>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tabSelected="1" view="pageLayout" zoomScaleNormal="100" zoomScaleSheetLayoutView="100" workbookViewId="0">
      <selection activeCell="H45" sqref="H45"/>
    </sheetView>
  </sheetViews>
  <sheetFormatPr defaultRowHeight="12.75"/>
  <cols>
    <col min="1" max="1" width="5.140625" customWidth="1"/>
    <col min="2" max="2" width="1.85546875" customWidth="1"/>
    <col min="3" max="3" width="33.28515625" customWidth="1"/>
    <col min="4" max="4" width="3.85546875" customWidth="1"/>
    <col min="5" max="5" width="4.7109375" customWidth="1"/>
    <col min="6" max="6" width="10.42578125" customWidth="1"/>
    <col min="7" max="7" width="12.7109375" customWidth="1"/>
    <col min="8" max="8" width="13.7109375" customWidth="1"/>
    <col min="9" max="9" width="13.42578125" hidden="1" customWidth="1"/>
    <col min="10" max="11" width="5.42578125" customWidth="1"/>
    <col min="13" max="13" width="12.28515625" bestFit="1" customWidth="1"/>
    <col min="15" max="15" width="14.7109375" customWidth="1"/>
    <col min="17" max="17" width="18.28515625" customWidth="1"/>
    <col min="18" max="18" width="5.7109375" customWidth="1"/>
    <col min="19" max="19" width="20.42578125" customWidth="1"/>
  </cols>
  <sheetData>
    <row r="1" spans="1:13" s="205" customFormat="1" ht="15" thickBot="1">
      <c r="A1" s="519" t="s">
        <v>588</v>
      </c>
      <c r="B1" s="520"/>
      <c r="C1" s="520"/>
      <c r="D1" s="520"/>
      <c r="E1" s="520"/>
      <c r="F1" s="520"/>
      <c r="G1" s="520"/>
      <c r="H1" s="520"/>
      <c r="I1" s="521"/>
      <c r="J1" s="454"/>
      <c r="K1" s="454"/>
    </row>
    <row r="2" spans="1:13" s="205" customFormat="1" ht="14.25">
      <c r="A2" s="523" t="s">
        <v>568</v>
      </c>
      <c r="B2" s="523"/>
      <c r="C2" s="523"/>
      <c r="D2" s="523"/>
      <c r="E2" s="523"/>
      <c r="F2" s="523"/>
      <c r="G2" s="523"/>
      <c r="H2" s="523"/>
      <c r="I2" s="523"/>
      <c r="J2" s="454"/>
      <c r="K2" s="454"/>
    </row>
    <row r="3" spans="1:13" s="205" customFormat="1" ht="14.25">
      <c r="A3" s="522" t="s">
        <v>589</v>
      </c>
      <c r="B3" s="522"/>
      <c r="C3" s="522"/>
      <c r="D3" s="522"/>
      <c r="E3" s="522"/>
      <c r="F3" s="522"/>
      <c r="G3" s="522"/>
      <c r="H3" s="522"/>
      <c r="I3" s="522"/>
      <c r="J3" s="455"/>
      <c r="K3" s="455"/>
    </row>
    <row r="4" spans="1:13" s="205" customFormat="1" ht="15">
      <c r="A4" s="524" t="s">
        <v>590</v>
      </c>
      <c r="B4" s="524"/>
      <c r="C4" s="524"/>
      <c r="D4" s="524"/>
      <c r="E4" s="524"/>
      <c r="F4" s="524"/>
      <c r="G4" s="524"/>
      <c r="H4" s="524"/>
      <c r="I4" s="460"/>
      <c r="J4" s="460"/>
      <c r="K4" s="460"/>
    </row>
    <row r="5" spans="1:13" s="205" customFormat="1" ht="6" customHeight="1">
      <c r="A5" s="522"/>
      <c r="B5" s="522"/>
      <c r="C5" s="522"/>
      <c r="D5" s="522"/>
      <c r="E5" s="522"/>
      <c r="F5" s="522"/>
      <c r="G5" s="522"/>
      <c r="H5" s="522"/>
      <c r="I5" s="522"/>
      <c r="J5" s="455"/>
      <c r="K5" s="455"/>
    </row>
    <row r="6" spans="1:13" s="205" customFormat="1" ht="12.75" customHeight="1">
      <c r="A6" s="523" t="s">
        <v>481</v>
      </c>
      <c r="B6" s="523"/>
      <c r="C6" s="523"/>
      <c r="D6" s="523"/>
      <c r="E6" s="523"/>
      <c r="F6" s="523"/>
      <c r="G6" s="523"/>
      <c r="H6" s="523"/>
      <c r="I6" s="523"/>
      <c r="J6" s="454"/>
      <c r="K6" s="454"/>
    </row>
    <row r="7" spans="1:13" s="205" customFormat="1" ht="14.25">
      <c r="A7" s="522" t="s">
        <v>233</v>
      </c>
      <c r="B7" s="522"/>
      <c r="C7" s="522"/>
      <c r="D7" s="522"/>
      <c r="E7" s="522"/>
      <c r="F7" s="522"/>
      <c r="G7" s="522"/>
      <c r="H7" s="522"/>
      <c r="I7" s="522"/>
      <c r="J7" s="455"/>
      <c r="K7" s="455"/>
    </row>
    <row r="8" spans="1:13" ht="6" customHeight="1">
      <c r="A8" s="162"/>
      <c r="B8" s="162"/>
      <c r="C8" s="162"/>
      <c r="D8" s="162"/>
      <c r="E8" s="162"/>
      <c r="F8" s="162"/>
      <c r="G8" s="162"/>
      <c r="H8" s="162"/>
    </row>
    <row r="9" spans="1:13">
      <c r="A9" s="162"/>
      <c r="B9" s="162"/>
      <c r="C9" s="162"/>
      <c r="D9" s="162"/>
      <c r="E9" s="162"/>
      <c r="F9" s="162" t="s">
        <v>234</v>
      </c>
      <c r="G9" s="162" t="s">
        <v>235</v>
      </c>
      <c r="H9" s="162" t="s">
        <v>236</v>
      </c>
      <c r="J9" s="112"/>
      <c r="K9" s="112"/>
      <c r="L9" s="112"/>
      <c r="M9" s="112"/>
    </row>
    <row r="10" spans="1:13">
      <c r="A10" s="162" t="s">
        <v>204</v>
      </c>
      <c r="B10" s="162"/>
      <c r="C10" s="162"/>
      <c r="D10" s="162"/>
      <c r="E10" s="162"/>
      <c r="F10" s="162" t="s">
        <v>237</v>
      </c>
      <c r="G10" s="162" t="s">
        <v>238</v>
      </c>
      <c r="H10" s="388" t="s">
        <v>547</v>
      </c>
      <c r="J10" s="112"/>
      <c r="K10" s="112"/>
      <c r="L10" s="112"/>
      <c r="M10" s="112"/>
    </row>
    <row r="11" spans="1:13" ht="13.5" thickBot="1">
      <c r="A11" s="413" t="s">
        <v>2</v>
      </c>
      <c r="B11" s="165"/>
      <c r="C11" s="413" t="s">
        <v>88</v>
      </c>
      <c r="D11" s="165"/>
      <c r="E11" s="165"/>
      <c r="F11" s="413" t="s">
        <v>239</v>
      </c>
      <c r="G11" s="413" t="s">
        <v>240</v>
      </c>
      <c r="H11" s="413" t="s">
        <v>548</v>
      </c>
      <c r="I11" s="112"/>
      <c r="J11" s="112"/>
      <c r="K11" s="112"/>
      <c r="L11" s="112"/>
      <c r="M11" s="112"/>
    </row>
    <row r="12" spans="1:13" ht="6" customHeight="1">
      <c r="A12" s="194"/>
      <c r="B12" s="194"/>
      <c r="C12" s="194"/>
      <c r="D12" s="194"/>
      <c r="E12" s="194"/>
      <c r="F12" s="194"/>
      <c r="G12" s="194"/>
      <c r="H12" s="194"/>
      <c r="I12" s="112"/>
      <c r="J12" s="112"/>
      <c r="K12" s="112"/>
      <c r="L12" s="112"/>
      <c r="M12" s="112"/>
    </row>
    <row r="13" spans="1:13">
      <c r="A13" s="416">
        <v>1</v>
      </c>
      <c r="B13" s="194"/>
      <c r="C13" s="194" t="s">
        <v>504</v>
      </c>
      <c r="D13" s="194"/>
      <c r="E13" s="194"/>
      <c r="F13" s="200">
        <f>'Attrition 09.2014 to 2016'!T86</f>
        <v>263655</v>
      </c>
      <c r="G13" s="514">
        <f>'Attrition 09.2014 to 2016'!S97</f>
        <v>1.0115657561647069</v>
      </c>
      <c r="H13" s="196">
        <f>F13/G13</f>
        <v>260640.49558145652</v>
      </c>
      <c r="I13" s="112"/>
      <c r="J13" s="112"/>
      <c r="K13" s="112"/>
      <c r="L13" s="112"/>
      <c r="M13" s="112"/>
    </row>
    <row r="14" spans="1:13" ht="6" customHeight="1">
      <c r="A14" s="416"/>
      <c r="B14" s="194"/>
      <c r="C14" s="194"/>
      <c r="D14" s="194"/>
      <c r="E14" s="194"/>
      <c r="F14" s="196"/>
      <c r="G14" s="196"/>
      <c r="H14" s="196"/>
      <c r="I14" s="112"/>
      <c r="J14" s="112"/>
      <c r="K14" s="112"/>
      <c r="L14" s="112"/>
      <c r="M14" s="112"/>
    </row>
    <row r="15" spans="1:13">
      <c r="A15" s="416">
        <v>2</v>
      </c>
      <c r="B15" s="194"/>
      <c r="C15" s="194" t="s">
        <v>505</v>
      </c>
      <c r="D15" s="194"/>
      <c r="E15" s="194"/>
      <c r="F15" s="191"/>
      <c r="G15" s="192"/>
      <c r="H15" s="412">
        <f>ROR!F15</f>
        <v>7.2900000000000006E-2</v>
      </c>
      <c r="I15" s="412">
        <f>ROR!G15</f>
        <v>0</v>
      </c>
      <c r="J15" s="112"/>
      <c r="K15" s="112"/>
      <c r="L15" s="112"/>
      <c r="M15" s="112"/>
    </row>
    <row r="16" spans="1:13" ht="6" customHeight="1">
      <c r="A16" s="416"/>
      <c r="B16" s="194"/>
      <c r="C16" s="194"/>
      <c r="D16" s="194"/>
      <c r="E16" s="194"/>
      <c r="F16" s="192"/>
      <c r="G16" s="192"/>
      <c r="H16" s="192"/>
      <c r="I16" s="112"/>
      <c r="J16" s="112"/>
      <c r="K16" s="112"/>
      <c r="L16" s="112"/>
      <c r="M16" s="112"/>
    </row>
    <row r="17" spans="1:19">
      <c r="A17" s="416">
        <v>3</v>
      </c>
      <c r="B17" s="194"/>
      <c r="C17" s="194" t="s">
        <v>126</v>
      </c>
      <c r="D17" s="194"/>
      <c r="E17" s="194"/>
      <c r="F17" s="449"/>
      <c r="G17" s="196"/>
      <c r="H17" s="449">
        <f>ROUND(H13*H15,0)</f>
        <v>19001</v>
      </c>
      <c r="I17" s="449">
        <f t="shared" ref="I17" si="0">ROUND(I13*I15,0)</f>
        <v>0</v>
      </c>
      <c r="J17" s="112"/>
      <c r="K17" s="112"/>
      <c r="L17" s="112"/>
      <c r="M17" s="112"/>
    </row>
    <row r="18" spans="1:19" ht="6" customHeight="1">
      <c r="A18" s="416"/>
      <c r="B18" s="194"/>
      <c r="C18" s="194"/>
      <c r="D18" s="194"/>
      <c r="E18" s="194"/>
      <c r="F18" s="196"/>
      <c r="G18" s="196"/>
      <c r="H18" s="196"/>
      <c r="I18" s="112"/>
      <c r="J18" s="112"/>
      <c r="K18" s="112"/>
      <c r="L18" s="112"/>
      <c r="M18" s="112"/>
    </row>
    <row r="19" spans="1:19">
      <c r="A19" s="416">
        <v>4</v>
      </c>
      <c r="B19" s="194"/>
      <c r="C19" s="194" t="s">
        <v>538</v>
      </c>
      <c r="D19" s="194"/>
      <c r="E19" s="194"/>
      <c r="F19" s="450">
        <f>'Attrition 09.2014 to 2016'!T65</f>
        <v>14367.468137817912</v>
      </c>
      <c r="G19" s="346">
        <f>G13</f>
        <v>1.0115657561647069</v>
      </c>
      <c r="H19" s="193">
        <f>F19/G19</f>
        <v>14203.197419702439</v>
      </c>
      <c r="I19" s="112"/>
      <c r="J19" s="112"/>
      <c r="K19" s="112"/>
      <c r="L19" s="112"/>
      <c r="M19" s="112"/>
    </row>
    <row r="20" spans="1:19" ht="6" customHeight="1">
      <c r="A20" s="416"/>
      <c r="B20" s="194"/>
      <c r="C20" s="194"/>
      <c r="D20" s="194"/>
      <c r="E20" s="194"/>
      <c r="F20" s="200"/>
      <c r="G20" s="346"/>
      <c r="H20" s="196"/>
      <c r="I20" s="112"/>
      <c r="J20" s="112"/>
      <c r="K20" s="112"/>
      <c r="L20" s="112"/>
      <c r="M20" s="112"/>
    </row>
    <row r="21" spans="1:19">
      <c r="A21" s="416">
        <v>5</v>
      </c>
      <c r="B21" s="410"/>
      <c r="C21" s="194" t="s">
        <v>539</v>
      </c>
      <c r="D21" s="112"/>
      <c r="E21" s="112"/>
      <c r="F21" s="112"/>
      <c r="G21" s="112"/>
      <c r="H21" s="451">
        <f>H19/H13</f>
        <v>5.4493440814010398E-2</v>
      </c>
      <c r="I21" s="451" t="e">
        <f t="shared" ref="I21" si="1">I19/I13</f>
        <v>#DIV/0!</v>
      </c>
      <c r="J21" s="112"/>
      <c r="K21" s="112"/>
      <c r="L21" s="112"/>
      <c r="M21" s="112"/>
    </row>
    <row r="22" spans="1:19" ht="6" customHeight="1">
      <c r="A22" s="416"/>
      <c r="B22" s="194"/>
      <c r="C22" s="194"/>
      <c r="D22" s="194"/>
      <c r="E22" s="194"/>
      <c r="F22" s="194"/>
      <c r="G22" s="194"/>
      <c r="H22" s="194"/>
      <c r="I22" s="112"/>
      <c r="J22" s="112"/>
      <c r="K22" s="112"/>
      <c r="L22" s="112"/>
      <c r="M22" s="112"/>
    </row>
    <row r="23" spans="1:19">
      <c r="A23" s="416">
        <v>6</v>
      </c>
      <c r="B23" s="194"/>
      <c r="C23" s="194" t="s">
        <v>540</v>
      </c>
      <c r="D23" s="194"/>
      <c r="E23" s="194"/>
      <c r="F23" s="196"/>
      <c r="G23" s="196"/>
      <c r="H23" s="196">
        <f>H17-H19</f>
        <v>4797.8025802975608</v>
      </c>
      <c r="I23" s="196">
        <f t="shared" ref="I23" si="2">I17-I19</f>
        <v>0</v>
      </c>
      <c r="J23" s="414"/>
      <c r="K23" s="414"/>
      <c r="L23" s="112"/>
      <c r="M23" s="112"/>
    </row>
    <row r="24" spans="1:19" ht="6" customHeight="1">
      <c r="A24" s="416"/>
      <c r="B24" s="194"/>
      <c r="C24" s="194"/>
      <c r="D24" s="194"/>
      <c r="E24" s="194"/>
      <c r="F24" s="194"/>
      <c r="G24" s="194"/>
      <c r="H24" s="194"/>
      <c r="I24" s="112"/>
      <c r="J24" s="112"/>
      <c r="K24" s="112"/>
      <c r="L24" s="112"/>
      <c r="M24" s="112"/>
    </row>
    <row r="25" spans="1:19">
      <c r="A25" s="416">
        <v>7</v>
      </c>
      <c r="B25" s="194"/>
      <c r="C25" s="194" t="s">
        <v>503</v>
      </c>
      <c r="D25" s="194"/>
      <c r="E25" s="194"/>
      <c r="F25" s="411"/>
      <c r="G25" s="194"/>
      <c r="H25" s="411">
        <f>'Attrition 09.2014 to 2016'!S95</f>
        <v>0.62031999999999998</v>
      </c>
      <c r="I25" s="112"/>
      <c r="J25" s="112"/>
      <c r="K25" s="112"/>
      <c r="L25" s="112"/>
      <c r="M25" s="112"/>
      <c r="O25" s="458"/>
      <c r="P25" s="112"/>
      <c r="Q25" s="458"/>
      <c r="R25" s="112"/>
      <c r="S25" s="458"/>
    </row>
    <row r="26" spans="1:19" ht="6" customHeight="1" thickBot="1">
      <c r="A26" s="416"/>
      <c r="B26" s="194"/>
      <c r="C26" s="194"/>
      <c r="D26" s="194"/>
      <c r="E26" s="194"/>
      <c r="F26" s="194"/>
      <c r="G26" s="194"/>
      <c r="H26" s="194"/>
      <c r="I26" s="112"/>
      <c r="J26" s="112"/>
      <c r="K26" s="112"/>
      <c r="L26" s="112"/>
      <c r="M26" s="112"/>
    </row>
    <row r="27" spans="1:19" ht="13.5" thickBot="1">
      <c r="A27" s="416">
        <v>8</v>
      </c>
      <c r="B27" s="194"/>
      <c r="C27" s="194" t="s">
        <v>541</v>
      </c>
      <c r="D27" s="194"/>
      <c r="E27" s="194"/>
      <c r="F27" s="195"/>
      <c r="G27" s="196"/>
      <c r="H27" s="449">
        <f>ROUND(H23/H25,0)</f>
        <v>7734</v>
      </c>
      <c r="I27" s="470" t="e">
        <f t="shared" ref="I27" si="3">ROUND(I23/I25,0)</f>
        <v>#DIV/0!</v>
      </c>
      <c r="J27" s="415"/>
      <c r="K27" s="415"/>
      <c r="L27" s="112"/>
      <c r="M27" s="456"/>
      <c r="O27" s="457"/>
      <c r="Q27" s="457"/>
      <c r="S27" s="457"/>
    </row>
    <row r="28" spans="1:19" ht="6" customHeight="1">
      <c r="A28" s="416"/>
      <c r="B28" s="194"/>
      <c r="C28" s="194"/>
      <c r="D28" s="194"/>
      <c r="E28" s="194"/>
      <c r="F28" s="195"/>
      <c r="G28" s="196"/>
      <c r="H28" s="195"/>
      <c r="I28" s="112"/>
      <c r="J28" s="112"/>
      <c r="K28" s="112"/>
      <c r="L28" s="112"/>
      <c r="M28" s="112"/>
    </row>
    <row r="29" spans="1:19">
      <c r="A29" s="416">
        <v>9</v>
      </c>
      <c r="B29" s="410"/>
      <c r="C29" s="194" t="s">
        <v>542</v>
      </c>
      <c r="D29" s="194"/>
      <c r="E29" s="194"/>
      <c r="F29" s="196"/>
      <c r="G29" s="196"/>
      <c r="H29" s="200">
        <f>'Attrition 09.2014 to 2016'!M12+'Attrition 09.2014 to 2016'!M13+'Attrition 09.2014 to 2016'!O15</f>
        <v>170914</v>
      </c>
      <c r="I29" s="196"/>
      <c r="J29" s="417"/>
      <c r="K29" s="417"/>
      <c r="L29" s="112"/>
      <c r="M29" s="456"/>
      <c r="O29" s="457"/>
      <c r="Q29" s="457"/>
      <c r="S29" s="457"/>
    </row>
    <row r="30" spans="1:19" ht="6" customHeight="1">
      <c r="A30" s="416"/>
      <c r="B30" s="410"/>
      <c r="C30" s="194"/>
      <c r="D30" s="194"/>
      <c r="E30" s="194"/>
      <c r="F30" s="194"/>
      <c r="G30" s="194"/>
      <c r="H30" s="194"/>
      <c r="I30" s="112"/>
      <c r="J30" s="112"/>
      <c r="K30" s="112"/>
      <c r="L30" s="112"/>
      <c r="M30" s="112"/>
    </row>
    <row r="31" spans="1:19">
      <c r="A31" s="416">
        <v>10</v>
      </c>
      <c r="B31" s="410"/>
      <c r="C31" s="448" t="s">
        <v>543</v>
      </c>
      <c r="D31" s="112"/>
      <c r="E31" s="112"/>
      <c r="F31" s="112"/>
      <c r="G31" s="112"/>
      <c r="H31" s="473">
        <f>H29+H27</f>
        <v>178648</v>
      </c>
      <c r="I31" s="471" t="e">
        <f t="shared" ref="I31" si="4">I29+I27</f>
        <v>#DIV/0!</v>
      </c>
      <c r="J31" s="414"/>
      <c r="K31" s="414"/>
      <c r="L31" s="112"/>
      <c r="M31" s="456"/>
      <c r="O31" s="457"/>
      <c r="Q31" s="457"/>
      <c r="S31" s="457"/>
    </row>
    <row r="32" spans="1:19" ht="6" customHeight="1" thickBot="1">
      <c r="A32" s="199"/>
      <c r="B32" s="199"/>
      <c r="C32" s="199"/>
      <c r="D32" s="199"/>
      <c r="E32" s="199"/>
      <c r="F32" s="199"/>
      <c r="G32" s="199"/>
      <c r="H32" s="199"/>
      <c r="I32" s="112"/>
      <c r="J32" s="112"/>
      <c r="K32" s="112"/>
      <c r="L32" s="112"/>
      <c r="M32" s="112"/>
    </row>
    <row r="33" spans="1:19" ht="13.5" thickBot="1">
      <c r="A33" s="474">
        <v>11</v>
      </c>
      <c r="B33" s="475"/>
      <c r="C33" s="249" t="s">
        <v>544</v>
      </c>
      <c r="D33" s="249"/>
      <c r="E33" s="249"/>
      <c r="F33" s="476"/>
      <c r="G33" s="412"/>
      <c r="H33" s="477">
        <f>H27/H29</f>
        <v>4.5250827901751757E-2</v>
      </c>
      <c r="I33" s="472" t="e">
        <f t="shared" ref="I33" si="5">I27/I29</f>
        <v>#DIV/0!</v>
      </c>
      <c r="J33" s="112"/>
      <c r="K33" s="112"/>
      <c r="L33" s="112"/>
      <c r="M33" s="458"/>
      <c r="O33" s="459"/>
      <c r="Q33" s="459"/>
      <c r="S33" s="459"/>
    </row>
    <row r="34" spans="1:19" ht="6" customHeight="1">
      <c r="A34" s="168"/>
      <c r="B34" s="197"/>
      <c r="C34" s="156"/>
      <c r="D34" s="156"/>
      <c r="E34" s="156"/>
      <c r="F34" s="198"/>
      <c r="G34" s="191"/>
      <c r="H34" s="353"/>
      <c r="J34" s="112"/>
      <c r="K34" s="112"/>
      <c r="L34" s="112"/>
      <c r="M34" s="112"/>
    </row>
    <row r="35" spans="1:19" ht="14.25">
      <c r="A35" s="516" t="s">
        <v>579</v>
      </c>
      <c r="B35" s="517"/>
      <c r="C35" s="517"/>
      <c r="D35" s="517"/>
      <c r="E35" s="517"/>
      <c r="F35" s="517"/>
      <c r="G35" s="517"/>
      <c r="H35" s="518"/>
      <c r="J35" s="112"/>
      <c r="K35" s="112"/>
      <c r="L35" s="112"/>
      <c r="M35" s="112"/>
    </row>
    <row r="36" spans="1:19" ht="6" customHeight="1">
      <c r="G36" s="112"/>
      <c r="J36" s="112"/>
      <c r="K36" s="112"/>
      <c r="L36" s="112"/>
      <c r="M36" s="112"/>
    </row>
    <row r="37" spans="1:19">
      <c r="A37" s="478">
        <v>12</v>
      </c>
      <c r="B37" s="151"/>
      <c r="C37" s="479" t="s">
        <v>585</v>
      </c>
      <c r="D37" s="151"/>
      <c r="E37" s="151"/>
      <c r="F37" s="151"/>
      <c r="G37" s="151"/>
      <c r="H37" s="473">
        <f>6183-2208</f>
        <v>3975</v>
      </c>
    </row>
    <row r="38" spans="1:19" ht="6" customHeight="1">
      <c r="A38" s="478"/>
      <c r="B38" s="151"/>
      <c r="C38" s="479"/>
      <c r="D38" s="151"/>
      <c r="E38" s="151"/>
      <c r="F38" s="151"/>
      <c r="G38" s="151"/>
    </row>
    <row r="39" spans="1:19">
      <c r="A39" s="478">
        <v>13</v>
      </c>
      <c r="B39" s="151"/>
      <c r="C39" s="194" t="s">
        <v>580</v>
      </c>
      <c r="D39" s="151"/>
      <c r="E39" s="151"/>
      <c r="F39" s="151"/>
      <c r="G39" s="151"/>
      <c r="H39" s="473">
        <f>H31-H29</f>
        <v>7734</v>
      </c>
    </row>
    <row r="40" spans="1:19" ht="6" customHeight="1" thickBot="1">
      <c r="A40" s="151"/>
      <c r="B40" s="480"/>
      <c r="C40" s="481"/>
      <c r="D40" s="481"/>
      <c r="E40" s="481"/>
      <c r="F40" s="481"/>
      <c r="G40" s="481"/>
    </row>
    <row r="41" spans="1:19" ht="13.5" thickBot="1">
      <c r="A41" s="478">
        <v>14</v>
      </c>
      <c r="C41" s="194" t="s">
        <v>581</v>
      </c>
      <c r="H41" s="515">
        <f>H39-H37</f>
        <v>3759</v>
      </c>
    </row>
    <row r="42" spans="1:19" ht="6" customHeight="1"/>
    <row r="43" spans="1:19">
      <c r="A43" s="478">
        <v>15</v>
      </c>
      <c r="C43" s="194" t="s">
        <v>582</v>
      </c>
      <c r="H43" s="473">
        <v>6849</v>
      </c>
    </row>
    <row r="44" spans="1:19" ht="6" customHeight="1" thickBot="1"/>
    <row r="45" spans="1:19" ht="13.5" thickBot="1">
      <c r="A45" s="482">
        <v>16</v>
      </c>
      <c r="B45" s="87"/>
      <c r="C45" s="249" t="s">
        <v>583</v>
      </c>
      <c r="D45" s="87"/>
      <c r="E45" s="87"/>
      <c r="F45" s="87"/>
      <c r="G45" s="483" t="s">
        <v>584</v>
      </c>
      <c r="H45" s="515">
        <f>H43-H41</f>
        <v>3090</v>
      </c>
    </row>
    <row r="46" spans="1:19" ht="6" customHeight="1"/>
    <row r="47" spans="1:19">
      <c r="G47" s="194" t="s">
        <v>586</v>
      </c>
      <c r="H47" s="484">
        <f>(339/366)*H45</f>
        <v>2862.0491803278687</v>
      </c>
    </row>
    <row r="48" spans="1:19" ht="6" customHeight="1"/>
    <row r="49" spans="7:8">
      <c r="G49" s="194" t="s">
        <v>587</v>
      </c>
      <c r="H49" s="484">
        <f>2.3*H45</f>
        <v>7106.9999999999991</v>
      </c>
    </row>
  </sheetData>
  <mergeCells count="8">
    <mergeCell ref="A35:H35"/>
    <mergeCell ref="A1:I1"/>
    <mergeCell ref="A3:I3"/>
    <mergeCell ref="A5:I5"/>
    <mergeCell ref="A6:I6"/>
    <mergeCell ref="A7:I7"/>
    <mergeCell ref="A2:I2"/>
    <mergeCell ref="A4:H4"/>
  </mergeCells>
  <pageMargins left="1.2" right="0.7" top="0.75" bottom="0.75" header="0.3" footer="0.3"/>
  <pageSetup orientation="portrait" r:id="rId1"/>
  <headerFooter scaleWithDoc="0">
    <oddHeader>&amp;RExh. CRM-9
Dockets UE-150204/UG-150205</oddHeader>
    <oddFooter>&amp;RPage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7"/>
  <sheetViews>
    <sheetView view="pageLayout" zoomScaleNormal="100" zoomScaleSheetLayoutView="85" workbookViewId="0">
      <selection activeCell="M5" sqref="M5"/>
    </sheetView>
  </sheetViews>
  <sheetFormatPr defaultRowHeight="12.75"/>
  <cols>
    <col min="1" max="1" width="7.140625" customWidth="1"/>
    <col min="2" max="2" width="16.42578125" bestFit="1" customWidth="1"/>
    <col min="3" max="3" width="9.28515625" bestFit="1" customWidth="1"/>
    <col min="4" max="4" width="12.5703125" customWidth="1"/>
    <col min="5" max="5" width="12.140625" style="128" customWidth="1"/>
    <col min="6" max="6" width="11.85546875" style="128" customWidth="1"/>
    <col min="7" max="7" width="11.28515625" bestFit="1" customWidth="1"/>
    <col min="8" max="8" width="13.28515625" style="128" customWidth="1"/>
    <col min="9" max="9" width="11.85546875" bestFit="1" customWidth="1"/>
    <col min="10" max="10" width="9.5703125" customWidth="1"/>
    <col min="11" max="11" width="1.42578125" customWidth="1"/>
    <col min="12" max="12" width="12.7109375" bestFit="1" customWidth="1"/>
    <col min="13" max="13" width="10.5703125" customWidth="1"/>
    <col min="14" max="14" width="8.85546875" customWidth="1"/>
  </cols>
  <sheetData>
    <row r="1" spans="1:13" ht="13.5" thickBot="1">
      <c r="A1" s="156" t="s">
        <v>43</v>
      </c>
      <c r="H1" s="405" t="s">
        <v>563</v>
      </c>
      <c r="I1" s="431" t="s">
        <v>564</v>
      </c>
    </row>
    <row r="2" spans="1:13" ht="13.5" thickBot="1">
      <c r="A2" s="156" t="s">
        <v>84</v>
      </c>
      <c r="H2" s="404" t="s">
        <v>562</v>
      </c>
      <c r="I2" s="432" t="s">
        <v>564</v>
      </c>
    </row>
    <row r="3" spans="1:13">
      <c r="A3" s="583" t="s">
        <v>85</v>
      </c>
      <c r="B3" s="583"/>
      <c r="C3" s="583"/>
      <c r="D3" s="583"/>
      <c r="E3" s="583"/>
      <c r="F3" s="583"/>
      <c r="G3" s="583"/>
      <c r="H3" s="583"/>
      <c r="I3" s="583"/>
      <c r="J3" s="583"/>
    </row>
    <row r="4" spans="1:13">
      <c r="A4" s="583" t="s">
        <v>422</v>
      </c>
      <c r="B4" s="583"/>
      <c r="C4" s="583"/>
      <c r="D4" s="583"/>
      <c r="E4" s="583"/>
      <c r="F4" s="583"/>
      <c r="G4" s="583"/>
      <c r="H4" s="583"/>
      <c r="I4" s="583"/>
      <c r="J4" s="583"/>
    </row>
    <row r="6" spans="1:13">
      <c r="E6" s="313" t="s">
        <v>100</v>
      </c>
      <c r="F6" s="130"/>
      <c r="G6" s="41" t="s">
        <v>97</v>
      </c>
    </row>
    <row r="7" spans="1:13">
      <c r="A7" s="40" t="s">
        <v>0</v>
      </c>
      <c r="D7" s="41" t="s">
        <v>97</v>
      </c>
      <c r="E7" s="313" t="s">
        <v>101</v>
      </c>
      <c r="F7" s="313" t="s">
        <v>102</v>
      </c>
      <c r="G7" s="41" t="s">
        <v>98</v>
      </c>
      <c r="H7" s="313" t="s">
        <v>100</v>
      </c>
      <c r="J7" s="41" t="s">
        <v>108</v>
      </c>
      <c r="K7" s="41"/>
    </row>
    <row r="8" spans="1:13">
      <c r="A8" s="43" t="s">
        <v>2</v>
      </c>
      <c r="B8" s="69" t="s">
        <v>88</v>
      </c>
      <c r="C8" s="69" t="s">
        <v>89</v>
      </c>
      <c r="D8" s="43" t="s">
        <v>98</v>
      </c>
      <c r="E8" s="314" t="s">
        <v>423</v>
      </c>
      <c r="F8" s="131">
        <v>2016</v>
      </c>
      <c r="G8" s="43" t="s">
        <v>103</v>
      </c>
      <c r="H8" s="319" t="s">
        <v>423</v>
      </c>
      <c r="I8" s="43" t="s">
        <v>107</v>
      </c>
      <c r="J8" s="43" t="s">
        <v>103</v>
      </c>
      <c r="K8" s="43"/>
    </row>
    <row r="9" spans="1:13">
      <c r="A9" s="43"/>
      <c r="B9" s="41" t="s">
        <v>109</v>
      </c>
      <c r="C9" s="41" t="s">
        <v>110</v>
      </c>
      <c r="D9" s="41" t="s">
        <v>111</v>
      </c>
      <c r="E9" s="313" t="s">
        <v>112</v>
      </c>
      <c r="F9" s="313" t="s">
        <v>113</v>
      </c>
      <c r="G9" s="41" t="s">
        <v>114</v>
      </c>
      <c r="H9" s="313" t="s">
        <v>115</v>
      </c>
      <c r="I9" s="41" t="s">
        <v>116</v>
      </c>
      <c r="J9" s="41" t="s">
        <v>117</v>
      </c>
      <c r="K9" s="41"/>
      <c r="M9" s="584" t="s">
        <v>448</v>
      </c>
    </row>
    <row r="10" spans="1:13">
      <c r="A10" s="43"/>
      <c r="B10" s="69"/>
      <c r="C10" s="69"/>
      <c r="D10" s="43"/>
      <c r="E10" s="131"/>
      <c r="F10" s="131"/>
      <c r="G10" s="43"/>
      <c r="M10" s="584"/>
    </row>
    <row r="11" spans="1:13">
      <c r="A11" s="40">
        <v>1</v>
      </c>
      <c r="B11" t="s">
        <v>86</v>
      </c>
      <c r="C11" s="40">
        <v>101</v>
      </c>
      <c r="D11" s="70" t="s">
        <v>104</v>
      </c>
      <c r="E11" s="124">
        <f>'09.2014 Revenue Model'!D25</f>
        <v>1787943</v>
      </c>
      <c r="F11" s="124">
        <f>'Forecast Bill Determinants'!F35</f>
        <v>1828181.5921</v>
      </c>
      <c r="G11" s="97">
        <f>(F11-E11)/E11</f>
        <v>2.250552288300019E-2</v>
      </c>
      <c r="H11" s="125">
        <f>'09.2014 Revenue Model'!D106</f>
        <v>16091487</v>
      </c>
      <c r="I11" s="97">
        <f>H11/H$19</f>
        <v>9.6511882351302022E-2</v>
      </c>
      <c r="J11" s="97">
        <f>G11*I11</f>
        <v>2.1720503767386498E-3</v>
      </c>
      <c r="K11" s="97"/>
      <c r="L11" s="327">
        <f>H$19*J11</f>
        <v>362147.32890000008</v>
      </c>
      <c r="M11" s="327">
        <f>L11</f>
        <v>362147.32890000008</v>
      </c>
    </row>
    <row r="12" spans="1:13">
      <c r="A12" s="40">
        <v>2</v>
      </c>
      <c r="B12" t="s">
        <v>87</v>
      </c>
      <c r="C12" s="41" t="s">
        <v>91</v>
      </c>
      <c r="D12" s="70" t="s">
        <v>104</v>
      </c>
      <c r="E12" s="124">
        <f>'09.2014 Revenue Model'!E26</f>
        <v>30696.999999999956</v>
      </c>
      <c r="F12" s="124">
        <f>'Forecast Bill Determinants'!F36</f>
        <v>31373.728499999997</v>
      </c>
      <c r="G12" s="97">
        <f t="shared" ref="G12:G22" si="0">(F12-E12)/E12</f>
        <v>2.2045427891977786E-2</v>
      </c>
      <c r="H12" s="125">
        <f>'09.2014 Revenue Model'!E107</f>
        <v>2671866.8799999962</v>
      </c>
      <c r="I12" s="97">
        <f t="shared" ref="I12:I18" si="1">H12/H$19</f>
        <v>1.602505113299349E-2</v>
      </c>
      <c r="J12" s="97">
        <f t="shared" ref="J12:J24" si="2">G12*I12</f>
        <v>3.5327910921766488E-4</v>
      </c>
      <c r="K12" s="97"/>
      <c r="L12" s="327">
        <f t="shared" ref="L12:L18" si="3">H$19*J12</f>
        <v>58902.448640003575</v>
      </c>
      <c r="M12" s="327">
        <f>L12</f>
        <v>58902.448640003575</v>
      </c>
    </row>
    <row r="13" spans="1:13">
      <c r="A13" s="40">
        <v>3</v>
      </c>
      <c r="B13" s="70" t="s">
        <v>90</v>
      </c>
      <c r="C13" s="41" t="s">
        <v>92</v>
      </c>
      <c r="D13" s="70" t="s">
        <v>104</v>
      </c>
      <c r="E13" s="124">
        <f>'09.2014 Revenue Model'!F26</f>
        <v>336</v>
      </c>
      <c r="F13" s="124">
        <f>'Forecast Bill Determinants'!F37</f>
        <v>338.77711400111377</v>
      </c>
      <c r="G13" s="97">
        <f t="shared" si="0"/>
        <v>8.2652202414100397E-3</v>
      </c>
      <c r="H13" s="125">
        <f>'09.2014 Revenue Model'!F107</f>
        <v>72320.639999999999</v>
      </c>
      <c r="I13" s="97">
        <f t="shared" si="1"/>
        <v>4.3375737116469512E-4</v>
      </c>
      <c r="J13" s="97">
        <f t="shared" si="2"/>
        <v>3.5851002040112457E-6</v>
      </c>
      <c r="K13" s="97"/>
      <c r="L13" s="327">
        <f t="shared" si="3"/>
        <v>597.74601759972859</v>
      </c>
      <c r="M13" s="327">
        <f>L13</f>
        <v>597.74601759972859</v>
      </c>
    </row>
    <row r="14" spans="1:13" ht="13.5" thickBot="1">
      <c r="A14" s="40">
        <v>4</v>
      </c>
      <c r="B14" s="70" t="s">
        <v>93</v>
      </c>
      <c r="C14" s="41" t="s">
        <v>94</v>
      </c>
      <c r="D14" s="70" t="s">
        <v>104</v>
      </c>
      <c r="E14" s="124">
        <f>'09.2014 Revenue Model'!G25</f>
        <v>24</v>
      </c>
      <c r="F14" s="124">
        <f>'Forecast Bill Determinants'!F38</f>
        <v>24</v>
      </c>
      <c r="G14" s="97">
        <f t="shared" si="0"/>
        <v>0</v>
      </c>
      <c r="H14" s="125">
        <f>'09.2014 Revenue Model'!G106+'09.2014 Revenue Model'!G107</f>
        <v>0</v>
      </c>
      <c r="I14" s="97">
        <f t="shared" si="1"/>
        <v>0</v>
      </c>
      <c r="J14" s="97">
        <f t="shared" si="2"/>
        <v>0</v>
      </c>
      <c r="K14" s="97"/>
      <c r="L14" s="327">
        <f t="shared" si="3"/>
        <v>0</v>
      </c>
      <c r="M14" s="327">
        <f>L14</f>
        <v>0</v>
      </c>
    </row>
    <row r="15" spans="1:13">
      <c r="A15" s="40">
        <v>5</v>
      </c>
      <c r="B15" t="s">
        <v>86</v>
      </c>
      <c r="C15" s="40">
        <v>101</v>
      </c>
      <c r="D15" s="70" t="s">
        <v>99</v>
      </c>
      <c r="E15" s="315">
        <f>'09.2014 Revenue Model'!D23</f>
        <v>120721607</v>
      </c>
      <c r="F15" s="433">
        <f>E15+L28</f>
        <v>121783957.1416</v>
      </c>
      <c r="G15" s="428">
        <f>(1.76%)/2</f>
        <v>8.8000000000000005E-3</v>
      </c>
      <c r="H15" s="125">
        <f>H27-H11</f>
        <v>107498749.48</v>
      </c>
      <c r="I15" s="97">
        <f t="shared" si="1"/>
        <v>0.64474505449532715</v>
      </c>
      <c r="J15" s="97">
        <f>G15*I15</f>
        <v>5.673756479558879E-3</v>
      </c>
      <c r="K15" s="97"/>
      <c r="L15" s="327">
        <f t="shared" si="3"/>
        <v>945988.99542399996</v>
      </c>
      <c r="M15" s="327">
        <f>L15-I37</f>
        <v>411340.03966096905</v>
      </c>
    </row>
    <row r="16" spans="1:13">
      <c r="A16" s="40">
        <v>6</v>
      </c>
      <c r="B16" t="s">
        <v>87</v>
      </c>
      <c r="C16" s="41" t="s">
        <v>91</v>
      </c>
      <c r="D16" s="70" t="s">
        <v>99</v>
      </c>
      <c r="E16" s="316">
        <f>'09.2014 Revenue Model'!E23</f>
        <v>47537282</v>
      </c>
      <c r="F16" s="434">
        <f>E16+L29</f>
        <v>48026916.004600003</v>
      </c>
      <c r="G16" s="429">
        <f>AVERAGE(0.18%,1.88%)</f>
        <v>1.0299999999999998E-2</v>
      </c>
      <c r="H16" s="125">
        <f>H28-H12</f>
        <v>35598366.25</v>
      </c>
      <c r="I16" s="97">
        <f t="shared" si="1"/>
        <v>0.21350825659670608</v>
      </c>
      <c r="J16" s="97">
        <f>G16*I16</f>
        <v>2.1991350429460721E-3</v>
      </c>
      <c r="K16" s="97"/>
      <c r="L16" s="327">
        <f t="shared" si="3"/>
        <v>366663.17237499991</v>
      </c>
      <c r="M16" s="327">
        <f>L16-I38</f>
        <v>121336.95071021421</v>
      </c>
    </row>
    <row r="17" spans="1:13" ht="13.5" thickBot="1">
      <c r="A17" s="40">
        <v>7</v>
      </c>
      <c r="B17" s="70" t="s">
        <v>90</v>
      </c>
      <c r="C17" s="41" t="s">
        <v>92</v>
      </c>
      <c r="D17" s="70" t="s">
        <v>99</v>
      </c>
      <c r="E17" s="316">
        <f>'09.2014 Revenue Model'!F23</f>
        <v>5735037</v>
      </c>
      <c r="F17" s="435">
        <f>E17+L30</f>
        <v>5958416.6911500003</v>
      </c>
      <c r="G17" s="430">
        <f>AVERAGE(3.57%,4.22%)</f>
        <v>3.8949999999999999E-2</v>
      </c>
      <c r="H17" s="125">
        <f>H29-H13</f>
        <v>4064021.01</v>
      </c>
      <c r="I17" s="97">
        <f t="shared" si="1"/>
        <v>2.4374771429783934E-2</v>
      </c>
      <c r="J17" s="97">
        <f>G17*I17</f>
        <v>9.4939734719008424E-4</v>
      </c>
      <c r="K17" s="97"/>
      <c r="L17" s="327">
        <f t="shared" si="3"/>
        <v>158293.61833950001</v>
      </c>
      <c r="M17" s="327">
        <f>L17-I39</f>
        <v>50445.903452279861</v>
      </c>
    </row>
    <row r="18" spans="1:13" ht="13.5" thickBot="1">
      <c r="A18" s="40">
        <v>8</v>
      </c>
      <c r="B18" s="70" t="s">
        <v>93</v>
      </c>
      <c r="C18" s="41" t="s">
        <v>94</v>
      </c>
      <c r="D18" s="70" t="s">
        <v>99</v>
      </c>
      <c r="E18" s="317">
        <f>'09.2014 Revenue Model'!G23</f>
        <v>1115704</v>
      </c>
      <c r="F18" s="323">
        <f>'Forecast Bill Determinants'!D8</f>
        <v>1252782.6386017113</v>
      </c>
      <c r="G18" s="97">
        <f>(F18-E18)/E18</f>
        <v>0.12286290862245833</v>
      </c>
      <c r="H18" s="125">
        <f>H30-H14</f>
        <v>733819.29</v>
      </c>
      <c r="I18" s="126">
        <f t="shared" si="1"/>
        <v>4.4012266227226845E-3</v>
      </c>
      <c r="J18" s="127">
        <f>G18*I18</f>
        <v>5.40747504374308E-4</v>
      </c>
      <c r="K18" s="127"/>
      <c r="L18" s="327">
        <f t="shared" si="3"/>
        <v>90159.17237266725</v>
      </c>
      <c r="M18" s="327">
        <f>L18-I40</f>
        <v>27797.987313590747</v>
      </c>
    </row>
    <row r="19" spans="1:13" ht="14.25" thickTop="1" thickBot="1">
      <c r="A19" s="40">
        <v>9</v>
      </c>
      <c r="B19" s="70" t="s">
        <v>106</v>
      </c>
      <c r="C19" s="41"/>
      <c r="D19" s="70"/>
      <c r="E19" s="317">
        <f>SUM(E15:E18)</f>
        <v>175109630</v>
      </c>
      <c r="F19" s="323">
        <f>SUM(F15:F18)</f>
        <v>177022072.47595173</v>
      </c>
      <c r="G19" s="97"/>
      <c r="H19" s="320">
        <f>SUM(H11:H18)</f>
        <v>166730630.54999998</v>
      </c>
      <c r="I19" s="97">
        <f>SUM(I11:I18)</f>
        <v>1</v>
      </c>
      <c r="J19" s="426">
        <f>SUM(J11:J18)</f>
        <v>1.1891950960229668E-2</v>
      </c>
      <c r="K19" s="127"/>
      <c r="L19" s="328">
        <f>SUM(L11:L18)</f>
        <v>1982752.4820687706</v>
      </c>
      <c r="M19" s="328">
        <f>SUM(M11:M18)</f>
        <v>1032568.4046946572</v>
      </c>
    </row>
    <row r="20" spans="1:13" ht="13.5" thickTop="1">
      <c r="A20" s="40"/>
      <c r="B20" s="70"/>
      <c r="C20" s="41"/>
      <c r="D20" s="70"/>
      <c r="E20" s="124"/>
      <c r="F20" s="124"/>
      <c r="G20" s="97"/>
      <c r="H20" s="125"/>
      <c r="I20" s="97"/>
      <c r="J20" s="97"/>
      <c r="K20" s="97"/>
    </row>
    <row r="21" spans="1:13">
      <c r="A21" s="40">
        <v>10</v>
      </c>
      <c r="B21" s="70" t="s">
        <v>95</v>
      </c>
      <c r="C21" s="40">
        <v>146</v>
      </c>
      <c r="D21" s="70" t="s">
        <v>104</v>
      </c>
      <c r="E21" s="124">
        <f>'09.2014 Revenue Model'!H25</f>
        <v>456</v>
      </c>
      <c r="F21" s="124">
        <f>'Forecast Bill Determinants'!F39</f>
        <v>515.80946824049408</v>
      </c>
      <c r="G21" s="97">
        <f t="shared" si="0"/>
        <v>0.13116111456248702</v>
      </c>
      <c r="H21" s="125">
        <f>'09.2014 Revenue Model'!H106+'09.2014 Revenue Model'!H107</f>
        <v>255207.10263000001</v>
      </c>
      <c r="I21" s="97">
        <f>H21/H$25</f>
        <v>6.1005130388575857E-2</v>
      </c>
      <c r="J21" s="97">
        <f t="shared" si="2"/>
        <v>8.0015008957954568E-3</v>
      </c>
      <c r="K21" s="97"/>
      <c r="L21" s="327">
        <f>H$25*J21</f>
        <v>33473.248025213819</v>
      </c>
      <c r="M21" s="327">
        <f>L21</f>
        <v>33473.248025213819</v>
      </c>
    </row>
    <row r="22" spans="1:13">
      <c r="A22" s="40">
        <v>11</v>
      </c>
      <c r="B22" s="70" t="s">
        <v>96</v>
      </c>
      <c r="C22" s="40">
        <v>148</v>
      </c>
      <c r="D22" s="70" t="s">
        <v>104</v>
      </c>
      <c r="E22" s="124">
        <f>'09.2014 Revenue Model'!I25+'09.2014 Revenue Model'!J25</f>
        <v>60</v>
      </c>
      <c r="F22" s="124">
        <f>'Forecast Bill Determinants'!F40</f>
        <v>65.701937481317373</v>
      </c>
      <c r="G22" s="97">
        <f t="shared" si="0"/>
        <v>9.5032291355289539E-2</v>
      </c>
      <c r="H22" s="125">
        <f>'09.2014 Revenue Model'!I106+'09.2014 Revenue Model'!J106</f>
        <v>325584</v>
      </c>
      <c r="I22" s="97">
        <f>H22/H$25</f>
        <v>7.7828141018592617E-2</v>
      </c>
      <c r="J22" s="97">
        <f t="shared" si="2"/>
        <v>7.396186572919454E-3</v>
      </c>
      <c r="K22" s="97"/>
      <c r="L22" s="327">
        <f>H$25*J22</f>
        <v>30940.993548620587</v>
      </c>
      <c r="M22" s="327">
        <f>L22</f>
        <v>30940.993548620587</v>
      </c>
    </row>
    <row r="23" spans="1:13">
      <c r="A23" s="40">
        <v>12</v>
      </c>
      <c r="B23" s="70" t="s">
        <v>95</v>
      </c>
      <c r="C23" s="40">
        <v>146</v>
      </c>
      <c r="D23" s="70" t="s">
        <v>99</v>
      </c>
      <c r="E23" s="315">
        <f>'09.2014 Revenue Model'!H23</f>
        <v>30580202</v>
      </c>
      <c r="F23" s="325">
        <f>'Forecast Bill Determinants'!D9</f>
        <v>30484400.609234795</v>
      </c>
      <c r="G23" s="97">
        <f>(F23-E23)/E23</f>
        <v>-3.1327912995867402E-3</v>
      </c>
      <c r="H23" s="125">
        <f>H31-H21</f>
        <v>2321588.5299999998</v>
      </c>
      <c r="I23" s="97">
        <f>H23/H$25</f>
        <v>0.55495638452745566</v>
      </c>
      <c r="J23" s="97">
        <f t="shared" si="2"/>
        <v>-1.7385625330977265E-3</v>
      </c>
      <c r="K23" s="97"/>
      <c r="L23" s="327">
        <f>H$25*J23</f>
        <v>-7273.0523480043685</v>
      </c>
      <c r="M23" s="327">
        <f>L23-I42</f>
        <v>-7221.3195969911576</v>
      </c>
    </row>
    <row r="24" spans="1:13">
      <c r="A24" s="40">
        <v>13</v>
      </c>
      <c r="B24" s="70" t="s">
        <v>96</v>
      </c>
      <c r="C24" s="40">
        <v>148</v>
      </c>
      <c r="D24" s="70" t="s">
        <v>99</v>
      </c>
      <c r="E24" s="317">
        <f>'09.2014 Revenue Model'!I23+'09.2014 Revenue Model'!J23</f>
        <v>49497099</v>
      </c>
      <c r="F24" s="323">
        <f>'Forecast Bill Determinants'!D10</f>
        <v>47057044</v>
      </c>
      <c r="G24" s="97">
        <f>(F24-E24)/E24</f>
        <v>-4.9296929502878541E-2</v>
      </c>
      <c r="H24" s="321">
        <f>H32-H22</f>
        <v>1280991.52</v>
      </c>
      <c r="I24" s="126">
        <f>H24/H$25</f>
        <v>0.30621034406537578</v>
      </c>
      <c r="J24" s="127">
        <f t="shared" si="2"/>
        <v>-1.5095229744443012E-2</v>
      </c>
      <c r="K24" s="127"/>
      <c r="L24" s="327">
        <f>H$25*J24</f>
        <v>-63148.94865522522</v>
      </c>
      <c r="M24" s="327">
        <f>L24-I43</f>
        <v>-63148.94865522522</v>
      </c>
    </row>
    <row r="25" spans="1:13">
      <c r="A25" s="40">
        <v>14</v>
      </c>
      <c r="B25" s="70" t="s">
        <v>106</v>
      </c>
      <c r="C25" s="40"/>
      <c r="D25" s="70"/>
      <c r="E25" s="317">
        <f>SUM(E23:E24)</f>
        <v>80077301</v>
      </c>
      <c r="F25" s="323">
        <f>SUM(F23:F24)</f>
        <v>77541444.609234795</v>
      </c>
      <c r="G25" s="97"/>
      <c r="H25" s="125">
        <f>SUM(H21:H24)</f>
        <v>4183371.1526299999</v>
      </c>
      <c r="I25" s="97">
        <f>SUM(I21:I24)</f>
        <v>1</v>
      </c>
      <c r="J25" s="427">
        <f>SUM(J21:J24)</f>
        <v>-1.436104808825828E-3</v>
      </c>
      <c r="K25" s="127"/>
      <c r="L25" s="328">
        <f>SUM(L21:L24)</f>
        <v>-6007.7594293951843</v>
      </c>
      <c r="M25" s="328">
        <f>SUM(M21:M24)</f>
        <v>-5956.0266783819679</v>
      </c>
    </row>
    <row r="26" spans="1:13">
      <c r="A26" s="40"/>
      <c r="E26" s="124"/>
      <c r="G26" s="128"/>
      <c r="H26" s="125"/>
      <c r="I26" s="128"/>
      <c r="J26" s="128"/>
      <c r="K26" s="128"/>
    </row>
    <row r="27" spans="1:13" ht="13.5" thickBot="1">
      <c r="A27" s="40">
        <v>15</v>
      </c>
      <c r="B27" t="s">
        <v>86</v>
      </c>
      <c r="C27" s="40">
        <v>101</v>
      </c>
      <c r="D27" t="s">
        <v>105</v>
      </c>
      <c r="E27" s="124"/>
      <c r="G27" s="128"/>
      <c r="H27" s="125">
        <f>'09.2014 Revenue Model'!D145</f>
        <v>123590236.48</v>
      </c>
      <c r="I27" s="128" t="s">
        <v>559</v>
      </c>
      <c r="J27" s="128"/>
      <c r="K27" s="128"/>
    </row>
    <row r="28" spans="1:13">
      <c r="A28" s="40">
        <v>16</v>
      </c>
      <c r="B28" t="s">
        <v>87</v>
      </c>
      <c r="C28" s="41" t="s">
        <v>91</v>
      </c>
      <c r="D28" t="s">
        <v>105</v>
      </c>
      <c r="G28" s="128"/>
      <c r="H28" s="125">
        <f>'09.2014 Revenue Model'!E145</f>
        <v>38270233.129999995</v>
      </c>
      <c r="I28" s="128"/>
      <c r="J28" s="40">
        <v>101</v>
      </c>
      <c r="K28" s="128"/>
      <c r="L28" s="445">
        <f>G15*E15</f>
        <v>1062350.1416</v>
      </c>
    </row>
    <row r="29" spans="1:13">
      <c r="A29" s="40">
        <v>17</v>
      </c>
      <c r="B29" s="70" t="s">
        <v>90</v>
      </c>
      <c r="C29" s="41" t="s">
        <v>92</v>
      </c>
      <c r="D29" t="s">
        <v>105</v>
      </c>
      <c r="G29" s="128"/>
      <c r="H29" s="125">
        <f>'09.2014 Revenue Model'!F145</f>
        <v>4136341.65</v>
      </c>
      <c r="I29" s="128"/>
      <c r="J29" s="41" t="s">
        <v>91</v>
      </c>
      <c r="K29" s="128"/>
      <c r="L29" s="446">
        <f t="shared" ref="L29:L30" si="4">G16*E16</f>
        <v>489634.00459999993</v>
      </c>
    </row>
    <row r="30" spans="1:13" ht="13.5" thickBot="1">
      <c r="A30" s="40">
        <v>18</v>
      </c>
      <c r="B30" s="70" t="s">
        <v>93</v>
      </c>
      <c r="C30" s="41" t="s">
        <v>94</v>
      </c>
      <c r="D30" t="s">
        <v>105</v>
      </c>
      <c r="G30" s="128"/>
      <c r="H30" s="125">
        <f>'09.2014 Revenue Model'!G145</f>
        <v>733819.29</v>
      </c>
      <c r="I30" s="128"/>
      <c r="J30" s="41" t="s">
        <v>92</v>
      </c>
      <c r="K30" s="128"/>
      <c r="L30" s="447">
        <f t="shared" si="4"/>
        <v>223379.69115</v>
      </c>
    </row>
    <row r="31" spans="1:13">
      <c r="A31" s="40">
        <v>19</v>
      </c>
      <c r="B31" s="70" t="s">
        <v>95</v>
      </c>
      <c r="C31" s="40">
        <v>146</v>
      </c>
      <c r="D31" t="s">
        <v>105</v>
      </c>
      <c r="G31" s="128"/>
      <c r="H31" s="125">
        <f>'09.2014 Revenue Model'!H145</f>
        <v>2576795.6326299999</v>
      </c>
      <c r="I31" s="128"/>
      <c r="J31" s="128"/>
      <c r="K31" s="128"/>
    </row>
    <row r="32" spans="1:13">
      <c r="A32" s="40">
        <v>20</v>
      </c>
      <c r="B32" s="70" t="s">
        <v>96</v>
      </c>
      <c r="C32" s="40">
        <v>148</v>
      </c>
      <c r="D32" t="s">
        <v>105</v>
      </c>
      <c r="G32" s="128"/>
      <c r="H32" s="321">
        <f>'09.2014 Revenue Model'!I145+'09.2014 Revenue Model'!J145</f>
        <v>1606575.52</v>
      </c>
      <c r="I32" s="128"/>
      <c r="J32" s="128"/>
      <c r="K32" s="128"/>
    </row>
    <row r="33" spans="1:13">
      <c r="A33" s="40">
        <v>21</v>
      </c>
      <c r="B33" s="70" t="s">
        <v>106</v>
      </c>
      <c r="G33" s="128"/>
      <c r="H33" s="125">
        <f>SUM(H27:H32)</f>
        <v>170914001.70263001</v>
      </c>
      <c r="I33" s="97"/>
      <c r="J33" s="128"/>
      <c r="K33" s="128"/>
    </row>
    <row r="34" spans="1:13" ht="13.5" thickBot="1">
      <c r="A34" s="85"/>
      <c r="B34" s="86"/>
      <c r="C34" s="249"/>
      <c r="D34" s="87"/>
      <c r="E34" s="129"/>
      <c r="F34" s="129"/>
      <c r="G34" s="129"/>
      <c r="H34" s="133"/>
      <c r="I34" s="126"/>
      <c r="J34" s="129"/>
      <c r="K34" s="151"/>
    </row>
    <row r="35" spans="1:13" ht="13.5" thickBot="1">
      <c r="B35" s="69" t="s">
        <v>123</v>
      </c>
      <c r="G35" s="130" t="s">
        <v>119</v>
      </c>
      <c r="H35" s="436" t="s">
        <v>121</v>
      </c>
      <c r="I35" s="128"/>
      <c r="J35" s="128"/>
      <c r="K35" s="128"/>
    </row>
    <row r="36" spans="1:13" ht="13.5" thickBot="1">
      <c r="E36" s="314" t="str">
        <f>E8</f>
        <v>Sept 2014</v>
      </c>
      <c r="F36" s="131">
        <f>F8</f>
        <v>2016</v>
      </c>
      <c r="G36" s="131" t="s">
        <v>120</v>
      </c>
      <c r="H36" s="437" t="s">
        <v>122</v>
      </c>
      <c r="I36" s="128"/>
      <c r="J36" s="438" t="s">
        <v>560</v>
      </c>
      <c r="K36" s="439"/>
      <c r="L36" s="439"/>
      <c r="M36" s="440"/>
    </row>
    <row r="37" spans="1:13">
      <c r="A37" s="40">
        <v>22</v>
      </c>
      <c r="B37" t="s">
        <v>86</v>
      </c>
      <c r="C37" s="40">
        <v>101</v>
      </c>
      <c r="D37" s="70" t="s">
        <v>99</v>
      </c>
      <c r="E37" s="124">
        <f t="shared" ref="E37:F40" si="5">E15</f>
        <v>120721607</v>
      </c>
      <c r="F37" s="124">
        <f t="shared" si="5"/>
        <v>121783957.1416</v>
      </c>
      <c r="G37" s="124">
        <f>F37-E37</f>
        <v>1062350.1415999979</v>
      </c>
      <c r="H37" s="322">
        <v>0.50327</v>
      </c>
      <c r="I37" s="445">
        <f>G37*H37</f>
        <v>534648.95576303091</v>
      </c>
      <c r="J37" s="441" t="s">
        <v>573</v>
      </c>
      <c r="K37" s="441"/>
      <c r="L37" s="441"/>
      <c r="M37" s="442"/>
    </row>
    <row r="38" spans="1:13" ht="13.5" thickBot="1">
      <c r="A38" s="40">
        <v>23</v>
      </c>
      <c r="B38" t="s">
        <v>87</v>
      </c>
      <c r="C38" s="41" t="s">
        <v>91</v>
      </c>
      <c r="D38" s="70" t="s">
        <v>99</v>
      </c>
      <c r="E38" s="124">
        <f t="shared" si="5"/>
        <v>47537282</v>
      </c>
      <c r="F38" s="124">
        <f t="shared" si="5"/>
        <v>48026916.004600003</v>
      </c>
      <c r="G38" s="124">
        <f>F38-E38</f>
        <v>489634.00460000336</v>
      </c>
      <c r="H38" s="322">
        <v>0.50104000000000004</v>
      </c>
      <c r="I38" s="446">
        <f>G38*H38</f>
        <v>245326.2216647857</v>
      </c>
      <c r="J38" s="443" t="s">
        <v>561</v>
      </c>
      <c r="K38" s="443"/>
      <c r="L38" s="443"/>
      <c r="M38" s="444"/>
    </row>
    <row r="39" spans="1:13" ht="13.5" thickBot="1">
      <c r="A39" s="40">
        <v>24</v>
      </c>
      <c r="B39" s="70" t="s">
        <v>90</v>
      </c>
      <c r="C39" s="41" t="s">
        <v>92</v>
      </c>
      <c r="D39" s="70" t="s">
        <v>99</v>
      </c>
      <c r="E39" s="124">
        <f t="shared" si="5"/>
        <v>5735037</v>
      </c>
      <c r="F39" s="124">
        <f t="shared" si="5"/>
        <v>5958416.6911500003</v>
      </c>
      <c r="G39" s="124">
        <f>F39-E39</f>
        <v>223379.69115000032</v>
      </c>
      <c r="H39" s="322">
        <v>0.48280000000000001</v>
      </c>
      <c r="I39" s="447">
        <f>G39*H39</f>
        <v>107847.71488722015</v>
      </c>
      <c r="J39" s="128"/>
      <c r="K39" s="128"/>
    </row>
    <row r="40" spans="1:13">
      <c r="A40" s="40">
        <v>25</v>
      </c>
      <c r="B40" s="70" t="s">
        <v>93</v>
      </c>
      <c r="C40" s="41" t="s">
        <v>94</v>
      </c>
      <c r="D40" s="70" t="s">
        <v>99</v>
      </c>
      <c r="E40" s="132">
        <f t="shared" si="5"/>
        <v>1115704</v>
      </c>
      <c r="F40" s="132">
        <f t="shared" si="5"/>
        <v>1252782.6386017113</v>
      </c>
      <c r="G40" s="132">
        <f>F40-E40</f>
        <v>137078.63860171125</v>
      </c>
      <c r="H40" s="322">
        <v>0.45493</v>
      </c>
      <c r="I40" s="125">
        <f>G40*H40</f>
        <v>62361.185059076503</v>
      </c>
      <c r="J40" s="128"/>
      <c r="K40" s="128"/>
    </row>
    <row r="41" spans="1:13">
      <c r="A41" s="40">
        <v>26</v>
      </c>
      <c r="B41" s="70" t="s">
        <v>106</v>
      </c>
      <c r="E41" s="124">
        <f>SUM(E37:E40)</f>
        <v>175109630</v>
      </c>
      <c r="F41" s="124">
        <f>SUM(F37:F40)</f>
        <v>177022072.47595173</v>
      </c>
      <c r="G41" s="124">
        <f>SUM(G37:G40)</f>
        <v>1912442.4759517128</v>
      </c>
      <c r="H41" s="322"/>
      <c r="I41" s="128"/>
      <c r="J41" s="128"/>
      <c r="K41" s="128"/>
    </row>
    <row r="42" spans="1:13">
      <c r="A42" s="40">
        <v>27</v>
      </c>
      <c r="B42" s="70" t="s">
        <v>167</v>
      </c>
      <c r="C42" s="41">
        <v>146</v>
      </c>
      <c r="D42" s="70" t="s">
        <v>99</v>
      </c>
      <c r="E42" s="124">
        <f>E23</f>
        <v>30580202</v>
      </c>
      <c r="F42" s="124">
        <f>F23</f>
        <v>30484400.609234795</v>
      </c>
      <c r="G42" s="124">
        <f>F42-E42</f>
        <v>-95801.390765205026</v>
      </c>
      <c r="H42" s="322">
        <v>5.4000000000000001E-4</v>
      </c>
      <c r="I42" s="133">
        <f>G42*H42</f>
        <v>-51.732751013210716</v>
      </c>
      <c r="J42" s="128"/>
      <c r="K42" s="128"/>
    </row>
    <row r="43" spans="1:13" ht="13.5" thickBot="1">
      <c r="A43" s="40">
        <v>28</v>
      </c>
      <c r="B43" s="70" t="s">
        <v>168</v>
      </c>
      <c r="C43" s="41">
        <v>148</v>
      </c>
      <c r="D43" s="70" t="s">
        <v>99</v>
      </c>
      <c r="E43" s="124">
        <f>E24</f>
        <v>49497099</v>
      </c>
      <c r="F43" s="124">
        <f>F24</f>
        <v>47057044</v>
      </c>
      <c r="G43" s="124">
        <f>F43-E43</f>
        <v>-2440055</v>
      </c>
      <c r="H43" s="322">
        <v>0</v>
      </c>
      <c r="I43" s="133"/>
      <c r="J43" s="128"/>
      <c r="K43" s="128"/>
    </row>
    <row r="44" spans="1:13" ht="14.25" thickTop="1" thickBot="1">
      <c r="A44" s="40">
        <v>29</v>
      </c>
      <c r="B44" s="70" t="s">
        <v>106</v>
      </c>
      <c r="E44" s="318">
        <f>SUM(E42:E43)</f>
        <v>80077301</v>
      </c>
      <c r="F44" s="318">
        <f>SUM(F42:F43)</f>
        <v>77541444.609234795</v>
      </c>
      <c r="G44" s="117">
        <f>SUM(G42:G43)</f>
        <v>-2535856.390765205</v>
      </c>
      <c r="I44" s="424">
        <f>SUM(I37:I42)</f>
        <v>950132.34462310013</v>
      </c>
      <c r="J44" s="128"/>
      <c r="K44" s="128"/>
    </row>
    <row r="45" spans="1:13" ht="13.5" thickTop="1">
      <c r="G45" s="128"/>
      <c r="I45" s="128"/>
      <c r="J45" s="128"/>
      <c r="K45" s="128"/>
    </row>
    <row r="46" spans="1:13">
      <c r="E46" s="124">
        <f>E41+E44</f>
        <v>255186931</v>
      </c>
      <c r="F46" s="124">
        <f>F41+F44</f>
        <v>254563517.08518654</v>
      </c>
      <c r="G46" s="124">
        <f>G41+G44</f>
        <v>-623413.91481349221</v>
      </c>
    </row>
    <row r="193" spans="7:7">
      <c r="G193" s="128"/>
    </row>
    <row r="194" spans="7:7">
      <c r="G194" s="128"/>
    </row>
    <row r="195" spans="7:7">
      <c r="G195" s="128"/>
    </row>
    <row r="196" spans="7:7">
      <c r="G196" s="128"/>
    </row>
    <row r="197" spans="7:7">
      <c r="G197" s="128"/>
    </row>
    <row r="198" spans="7:7">
      <c r="G198" s="128"/>
    </row>
    <row r="199" spans="7:7">
      <c r="G199" s="128"/>
    </row>
    <row r="200" spans="7:7">
      <c r="G200" s="128"/>
    </row>
    <row r="201" spans="7:7">
      <c r="G201" s="128"/>
    </row>
    <row r="202" spans="7:7">
      <c r="G202" s="128"/>
    </row>
    <row r="203" spans="7:7">
      <c r="G203" s="128"/>
    </row>
    <row r="204" spans="7:7">
      <c r="G204" s="128"/>
    </row>
    <row r="205" spans="7:7">
      <c r="G205" s="128"/>
    </row>
    <row r="206" spans="7:7">
      <c r="G206" s="128"/>
    </row>
    <row r="207" spans="7:7">
      <c r="G207" s="128"/>
    </row>
  </sheetData>
  <mergeCells count="3">
    <mergeCell ref="A4:J4"/>
    <mergeCell ref="A3:J3"/>
    <mergeCell ref="M9:M10"/>
  </mergeCells>
  <pageMargins left="0.65" right="0.42" top="0.62" bottom="0.28999999999999998" header="0.68" footer="0.43"/>
  <pageSetup scale="90" orientation="landscape" r:id="rId1"/>
  <headerFooter scaleWithDoc="0">
    <oddHeader>&amp;RExh. CRM-9
Dockets UE-150204/UG-150205
Exhibit No. __(EMA-7)</oddHeader>
    <oddFooter>&amp;RPage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topLeftCell="A10" zoomScale="115" zoomScaleNormal="100" zoomScaleSheetLayoutView="115" workbookViewId="0">
      <selection activeCell="N36" sqref="N36"/>
    </sheetView>
  </sheetViews>
  <sheetFormatPr defaultRowHeight="12.75"/>
  <cols>
    <col min="2" max="2" width="18.5703125" customWidth="1"/>
  </cols>
  <sheetData>
    <row r="1" spans="1:8" hidden="1">
      <c r="C1" s="379">
        <v>2009</v>
      </c>
      <c r="D1" s="379">
        <v>2010</v>
      </c>
      <c r="E1" s="379">
        <v>2011</v>
      </c>
      <c r="F1" s="379">
        <v>2012</v>
      </c>
      <c r="G1" s="379">
        <v>2013</v>
      </c>
      <c r="H1" s="379">
        <v>2014</v>
      </c>
    </row>
    <row r="2" spans="1:8" hidden="1">
      <c r="A2" t="s">
        <v>41</v>
      </c>
    </row>
    <row r="3" spans="1:8" hidden="1">
      <c r="B3" t="s">
        <v>16</v>
      </c>
      <c r="C3">
        <v>21798</v>
      </c>
      <c r="D3">
        <v>20047</v>
      </c>
      <c r="E3">
        <v>22008</v>
      </c>
      <c r="F3">
        <v>24365</v>
      </c>
      <c r="G3">
        <v>24711</v>
      </c>
      <c r="H3">
        <v>25235</v>
      </c>
    </row>
    <row r="4" spans="1:8" hidden="1">
      <c r="B4" t="s">
        <v>33</v>
      </c>
      <c r="C4">
        <v>255976</v>
      </c>
      <c r="D4">
        <v>269469</v>
      </c>
      <c r="E4">
        <v>281279</v>
      </c>
      <c r="F4">
        <v>296152</v>
      </c>
      <c r="G4">
        <v>313469</v>
      </c>
      <c r="H4">
        <v>337894</v>
      </c>
    </row>
    <row r="5" spans="1:8" hidden="1">
      <c r="B5" t="s">
        <v>34</v>
      </c>
      <c r="C5" s="87">
        <v>27747</v>
      </c>
      <c r="D5" s="87">
        <v>33401</v>
      </c>
      <c r="E5" s="87">
        <v>38971</v>
      </c>
      <c r="F5" s="87">
        <v>44809</v>
      </c>
      <c r="G5" s="87">
        <v>52223</v>
      </c>
      <c r="H5" s="87">
        <v>59169</v>
      </c>
    </row>
    <row r="6" spans="1:8" hidden="1">
      <c r="A6" t="s">
        <v>502</v>
      </c>
    </row>
    <row r="7" spans="1:8" hidden="1">
      <c r="B7" t="s">
        <v>16</v>
      </c>
      <c r="C7">
        <v>7807</v>
      </c>
      <c r="D7">
        <v>7912</v>
      </c>
      <c r="E7">
        <v>8286</v>
      </c>
      <c r="F7">
        <v>8677</v>
      </c>
      <c r="G7">
        <v>9088</v>
      </c>
      <c r="H7">
        <v>9521</v>
      </c>
    </row>
    <row r="8" spans="1:8" hidden="1">
      <c r="B8" t="s">
        <v>33</v>
      </c>
      <c r="C8">
        <v>84021</v>
      </c>
      <c r="D8">
        <v>89620</v>
      </c>
      <c r="E8">
        <v>97489</v>
      </c>
      <c r="F8">
        <v>102678</v>
      </c>
      <c r="G8">
        <v>108662</v>
      </c>
      <c r="H8">
        <v>114795</v>
      </c>
    </row>
    <row r="9" spans="1:8" hidden="1">
      <c r="B9" t="s">
        <v>34</v>
      </c>
      <c r="C9" s="87">
        <v>8882</v>
      </c>
      <c r="D9" s="87">
        <v>10722</v>
      </c>
      <c r="E9" s="87">
        <v>10926</v>
      </c>
      <c r="F9" s="87">
        <v>12186</v>
      </c>
      <c r="G9" s="87">
        <v>14724</v>
      </c>
      <c r="H9" s="87">
        <v>17429</v>
      </c>
    </row>
    <row r="10" spans="1:8">
      <c r="A10" t="s">
        <v>44</v>
      </c>
      <c r="C10" s="379">
        <v>2009</v>
      </c>
      <c r="D10" s="379">
        <v>2010</v>
      </c>
      <c r="E10" s="379">
        <v>2011</v>
      </c>
      <c r="F10" s="379">
        <v>2012</v>
      </c>
      <c r="G10" s="379">
        <v>2013</v>
      </c>
      <c r="H10" s="379">
        <v>2014</v>
      </c>
    </row>
    <row r="11" spans="1:8">
      <c r="B11" t="s">
        <v>16</v>
      </c>
      <c r="C11">
        <f t="shared" ref="C11:H11" si="0">C3-C7</f>
        <v>13991</v>
      </c>
      <c r="D11">
        <f t="shared" si="0"/>
        <v>12135</v>
      </c>
      <c r="E11">
        <f t="shared" si="0"/>
        <v>13722</v>
      </c>
      <c r="F11">
        <f t="shared" si="0"/>
        <v>15688</v>
      </c>
      <c r="G11">
        <f t="shared" si="0"/>
        <v>15623</v>
      </c>
      <c r="H11">
        <f t="shared" si="0"/>
        <v>15714</v>
      </c>
    </row>
    <row r="12" spans="1:8">
      <c r="B12" t="s">
        <v>33</v>
      </c>
      <c r="C12">
        <f t="shared" ref="C12:H13" si="1">C4-C8</f>
        <v>171955</v>
      </c>
      <c r="D12">
        <f t="shared" si="1"/>
        <v>179849</v>
      </c>
      <c r="E12">
        <f t="shared" si="1"/>
        <v>183790</v>
      </c>
      <c r="F12">
        <f t="shared" si="1"/>
        <v>193474</v>
      </c>
      <c r="G12">
        <f t="shared" si="1"/>
        <v>204807</v>
      </c>
      <c r="H12">
        <f t="shared" si="1"/>
        <v>223099</v>
      </c>
    </row>
    <row r="13" spans="1:8">
      <c r="B13" t="s">
        <v>34</v>
      </c>
      <c r="C13" s="87">
        <f t="shared" si="1"/>
        <v>18865</v>
      </c>
      <c r="D13" s="87">
        <f t="shared" si="1"/>
        <v>22679</v>
      </c>
      <c r="E13" s="87">
        <f t="shared" si="1"/>
        <v>28045</v>
      </c>
      <c r="F13" s="87">
        <f t="shared" si="1"/>
        <v>32623</v>
      </c>
      <c r="G13" s="87">
        <f t="shared" si="1"/>
        <v>37499</v>
      </c>
      <c r="H13" s="87">
        <f t="shared" si="1"/>
        <v>41740</v>
      </c>
    </row>
    <row r="16" spans="1:8">
      <c r="A16" t="s">
        <v>44</v>
      </c>
      <c r="C16" s="379">
        <v>2009</v>
      </c>
      <c r="D16" s="379">
        <v>2010</v>
      </c>
      <c r="E16" s="379">
        <v>2011</v>
      </c>
      <c r="F16" s="379">
        <v>2012</v>
      </c>
      <c r="G16" s="379">
        <v>2013</v>
      </c>
      <c r="H16" s="379">
        <v>2014</v>
      </c>
    </row>
    <row r="17" spans="2:8">
      <c r="B17" t="s">
        <v>33</v>
      </c>
      <c r="C17">
        <v>171955</v>
      </c>
      <c r="D17">
        <v>179849</v>
      </c>
      <c r="E17">
        <v>183790</v>
      </c>
      <c r="F17">
        <v>193474</v>
      </c>
      <c r="G17">
        <v>204807</v>
      </c>
      <c r="H17">
        <v>223099</v>
      </c>
    </row>
    <row r="18" spans="2:8">
      <c r="C18" s="379">
        <v>2009</v>
      </c>
      <c r="D18" s="379">
        <v>2010</v>
      </c>
      <c r="E18" s="379">
        <v>2011</v>
      </c>
      <c r="F18" s="379">
        <v>2012</v>
      </c>
      <c r="G18" s="379">
        <v>2013</v>
      </c>
      <c r="H18" s="379">
        <v>2014</v>
      </c>
    </row>
    <row r="19" spans="2:8">
      <c r="B19" t="s">
        <v>34</v>
      </c>
      <c r="C19">
        <v>18865</v>
      </c>
      <c r="D19">
        <v>22679</v>
      </c>
      <c r="E19">
        <v>28045</v>
      </c>
      <c r="F19">
        <v>32623</v>
      </c>
      <c r="G19">
        <v>37499</v>
      </c>
      <c r="H19">
        <v>41740</v>
      </c>
    </row>
    <row r="20" spans="2:8">
      <c r="C20" s="379">
        <v>2009</v>
      </c>
      <c r="D20" s="379">
        <v>2010</v>
      </c>
      <c r="E20" s="379">
        <v>2011</v>
      </c>
      <c r="F20" s="379">
        <v>2012</v>
      </c>
      <c r="G20" s="379">
        <v>2013</v>
      </c>
      <c r="H20" s="379">
        <v>2014</v>
      </c>
    </row>
    <row r="21" spans="2:8">
      <c r="B21" t="s">
        <v>16</v>
      </c>
      <c r="D21">
        <v>12135</v>
      </c>
      <c r="E21">
        <v>13722</v>
      </c>
      <c r="F21">
        <v>15688</v>
      </c>
      <c r="G21">
        <v>15623</v>
      </c>
      <c r="H21">
        <v>15714</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S277"/>
  <sheetViews>
    <sheetView view="pageBreakPreview" zoomScale="115" zoomScaleNormal="100" zoomScaleSheetLayoutView="115" workbookViewId="0">
      <selection activeCell="J18" sqref="J18"/>
    </sheetView>
  </sheetViews>
  <sheetFormatPr defaultRowHeight="12.75"/>
  <cols>
    <col min="1" max="1" width="8.7109375" customWidth="1"/>
    <col min="2" max="2" width="27.140625" customWidth="1"/>
    <col min="3" max="3" width="16.28515625" customWidth="1"/>
    <col min="4" max="4" width="14.7109375" customWidth="1"/>
    <col min="5" max="5" width="13.7109375" customWidth="1"/>
    <col min="6" max="6" width="16.7109375" customWidth="1"/>
    <col min="7" max="7" width="15.28515625" customWidth="1"/>
    <col min="8" max="8" width="12.42578125" customWidth="1"/>
    <col min="9" max="9" width="13.7109375" customWidth="1"/>
    <col min="10" max="10" width="20.28515625" customWidth="1"/>
    <col min="17" max="17" width="34.42578125" customWidth="1"/>
  </cols>
  <sheetData>
    <row r="1" spans="1:19">
      <c r="A1" s="252"/>
      <c r="B1" s="253"/>
      <c r="C1" s="253"/>
      <c r="D1" s="253"/>
      <c r="E1" s="253"/>
      <c r="F1" s="253"/>
      <c r="G1" s="253"/>
      <c r="H1" s="253"/>
      <c r="I1" s="253"/>
      <c r="J1" s="253"/>
      <c r="K1" s="253"/>
      <c r="L1" s="253"/>
      <c r="M1" s="253"/>
      <c r="N1" s="253"/>
      <c r="O1" s="253"/>
      <c r="P1" s="253"/>
      <c r="Q1" s="253"/>
      <c r="R1" s="253"/>
      <c r="S1" s="253"/>
    </row>
    <row r="2" spans="1:19">
      <c r="A2" s="252"/>
      <c r="B2" s="253"/>
      <c r="C2" s="253"/>
      <c r="D2" s="253"/>
      <c r="E2" s="253"/>
      <c r="F2" s="253"/>
      <c r="G2" s="253"/>
      <c r="H2" s="253"/>
      <c r="I2" s="253"/>
      <c r="J2" s="254" t="s">
        <v>296</v>
      </c>
      <c r="K2" s="253"/>
      <c r="L2" s="253"/>
      <c r="M2" s="253"/>
      <c r="N2" s="253"/>
      <c r="O2" s="253"/>
      <c r="P2" s="253"/>
      <c r="Q2" s="253"/>
      <c r="R2" s="253"/>
      <c r="S2" s="253"/>
    </row>
    <row r="3" spans="1:19">
      <c r="A3" s="252"/>
      <c r="B3" s="253"/>
      <c r="C3" s="253"/>
      <c r="D3" s="253"/>
      <c r="E3" s="253"/>
      <c r="F3" s="253"/>
      <c r="G3" s="253"/>
      <c r="H3" s="253"/>
      <c r="I3" s="253"/>
      <c r="J3" s="221" t="s">
        <v>297</v>
      </c>
      <c r="K3" s="253"/>
      <c r="L3" s="253"/>
      <c r="M3" s="253"/>
      <c r="N3" s="253"/>
      <c r="O3" s="253"/>
      <c r="P3" s="253"/>
      <c r="Q3" s="253"/>
      <c r="R3" s="253"/>
      <c r="S3" s="253"/>
    </row>
    <row r="4" spans="1:19">
      <c r="A4" s="255" t="s">
        <v>298</v>
      </c>
      <c r="B4" s="254"/>
      <c r="C4" s="254" t="s">
        <v>299</v>
      </c>
      <c r="D4" s="254" t="s">
        <v>300</v>
      </c>
      <c r="E4" s="254" t="s">
        <v>301</v>
      </c>
      <c r="F4" s="254" t="s">
        <v>302</v>
      </c>
      <c r="G4" s="254" t="s">
        <v>303</v>
      </c>
      <c r="H4" s="254" t="s">
        <v>296</v>
      </c>
      <c r="I4" s="254" t="s">
        <v>296</v>
      </c>
      <c r="J4" s="254" t="s">
        <v>304</v>
      </c>
      <c r="K4" s="254"/>
      <c r="L4" s="254"/>
      <c r="M4" s="254"/>
      <c r="N4" s="254"/>
      <c r="O4" s="254"/>
      <c r="P4" s="254"/>
      <c r="Q4" s="254"/>
      <c r="R4" s="254"/>
      <c r="S4" s="254"/>
    </row>
    <row r="5" spans="1:19">
      <c r="A5" s="255" t="s">
        <v>305</v>
      </c>
      <c r="B5" s="222"/>
      <c r="C5" s="222" t="s">
        <v>306</v>
      </c>
      <c r="D5" s="222" t="s">
        <v>307</v>
      </c>
      <c r="E5" s="222" t="s">
        <v>308</v>
      </c>
      <c r="F5" s="222" t="s">
        <v>309</v>
      </c>
      <c r="G5" s="222" t="s">
        <v>310</v>
      </c>
      <c r="H5" s="222" t="s">
        <v>311</v>
      </c>
      <c r="I5" s="222" t="s">
        <v>312</v>
      </c>
      <c r="J5" s="222" t="s">
        <v>313</v>
      </c>
      <c r="K5" s="254"/>
      <c r="L5" s="256"/>
      <c r="M5" s="256"/>
      <c r="N5" s="256"/>
      <c r="O5" s="256"/>
      <c r="P5" s="256"/>
      <c r="Q5" s="257" t="s">
        <v>399</v>
      </c>
      <c r="R5" s="256"/>
      <c r="S5" s="256"/>
    </row>
    <row r="6" spans="1:19">
      <c r="A6" s="252"/>
      <c r="B6" s="223" t="s">
        <v>314</v>
      </c>
      <c r="C6" s="253"/>
      <c r="D6" s="253"/>
      <c r="E6" s="253"/>
      <c r="F6" s="253"/>
      <c r="G6" s="253"/>
      <c r="H6" s="253"/>
      <c r="I6" s="253"/>
      <c r="J6" s="253"/>
      <c r="K6" s="253"/>
      <c r="L6" s="256"/>
      <c r="M6" s="258" t="s">
        <v>400</v>
      </c>
      <c r="N6" s="256"/>
      <c r="O6" s="256"/>
      <c r="P6" s="259"/>
      <c r="Q6" s="585" t="str">
        <f>"AVISTA UTILITIES
WASHINGTON GAS
PRO FORMA REVENUE UNDER PRESENT AND PROPOSED "&amp;O9&amp;" RATES
12 MONTHS ENDED SEPTEMBER 30, 2014"</f>
        <v>AVISTA UTILITIES
WASHINGTON GAS
PRO FORMA REVENUE UNDER PRESENT AND PROPOSED  RATES
12 MONTHS ENDED SEPTEMBER 30, 2014</v>
      </c>
      <c r="R6" s="585"/>
      <c r="S6" s="585"/>
    </row>
    <row r="7" spans="1:19">
      <c r="A7" s="252"/>
      <c r="B7" s="224" t="s">
        <v>315</v>
      </c>
      <c r="C7" s="253"/>
      <c r="D7" s="253"/>
      <c r="E7" s="253"/>
      <c r="F7" s="253"/>
      <c r="G7" s="253"/>
      <c r="H7" s="253"/>
      <c r="I7" s="253"/>
      <c r="J7" s="253"/>
      <c r="K7" s="253"/>
      <c r="L7" s="260" t="s">
        <v>401</v>
      </c>
      <c r="M7" s="259" t="s">
        <v>402</v>
      </c>
      <c r="N7" s="256"/>
      <c r="O7" s="256"/>
      <c r="P7" s="259"/>
      <c r="Q7" s="585"/>
      <c r="R7" s="585"/>
      <c r="S7" s="585"/>
    </row>
    <row r="8" spans="1:19">
      <c r="A8" s="252" t="s">
        <v>403</v>
      </c>
      <c r="B8" s="253" t="s">
        <v>316</v>
      </c>
      <c r="C8" s="261"/>
      <c r="D8" s="261">
        <v>73705663.25597468</v>
      </c>
      <c r="E8" s="261">
        <v>5462682.2359244339</v>
      </c>
      <c r="F8" s="261">
        <v>166500</v>
      </c>
      <c r="G8" s="261">
        <v>236967</v>
      </c>
      <c r="H8" s="261">
        <v>7902777</v>
      </c>
      <c r="I8" s="261">
        <v>21174700</v>
      </c>
      <c r="J8" s="261">
        <v>10420461</v>
      </c>
      <c r="K8" s="253"/>
      <c r="L8" s="259"/>
      <c r="M8" s="256" t="s">
        <v>404</v>
      </c>
      <c r="N8" s="259"/>
      <c r="O8" s="262">
        <v>1</v>
      </c>
      <c r="P8" s="259"/>
      <c r="Q8" s="585"/>
      <c r="R8" s="585"/>
      <c r="S8" s="585"/>
    </row>
    <row r="9" spans="1:19">
      <c r="A9" s="252" t="s">
        <v>403</v>
      </c>
      <c r="B9" s="253" t="s">
        <v>317</v>
      </c>
      <c r="C9" s="261"/>
      <c r="D9" s="261">
        <v>49375177.74402532</v>
      </c>
      <c r="E9" s="261">
        <v>14596426.301056234</v>
      </c>
      <c r="F9" s="261">
        <v>166500</v>
      </c>
      <c r="G9" s="261">
        <v>312302</v>
      </c>
      <c r="H9" s="261">
        <v>7418409</v>
      </c>
      <c r="I9" s="261">
        <v>6811343</v>
      </c>
      <c r="J9" s="261"/>
      <c r="K9" s="253"/>
      <c r="L9" s="260" t="s">
        <v>405</v>
      </c>
      <c r="M9" s="259" t="s">
        <v>406</v>
      </c>
      <c r="N9" s="259"/>
      <c r="O9" s="259"/>
      <c r="P9" s="259"/>
      <c r="Q9" s="585"/>
      <c r="R9" s="585"/>
      <c r="S9" s="585"/>
    </row>
    <row r="10" spans="1:19">
      <c r="A10" s="252" t="s">
        <v>403</v>
      </c>
      <c r="B10" s="253" t="s">
        <v>318</v>
      </c>
      <c r="C10" s="261"/>
      <c r="D10" s="261"/>
      <c r="E10" s="261">
        <v>28197173.46301933</v>
      </c>
      <c r="F10" s="261">
        <v>2699784</v>
      </c>
      <c r="G10" s="261">
        <v>362324</v>
      </c>
      <c r="H10" s="261">
        <v>11869734</v>
      </c>
      <c r="I10" s="261">
        <v>1912058</v>
      </c>
      <c r="J10" s="261"/>
      <c r="K10" s="253"/>
      <c r="L10" s="259"/>
      <c r="M10" s="259"/>
      <c r="N10" s="259"/>
      <c r="O10" s="259"/>
      <c r="P10" s="259"/>
      <c r="Q10" s="585"/>
      <c r="R10" s="585"/>
      <c r="S10" s="585"/>
    </row>
    <row r="11" spans="1:19">
      <c r="A11" s="252" t="s">
        <v>403</v>
      </c>
      <c r="B11" s="253" t="s">
        <v>319</v>
      </c>
      <c r="C11" s="261"/>
      <c r="D11" s="261"/>
      <c r="E11" s="261"/>
      <c r="F11" s="261">
        <v>1805732</v>
      </c>
      <c r="G11" s="261">
        <v>204111</v>
      </c>
      <c r="H11" s="261">
        <v>2879938</v>
      </c>
      <c r="I11" s="261">
        <v>6085002</v>
      </c>
      <c r="J11" s="261"/>
      <c r="K11" s="253"/>
      <c r="L11" s="259"/>
      <c r="M11" s="259"/>
      <c r="N11" s="259"/>
      <c r="O11" s="259"/>
      <c r="P11" s="259"/>
      <c r="Q11" s="585"/>
      <c r="R11" s="585"/>
      <c r="S11" s="585"/>
    </row>
    <row r="12" spans="1:19">
      <c r="A12" s="252" t="s">
        <v>403</v>
      </c>
      <c r="B12" s="253" t="s">
        <v>320</v>
      </c>
      <c r="C12" s="225"/>
      <c r="D12" s="225"/>
      <c r="E12" s="225"/>
      <c r="F12" s="225">
        <v>993694</v>
      </c>
      <c r="G12" s="225"/>
      <c r="H12" s="225">
        <v>509344</v>
      </c>
      <c r="I12" s="225">
        <v>3093535</v>
      </c>
      <c r="J12" s="225"/>
      <c r="K12" s="253"/>
      <c r="L12" s="259"/>
      <c r="M12" s="259"/>
      <c r="N12" s="259"/>
      <c r="O12" s="259"/>
      <c r="P12" s="259"/>
      <c r="Q12" s="259"/>
      <c r="R12" s="259"/>
      <c r="S12" s="259"/>
    </row>
    <row r="13" spans="1:19">
      <c r="A13" s="252"/>
      <c r="B13" s="253"/>
      <c r="C13" s="226"/>
      <c r="D13" s="226"/>
      <c r="E13" s="226"/>
      <c r="F13" s="226"/>
      <c r="G13" s="226"/>
      <c r="H13" s="226"/>
      <c r="I13" s="226"/>
      <c r="J13" s="226"/>
      <c r="K13" s="253"/>
      <c r="L13" s="253"/>
      <c r="M13" s="253"/>
      <c r="N13" s="253"/>
      <c r="O13" s="253"/>
      <c r="P13" s="253"/>
      <c r="Q13" s="253"/>
      <c r="R13" s="253"/>
      <c r="S13" s="253"/>
    </row>
    <row r="14" spans="1:19">
      <c r="A14" s="252"/>
      <c r="B14" s="253" t="s">
        <v>321</v>
      </c>
      <c r="C14" s="261">
        <f>SUM(D14:J14)</f>
        <v>258362338</v>
      </c>
      <c r="D14" s="261">
        <f t="shared" ref="D14:J14" si="0">SUM(D8:D12)</f>
        <v>123080841</v>
      </c>
      <c r="E14" s="261">
        <f t="shared" si="0"/>
        <v>48256282</v>
      </c>
      <c r="F14" s="261">
        <f t="shared" si="0"/>
        <v>5832210</v>
      </c>
      <c r="G14" s="261">
        <f t="shared" si="0"/>
        <v>1115704</v>
      </c>
      <c r="H14" s="261">
        <f>SUM(H8:H12)</f>
        <v>30580202</v>
      </c>
      <c r="I14" s="261">
        <f>SUM(I8:I12)</f>
        <v>39076638</v>
      </c>
      <c r="J14" s="261">
        <f t="shared" si="0"/>
        <v>10420461</v>
      </c>
      <c r="K14" s="253"/>
      <c r="L14" s="253"/>
      <c r="M14" s="253"/>
      <c r="N14" s="253"/>
      <c r="O14" s="253"/>
      <c r="P14" s="253"/>
      <c r="Q14" s="253"/>
      <c r="R14" s="253"/>
      <c r="S14" s="253"/>
    </row>
    <row r="15" spans="1:19">
      <c r="A15" s="252"/>
      <c r="B15" s="253" t="s">
        <v>322</v>
      </c>
      <c r="C15" s="227"/>
      <c r="D15" s="227"/>
      <c r="E15" s="227"/>
      <c r="F15" s="227"/>
      <c r="G15" s="227"/>
      <c r="H15" s="227"/>
      <c r="I15" s="227"/>
      <c r="J15" s="227"/>
      <c r="K15" s="253"/>
      <c r="L15" s="253"/>
      <c r="M15" s="253"/>
      <c r="N15" s="253"/>
      <c r="O15" s="253"/>
      <c r="P15" s="253"/>
      <c r="Q15" s="253"/>
      <c r="R15" s="253"/>
      <c r="S15" s="253"/>
    </row>
    <row r="16" spans="1:19">
      <c r="A16" s="252"/>
      <c r="B16" s="253"/>
      <c r="C16" s="261"/>
      <c r="D16" s="261"/>
      <c r="E16" s="261"/>
      <c r="F16" s="261"/>
      <c r="G16" s="261"/>
      <c r="H16" s="261"/>
      <c r="I16" s="261"/>
      <c r="J16" s="261"/>
      <c r="K16" s="253"/>
      <c r="L16" s="253"/>
      <c r="M16" s="253"/>
      <c r="N16" s="253"/>
      <c r="O16" s="253"/>
      <c r="P16" s="253"/>
      <c r="Q16" s="253"/>
      <c r="R16" s="253"/>
      <c r="S16" s="253"/>
    </row>
    <row r="17" spans="1:19">
      <c r="A17" s="252"/>
      <c r="B17" s="253" t="s">
        <v>321</v>
      </c>
      <c r="C17" s="261">
        <f>SUM(D17:J17)</f>
        <v>258362338</v>
      </c>
      <c r="D17" s="261">
        <f t="shared" ref="D17:J17" si="1">D14+D15</f>
        <v>123080841</v>
      </c>
      <c r="E17" s="261">
        <f t="shared" si="1"/>
        <v>48256282</v>
      </c>
      <c r="F17" s="261">
        <f t="shared" si="1"/>
        <v>5832210</v>
      </c>
      <c r="G17" s="261">
        <f t="shared" si="1"/>
        <v>1115704</v>
      </c>
      <c r="H17" s="261">
        <f>H14+H15</f>
        <v>30580202</v>
      </c>
      <c r="I17" s="261">
        <f t="shared" si="1"/>
        <v>39076638</v>
      </c>
      <c r="J17" s="261">
        <f t="shared" si="1"/>
        <v>10420461</v>
      </c>
      <c r="K17" s="253"/>
      <c r="L17" s="253"/>
      <c r="M17" s="253"/>
      <c r="N17" s="253"/>
      <c r="O17" s="253"/>
      <c r="P17" s="253"/>
      <c r="Q17" s="253"/>
      <c r="R17" s="253"/>
      <c r="S17" s="253"/>
    </row>
    <row r="18" spans="1:19">
      <c r="A18" s="252" t="s">
        <v>403</v>
      </c>
      <c r="B18" s="253" t="s">
        <v>323</v>
      </c>
      <c r="C18" s="227">
        <f>SUM(D18:J18)</f>
        <v>0</v>
      </c>
      <c r="D18" s="227">
        <v>0</v>
      </c>
      <c r="E18" s="227">
        <v>0</v>
      </c>
      <c r="F18" s="227"/>
      <c r="G18" s="227"/>
      <c r="H18" s="227"/>
      <c r="I18" s="227"/>
      <c r="J18" s="227"/>
      <c r="K18" s="253"/>
      <c r="L18" s="253"/>
      <c r="M18" s="253"/>
      <c r="N18" s="253"/>
      <c r="O18" s="253"/>
      <c r="P18" s="253"/>
      <c r="Q18" s="253"/>
      <c r="R18" s="253"/>
      <c r="S18" s="253"/>
    </row>
    <row r="19" spans="1:19">
      <c r="A19" s="252"/>
      <c r="B19" s="253"/>
      <c r="C19" s="261"/>
      <c r="D19" s="261"/>
      <c r="E19" s="261"/>
      <c r="F19" s="261"/>
      <c r="G19" s="261"/>
      <c r="H19" s="261"/>
      <c r="I19" s="261"/>
      <c r="J19" s="261"/>
      <c r="K19" s="253"/>
      <c r="L19" s="253"/>
      <c r="M19" s="253"/>
      <c r="N19" s="253"/>
      <c r="O19" s="253"/>
      <c r="P19" s="253"/>
      <c r="Q19" s="253"/>
      <c r="R19" s="253"/>
      <c r="S19" s="253"/>
    </row>
    <row r="20" spans="1:19">
      <c r="A20" s="252"/>
      <c r="B20" s="253" t="s">
        <v>324</v>
      </c>
      <c r="C20" s="261">
        <f>SUM(D20:J20)</f>
        <v>258362338</v>
      </c>
      <c r="D20" s="261">
        <f t="shared" ref="D20:J20" si="2">D17+D18</f>
        <v>123080841</v>
      </c>
      <c r="E20" s="261">
        <f t="shared" si="2"/>
        <v>48256282</v>
      </c>
      <c r="F20" s="261">
        <f t="shared" si="2"/>
        <v>5832210</v>
      </c>
      <c r="G20" s="261">
        <f t="shared" si="2"/>
        <v>1115704</v>
      </c>
      <c r="H20" s="261">
        <f>H17+I18</f>
        <v>30580202</v>
      </c>
      <c r="I20" s="261">
        <f>I17+I18</f>
        <v>39076638</v>
      </c>
      <c r="J20" s="261">
        <f t="shared" si="2"/>
        <v>10420461</v>
      </c>
      <c r="K20" s="253"/>
      <c r="L20" s="253"/>
      <c r="M20" s="253"/>
      <c r="N20" s="253"/>
      <c r="O20" s="253"/>
      <c r="P20" s="253"/>
      <c r="Q20" s="253"/>
      <c r="R20" s="253"/>
      <c r="S20" s="253"/>
    </row>
    <row r="21" spans="1:19">
      <c r="A21" s="252" t="s">
        <v>325</v>
      </c>
      <c r="B21" s="253" t="s">
        <v>326</v>
      </c>
      <c r="C21" s="227">
        <f>SUM(D21:J21)</f>
        <v>-3175407</v>
      </c>
      <c r="D21" s="227">
        <f>D134+D137</f>
        <v>-2359234</v>
      </c>
      <c r="E21" s="227">
        <f t="shared" ref="E21:J21" si="3">E134+E137</f>
        <v>-719000</v>
      </c>
      <c r="F21" s="227">
        <f t="shared" si="3"/>
        <v>-97173</v>
      </c>
      <c r="G21" s="227">
        <f t="shared" si="3"/>
        <v>0</v>
      </c>
      <c r="H21" s="227">
        <f>H134+H137</f>
        <v>0</v>
      </c>
      <c r="I21" s="227">
        <f t="shared" si="3"/>
        <v>0</v>
      </c>
      <c r="J21" s="227">
        <f t="shared" si="3"/>
        <v>0</v>
      </c>
      <c r="K21" s="253"/>
      <c r="L21" s="253"/>
      <c r="M21" s="253"/>
      <c r="N21" s="253"/>
      <c r="O21" s="253"/>
      <c r="P21" s="253"/>
      <c r="Q21" s="253"/>
      <c r="R21" s="253"/>
      <c r="S21" s="253"/>
    </row>
    <row r="22" spans="1:19">
      <c r="A22" s="252"/>
      <c r="B22" s="253"/>
      <c r="C22" s="261"/>
      <c r="D22" s="261"/>
      <c r="E22" s="261"/>
      <c r="F22" s="261"/>
      <c r="G22" s="261"/>
      <c r="H22" s="261"/>
      <c r="I22" s="261"/>
      <c r="J22" s="261"/>
      <c r="K22" s="253"/>
      <c r="L22" s="253"/>
      <c r="M22" s="253"/>
      <c r="N22" s="253"/>
      <c r="O22" s="253"/>
      <c r="P22" s="253"/>
      <c r="Q22" s="253"/>
      <c r="R22" s="253"/>
      <c r="S22" s="253"/>
    </row>
    <row r="23" spans="1:19">
      <c r="A23" s="252"/>
      <c r="B23" s="253" t="s">
        <v>327</v>
      </c>
      <c r="C23" s="261">
        <f>IF(ROUND(SUM(C20:C21),3)&lt;&gt;ROUND(SUM(D23:J23),3),#VALUE!,SUM(D23:J23))</f>
        <v>255186931</v>
      </c>
      <c r="D23" s="261">
        <f t="shared" ref="D23:J23" si="4">SUM(D20:D21)</f>
        <v>120721607</v>
      </c>
      <c r="E23" s="261">
        <f t="shared" si="4"/>
        <v>47537282</v>
      </c>
      <c r="F23" s="261">
        <f t="shared" si="4"/>
        <v>5735037</v>
      </c>
      <c r="G23" s="261">
        <f t="shared" si="4"/>
        <v>1115704</v>
      </c>
      <c r="H23" s="261">
        <f>SUM(H20:H21)</f>
        <v>30580202</v>
      </c>
      <c r="I23" s="261">
        <f t="shared" si="4"/>
        <v>39076638</v>
      </c>
      <c r="J23" s="261">
        <f t="shared" si="4"/>
        <v>10420461</v>
      </c>
      <c r="K23" s="253"/>
      <c r="L23" s="253"/>
      <c r="M23" s="253"/>
      <c r="N23" s="253"/>
      <c r="O23" s="253"/>
      <c r="P23" s="253"/>
      <c r="Q23" s="253"/>
      <c r="R23" s="253"/>
      <c r="S23" s="253"/>
    </row>
    <row r="24" spans="1:19">
      <c r="A24" s="252"/>
      <c r="B24" s="253"/>
      <c r="C24" s="261"/>
      <c r="D24" s="261"/>
      <c r="E24" s="261"/>
      <c r="F24" s="261"/>
      <c r="G24" s="261"/>
      <c r="H24" s="261"/>
      <c r="I24" s="261"/>
      <c r="J24" s="261"/>
      <c r="K24" s="253"/>
      <c r="L24" s="253"/>
      <c r="M24" s="253"/>
      <c r="N24" s="253"/>
      <c r="O24" s="253"/>
      <c r="P24" s="253"/>
      <c r="Q24" s="253"/>
      <c r="R24" s="253"/>
      <c r="S24" s="253"/>
    </row>
    <row r="25" spans="1:19">
      <c r="A25" s="252" t="s">
        <v>403</v>
      </c>
      <c r="B25" s="253" t="s">
        <v>328</v>
      </c>
      <c r="C25" s="261"/>
      <c r="D25" s="261">
        <v>1787943</v>
      </c>
      <c r="E25" s="261"/>
      <c r="F25" s="261"/>
      <c r="G25" s="261">
        <v>24</v>
      </c>
      <c r="H25" s="261">
        <v>456</v>
      </c>
      <c r="I25" s="261">
        <v>48</v>
      </c>
      <c r="J25" s="261">
        <v>12</v>
      </c>
      <c r="K25" s="253"/>
      <c r="L25" s="253"/>
      <c r="M25" s="253"/>
      <c r="N25" s="253"/>
      <c r="O25" s="253"/>
      <c r="P25" s="253"/>
      <c r="Q25" s="253"/>
      <c r="R25" s="253"/>
      <c r="S25" s="253"/>
    </row>
    <row r="26" spans="1:19">
      <c r="A26" s="252" t="s">
        <v>403</v>
      </c>
      <c r="B26" s="253" t="s">
        <v>329</v>
      </c>
      <c r="C26" s="261"/>
      <c r="D26" s="261"/>
      <c r="E26" s="261">
        <v>30696.999999999956</v>
      </c>
      <c r="F26" s="261">
        <v>336</v>
      </c>
      <c r="G26" s="261"/>
      <c r="H26" s="261"/>
      <c r="I26" s="261"/>
      <c r="J26" s="261"/>
      <c r="K26" s="253"/>
      <c r="L26" s="253"/>
      <c r="M26" s="253"/>
      <c r="N26" s="253"/>
      <c r="O26" s="253"/>
      <c r="P26" s="253"/>
      <c r="Q26" s="253"/>
      <c r="R26" s="253"/>
      <c r="S26" s="253"/>
    </row>
    <row r="27" spans="1:19">
      <c r="A27" s="252"/>
      <c r="B27" s="253"/>
      <c r="C27" s="261"/>
      <c r="D27" s="261"/>
      <c r="E27" s="261"/>
      <c r="F27" s="261"/>
      <c r="G27" s="261"/>
      <c r="H27" s="261"/>
      <c r="I27" s="261"/>
      <c r="J27" s="261"/>
      <c r="K27" s="253"/>
      <c r="L27" s="253"/>
      <c r="M27" s="253"/>
      <c r="N27" s="253"/>
      <c r="O27" s="253"/>
      <c r="P27" s="253"/>
      <c r="Q27" s="253"/>
      <c r="R27" s="253"/>
      <c r="S27" s="253"/>
    </row>
    <row r="28" spans="1:19">
      <c r="A28" s="252" t="s">
        <v>299</v>
      </c>
      <c r="B28" s="254"/>
      <c r="C28" s="263"/>
      <c r="D28" s="263"/>
      <c r="E28" s="263"/>
      <c r="F28" s="263"/>
      <c r="G28" s="263"/>
      <c r="H28" s="263"/>
      <c r="I28" s="263"/>
      <c r="J28" s="263"/>
      <c r="K28" s="254"/>
      <c r="L28" s="254"/>
      <c r="M28" s="254"/>
      <c r="N28" s="254"/>
      <c r="O28" s="254"/>
      <c r="P28" s="254"/>
      <c r="Q28" s="254"/>
      <c r="R28" s="254"/>
      <c r="S28" s="254"/>
    </row>
    <row r="29" spans="1:19">
      <c r="A29" s="252"/>
      <c r="B29" s="223" t="s">
        <v>330</v>
      </c>
      <c r="C29" s="261"/>
      <c r="D29" s="261"/>
      <c r="E29" s="261"/>
      <c r="F29" s="261"/>
      <c r="G29" s="261"/>
      <c r="H29" s="261"/>
      <c r="I29" s="261"/>
      <c r="J29" s="261"/>
      <c r="K29" s="253"/>
      <c r="L29" s="253"/>
      <c r="M29" s="253"/>
      <c r="N29" s="253"/>
      <c r="O29" s="253"/>
      <c r="P29" s="253"/>
      <c r="Q29" s="253"/>
      <c r="R29" s="253"/>
      <c r="S29" s="253"/>
    </row>
    <row r="30" spans="1:19">
      <c r="A30" s="252"/>
      <c r="B30" s="224" t="s">
        <v>315</v>
      </c>
      <c r="C30" s="261"/>
      <c r="D30" s="261"/>
      <c r="E30" s="261"/>
      <c r="F30" s="261"/>
      <c r="G30" s="261"/>
      <c r="H30" s="261"/>
      <c r="I30" s="261"/>
      <c r="J30" s="261"/>
      <c r="K30" s="253"/>
      <c r="L30" s="253"/>
      <c r="M30" s="253"/>
      <c r="N30" s="253"/>
      <c r="O30" s="253"/>
      <c r="P30" s="253"/>
      <c r="Q30" s="253"/>
      <c r="R30" s="253"/>
      <c r="S30" s="253"/>
    </row>
    <row r="31" spans="1:19">
      <c r="A31" s="252"/>
      <c r="B31" s="253" t="s">
        <v>316</v>
      </c>
      <c r="C31" s="261"/>
      <c r="D31" s="261">
        <v>73705663.25597468</v>
      </c>
      <c r="E31" s="261">
        <v>5462682.2359244339</v>
      </c>
      <c r="F31" s="261">
        <v>166500</v>
      </c>
      <c r="G31" s="261">
        <v>236967</v>
      </c>
      <c r="H31" s="261">
        <v>7902777</v>
      </c>
      <c r="I31" s="261">
        <v>21174700</v>
      </c>
      <c r="J31" s="261">
        <v>10420461</v>
      </c>
      <c r="K31" s="253"/>
      <c r="L31" s="253"/>
      <c r="M31" s="253"/>
      <c r="N31" s="253"/>
      <c r="O31" s="253"/>
      <c r="P31" s="253"/>
      <c r="Q31" s="253"/>
      <c r="R31" s="253"/>
      <c r="S31" s="253"/>
    </row>
    <row r="32" spans="1:19">
      <c r="A32" s="252"/>
      <c r="B32" s="253" t="s">
        <v>317</v>
      </c>
      <c r="C32" s="261"/>
      <c r="D32" s="261">
        <v>49375177.74402532</v>
      </c>
      <c r="E32" s="261">
        <v>14596426.301056234</v>
      </c>
      <c r="F32" s="261">
        <v>166500</v>
      </c>
      <c r="G32" s="261">
        <v>312302</v>
      </c>
      <c r="H32" s="261">
        <v>7418409</v>
      </c>
      <c r="I32" s="261">
        <v>6811343</v>
      </c>
      <c r="J32" s="261">
        <v>0</v>
      </c>
      <c r="K32" s="253"/>
      <c r="L32" s="253"/>
      <c r="M32" s="253"/>
      <c r="N32" s="253"/>
      <c r="O32" s="253"/>
      <c r="P32" s="253"/>
      <c r="Q32" s="253"/>
      <c r="R32" s="253"/>
      <c r="S32" s="253"/>
    </row>
    <row r="33" spans="1:19">
      <c r="A33" s="252"/>
      <c r="B33" s="253" t="s">
        <v>318</v>
      </c>
      <c r="C33" s="261"/>
      <c r="D33" s="261">
        <v>0</v>
      </c>
      <c r="E33" s="261">
        <v>28197173.46301933</v>
      </c>
      <c r="F33" s="261">
        <v>2699784</v>
      </c>
      <c r="G33" s="261">
        <v>362324</v>
      </c>
      <c r="H33" s="261">
        <v>11869734</v>
      </c>
      <c r="I33" s="261">
        <v>1912058</v>
      </c>
      <c r="J33" s="261">
        <v>0</v>
      </c>
      <c r="K33" s="253"/>
      <c r="L33" s="253"/>
      <c r="M33" s="253"/>
      <c r="N33" s="253"/>
      <c r="O33" s="253"/>
      <c r="P33" s="253"/>
      <c r="Q33" s="253"/>
      <c r="R33" s="253"/>
      <c r="S33" s="253"/>
    </row>
    <row r="34" spans="1:19">
      <c r="A34" s="252"/>
      <c r="B34" s="253" t="s">
        <v>319</v>
      </c>
      <c r="C34" s="261"/>
      <c r="D34" s="261">
        <v>0</v>
      </c>
      <c r="E34" s="261">
        <v>0</v>
      </c>
      <c r="F34" s="261">
        <v>1805732</v>
      </c>
      <c r="G34" s="261">
        <v>204111</v>
      </c>
      <c r="H34" s="261">
        <v>2879938</v>
      </c>
      <c r="I34" s="261">
        <v>6085002</v>
      </c>
      <c r="J34" s="261">
        <v>0</v>
      </c>
      <c r="K34" s="253"/>
      <c r="L34" s="253"/>
      <c r="M34" s="253"/>
      <c r="N34" s="253"/>
      <c r="O34" s="253"/>
      <c r="P34" s="253"/>
      <c r="Q34" s="253"/>
      <c r="R34" s="253"/>
      <c r="S34" s="253"/>
    </row>
    <row r="35" spans="1:19">
      <c r="A35" s="252"/>
      <c r="B35" s="253" t="s">
        <v>320</v>
      </c>
      <c r="C35" s="225"/>
      <c r="D35" s="261">
        <v>0</v>
      </c>
      <c r="E35" s="261">
        <v>0</v>
      </c>
      <c r="F35" s="261">
        <v>993694</v>
      </c>
      <c r="G35" s="261">
        <v>0</v>
      </c>
      <c r="H35" s="261">
        <v>509344</v>
      </c>
      <c r="I35" s="261">
        <v>3093535</v>
      </c>
      <c r="J35" s="261">
        <v>0</v>
      </c>
      <c r="K35" s="253"/>
      <c r="L35" s="253"/>
      <c r="M35" s="253"/>
      <c r="N35" s="253"/>
      <c r="O35" s="253"/>
      <c r="P35" s="253"/>
      <c r="Q35" s="253"/>
      <c r="R35" s="253"/>
      <c r="S35" s="253"/>
    </row>
    <row r="36" spans="1:19">
      <c r="A36" s="252"/>
      <c r="B36" s="253"/>
      <c r="C36" s="226"/>
      <c r="D36" s="226"/>
      <c r="E36" s="226"/>
      <c r="F36" s="226"/>
      <c r="G36" s="226"/>
      <c r="H36" s="226"/>
      <c r="I36" s="226"/>
      <c r="J36" s="226"/>
      <c r="K36" s="253"/>
      <c r="L36" s="253"/>
      <c r="M36" s="253"/>
      <c r="N36" s="253"/>
      <c r="O36" s="253"/>
      <c r="P36" s="253"/>
      <c r="Q36" s="253"/>
      <c r="R36" s="253"/>
      <c r="S36" s="253"/>
    </row>
    <row r="37" spans="1:19">
      <c r="A37" s="252"/>
      <c r="B37" s="253" t="s">
        <v>321</v>
      </c>
      <c r="C37" s="261">
        <f>SUM(D37:J37)</f>
        <v>258362338</v>
      </c>
      <c r="D37" s="261">
        <f t="shared" ref="D37:J37" si="5">SUM(D31:D35)</f>
        <v>123080841</v>
      </c>
      <c r="E37" s="261">
        <f t="shared" si="5"/>
        <v>48256282</v>
      </c>
      <c r="F37" s="261">
        <f t="shared" si="5"/>
        <v>5832210</v>
      </c>
      <c r="G37" s="261">
        <f t="shared" si="5"/>
        <v>1115704</v>
      </c>
      <c r="H37" s="261">
        <f>SUM(H31:H35)</f>
        <v>30580202</v>
      </c>
      <c r="I37" s="261">
        <f>SUM(I31:I35)</f>
        <v>39076638</v>
      </c>
      <c r="J37" s="261">
        <f t="shared" si="5"/>
        <v>10420461</v>
      </c>
      <c r="K37" s="253"/>
      <c r="L37" s="253"/>
      <c r="M37" s="253"/>
      <c r="N37" s="253"/>
      <c r="O37" s="253"/>
      <c r="P37" s="253"/>
      <c r="Q37" s="253"/>
      <c r="R37" s="253"/>
      <c r="S37" s="253"/>
    </row>
    <row r="38" spans="1:19">
      <c r="A38" s="252"/>
      <c r="B38" s="253" t="s">
        <v>331</v>
      </c>
      <c r="C38" s="227">
        <f>SUM(D38:J38)</f>
        <v>0</v>
      </c>
      <c r="D38" s="227">
        <f t="shared" ref="D38:J38" si="6">D15</f>
        <v>0</v>
      </c>
      <c r="E38" s="227">
        <f t="shared" si="6"/>
        <v>0</v>
      </c>
      <c r="F38" s="227">
        <f t="shared" si="6"/>
        <v>0</v>
      </c>
      <c r="G38" s="227">
        <f t="shared" si="6"/>
        <v>0</v>
      </c>
      <c r="H38" s="227">
        <f>H15</f>
        <v>0</v>
      </c>
      <c r="I38" s="227">
        <f t="shared" si="6"/>
        <v>0</v>
      </c>
      <c r="J38" s="227">
        <f t="shared" si="6"/>
        <v>0</v>
      </c>
      <c r="K38" s="253"/>
      <c r="L38" s="253"/>
      <c r="M38" s="253"/>
      <c r="N38" s="253"/>
      <c r="O38" s="253"/>
      <c r="P38" s="253"/>
      <c r="Q38" s="253"/>
      <c r="R38" s="253"/>
      <c r="S38" s="253"/>
    </row>
    <row r="39" spans="1:19">
      <c r="A39" s="252"/>
      <c r="B39" s="253"/>
      <c r="C39" s="261"/>
      <c r="D39" s="261"/>
      <c r="E39" s="261"/>
      <c r="F39" s="261"/>
      <c r="G39" s="261"/>
      <c r="H39" s="261"/>
      <c r="I39" s="261"/>
      <c r="J39" s="261"/>
      <c r="K39" s="253"/>
      <c r="L39" s="253"/>
      <c r="M39" s="253"/>
      <c r="N39" s="253"/>
      <c r="O39" s="253"/>
      <c r="P39" s="253"/>
      <c r="Q39" s="253"/>
      <c r="R39" s="253"/>
      <c r="S39" s="253"/>
    </row>
    <row r="40" spans="1:19">
      <c r="A40" s="252"/>
      <c r="B40" s="253" t="s">
        <v>321</v>
      </c>
      <c r="C40" s="261">
        <f>SUM(D40:J40)</f>
        <v>258362338</v>
      </c>
      <c r="D40" s="261">
        <f t="shared" ref="D40:J40" si="7">D37+D38</f>
        <v>123080841</v>
      </c>
      <c r="E40" s="261">
        <f t="shared" si="7"/>
        <v>48256282</v>
      </c>
      <c r="F40" s="261">
        <f t="shared" si="7"/>
        <v>5832210</v>
      </c>
      <c r="G40" s="261">
        <f t="shared" si="7"/>
        <v>1115704</v>
      </c>
      <c r="H40" s="261">
        <f>H37+H38</f>
        <v>30580202</v>
      </c>
      <c r="I40" s="261">
        <f t="shared" si="7"/>
        <v>39076638</v>
      </c>
      <c r="J40" s="261">
        <f t="shared" si="7"/>
        <v>10420461</v>
      </c>
      <c r="K40" s="253"/>
      <c r="L40" s="253"/>
      <c r="M40" s="253"/>
      <c r="N40" s="253"/>
      <c r="O40" s="253"/>
      <c r="P40" s="253"/>
      <c r="Q40" s="253"/>
      <c r="R40" s="253"/>
      <c r="S40" s="253"/>
    </row>
    <row r="41" spans="1:19">
      <c r="A41" s="252"/>
      <c r="B41" s="253" t="s">
        <v>323</v>
      </c>
      <c r="C41" s="227">
        <f>SUM(D41:J41)</f>
        <v>0</v>
      </c>
      <c r="D41" s="227">
        <f t="shared" ref="D41:J41" si="8">D18</f>
        <v>0</v>
      </c>
      <c r="E41" s="227">
        <f t="shared" si="8"/>
        <v>0</v>
      </c>
      <c r="F41" s="227">
        <f t="shared" si="8"/>
        <v>0</v>
      </c>
      <c r="G41" s="227">
        <f t="shared" si="8"/>
        <v>0</v>
      </c>
      <c r="H41" s="227">
        <f t="shared" si="8"/>
        <v>0</v>
      </c>
      <c r="I41" s="227">
        <f t="shared" si="8"/>
        <v>0</v>
      </c>
      <c r="J41" s="227">
        <f t="shared" si="8"/>
        <v>0</v>
      </c>
      <c r="K41" s="253"/>
      <c r="L41" s="253"/>
      <c r="M41" s="253"/>
      <c r="N41" s="253"/>
      <c r="O41" s="253"/>
      <c r="P41" s="253"/>
      <c r="Q41" s="253"/>
      <c r="R41" s="253"/>
      <c r="S41" s="253"/>
    </row>
    <row r="42" spans="1:19">
      <c r="A42" s="252"/>
      <c r="B42" s="253"/>
      <c r="C42" s="261"/>
      <c r="D42" s="261"/>
      <c r="E42" s="261"/>
      <c r="F42" s="261"/>
      <c r="G42" s="261"/>
      <c r="H42" s="261"/>
      <c r="I42" s="261"/>
      <c r="J42" s="261"/>
      <c r="K42" s="253"/>
      <c r="L42" s="253"/>
      <c r="M42" s="253"/>
      <c r="N42" s="253"/>
      <c r="O42" s="253"/>
      <c r="P42" s="253"/>
      <c r="Q42" s="253"/>
      <c r="R42" s="253"/>
      <c r="S42" s="253"/>
    </row>
    <row r="43" spans="1:19">
      <c r="A43" s="252"/>
      <c r="B43" s="253" t="s">
        <v>324</v>
      </c>
      <c r="C43" s="261">
        <f>SUM(D43:J43)</f>
        <v>258362338</v>
      </c>
      <c r="D43" s="261">
        <f t="shared" ref="D43:J43" si="9">D40+D41</f>
        <v>123080841</v>
      </c>
      <c r="E43" s="261">
        <f t="shared" si="9"/>
        <v>48256282</v>
      </c>
      <c r="F43" s="261">
        <f t="shared" si="9"/>
        <v>5832210</v>
      </c>
      <c r="G43" s="261">
        <f t="shared" si="9"/>
        <v>1115704</v>
      </c>
      <c r="H43" s="261">
        <f>H40+H41</f>
        <v>30580202</v>
      </c>
      <c r="I43" s="261">
        <f>I40+I41</f>
        <v>39076638</v>
      </c>
      <c r="J43" s="261">
        <f t="shared" si="9"/>
        <v>10420461</v>
      </c>
      <c r="K43" s="253"/>
      <c r="L43" s="253"/>
      <c r="M43" s="253"/>
      <c r="N43" s="253"/>
      <c r="O43" s="253"/>
      <c r="P43" s="253"/>
      <c r="Q43" s="253"/>
      <c r="R43" s="253"/>
      <c r="S43" s="253"/>
    </row>
    <row r="44" spans="1:19">
      <c r="A44" s="252"/>
      <c r="B44" s="253" t="s">
        <v>326</v>
      </c>
      <c r="C44" s="227">
        <f>SUM(D44:J44)</f>
        <v>-3175407</v>
      </c>
      <c r="D44" s="227">
        <f t="shared" ref="D44:J44" si="10">D21</f>
        <v>-2359234</v>
      </c>
      <c r="E44" s="227">
        <f t="shared" si="10"/>
        <v>-719000</v>
      </c>
      <c r="F44" s="227">
        <f t="shared" si="10"/>
        <v>-97173</v>
      </c>
      <c r="G44" s="227">
        <f t="shared" si="10"/>
        <v>0</v>
      </c>
      <c r="H44" s="227">
        <f>H21</f>
        <v>0</v>
      </c>
      <c r="I44" s="227">
        <f t="shared" si="10"/>
        <v>0</v>
      </c>
      <c r="J44" s="227">
        <f t="shared" si="10"/>
        <v>0</v>
      </c>
      <c r="K44" s="253"/>
      <c r="L44" s="253"/>
      <c r="M44" s="253"/>
      <c r="N44" s="253"/>
      <c r="O44" s="253"/>
      <c r="P44" s="253"/>
      <c r="Q44" s="253"/>
      <c r="R44" s="253"/>
      <c r="S44" s="253"/>
    </row>
    <row r="45" spans="1:19">
      <c r="A45" s="252"/>
      <c r="B45" s="253"/>
      <c r="C45" s="261"/>
      <c r="D45" s="261"/>
      <c r="E45" s="261"/>
      <c r="F45" s="261"/>
      <c r="G45" s="261"/>
      <c r="H45" s="261"/>
      <c r="I45" s="261"/>
      <c r="J45" s="261"/>
      <c r="K45" s="253"/>
      <c r="L45" s="253"/>
      <c r="M45" s="253"/>
      <c r="N45" s="253"/>
      <c r="O45" s="253"/>
      <c r="P45" s="253"/>
      <c r="Q45" s="253"/>
      <c r="R45" s="253"/>
      <c r="S45" s="253"/>
    </row>
    <row r="46" spans="1:19">
      <c r="A46" s="252"/>
      <c r="B46" s="253" t="s">
        <v>327</v>
      </c>
      <c r="C46" s="261">
        <f>IF(ROUND(SUM(C43:C44),3)&lt;&gt;ROUND(SUM(D46:J46),3),#VALUE!,SUM(D46:J46))</f>
        <v>255186931</v>
      </c>
      <c r="D46" s="261">
        <f t="shared" ref="D46:J46" si="11">D43+D44</f>
        <v>120721607</v>
      </c>
      <c r="E46" s="261">
        <f t="shared" si="11"/>
        <v>47537282</v>
      </c>
      <c r="F46" s="261">
        <f t="shared" si="11"/>
        <v>5735037</v>
      </c>
      <c r="G46" s="261">
        <f t="shared" si="11"/>
        <v>1115704</v>
      </c>
      <c r="H46" s="261">
        <f>H43+H44</f>
        <v>30580202</v>
      </c>
      <c r="I46" s="261">
        <f t="shared" si="11"/>
        <v>39076638</v>
      </c>
      <c r="J46" s="261">
        <f t="shared" si="11"/>
        <v>10420461</v>
      </c>
      <c r="K46" s="253"/>
      <c r="L46" s="253"/>
      <c r="M46" s="253"/>
      <c r="N46" s="253"/>
      <c r="O46" s="253"/>
      <c r="P46" s="253"/>
      <c r="Q46" s="253"/>
      <c r="R46" s="253"/>
      <c r="S46" s="253"/>
    </row>
    <row r="47" spans="1:19">
      <c r="A47" s="252"/>
      <c r="B47" s="253"/>
      <c r="C47" s="261"/>
      <c r="D47" s="261"/>
      <c r="E47" s="261"/>
      <c r="F47" s="261"/>
      <c r="G47" s="261"/>
      <c r="H47" s="261"/>
      <c r="I47" s="261"/>
      <c r="J47" s="261"/>
      <c r="K47" s="253"/>
      <c r="L47" s="253"/>
      <c r="M47" s="253"/>
      <c r="N47" s="253"/>
      <c r="O47" s="253"/>
      <c r="P47" s="253"/>
      <c r="Q47" s="253"/>
      <c r="R47" s="253"/>
      <c r="S47" s="253"/>
    </row>
    <row r="48" spans="1:19">
      <c r="A48" s="252"/>
      <c r="B48" s="253" t="s">
        <v>328</v>
      </c>
      <c r="C48" s="261"/>
      <c r="D48" s="261">
        <f t="shared" ref="D48:F49" si="12">D25</f>
        <v>1787943</v>
      </c>
      <c r="E48" s="261">
        <f t="shared" si="12"/>
        <v>0</v>
      </c>
      <c r="F48" s="261">
        <f t="shared" si="12"/>
        <v>0</v>
      </c>
      <c r="G48" s="261">
        <f>G25</f>
        <v>24</v>
      </c>
      <c r="H48" s="261">
        <f>H25</f>
        <v>456</v>
      </c>
      <c r="I48" s="261">
        <f>I25</f>
        <v>48</v>
      </c>
      <c r="J48" s="261">
        <f>J25</f>
        <v>12</v>
      </c>
      <c r="K48" s="253"/>
      <c r="L48" s="253"/>
      <c r="M48" s="253"/>
      <c r="N48" s="253"/>
      <c r="O48" s="253"/>
      <c r="P48" s="253"/>
      <c r="Q48" s="253"/>
      <c r="R48" s="253"/>
      <c r="S48" s="253"/>
    </row>
    <row r="49" spans="1:19">
      <c r="A49" s="252"/>
      <c r="B49" s="253" t="s">
        <v>329</v>
      </c>
      <c r="C49" s="261"/>
      <c r="D49" s="261">
        <f t="shared" si="12"/>
        <v>0</v>
      </c>
      <c r="E49" s="261">
        <f t="shared" si="12"/>
        <v>30696.999999999956</v>
      </c>
      <c r="F49" s="261">
        <f t="shared" si="12"/>
        <v>336</v>
      </c>
      <c r="G49" s="261"/>
      <c r="H49" s="261"/>
      <c r="I49" s="261"/>
      <c r="J49" s="261"/>
      <c r="K49" s="253"/>
      <c r="L49" s="253"/>
      <c r="M49" s="253"/>
      <c r="N49" s="253"/>
      <c r="O49" s="253"/>
      <c r="P49" s="253"/>
      <c r="Q49" s="253"/>
      <c r="R49" s="253"/>
      <c r="S49" s="253"/>
    </row>
    <row r="50" spans="1:19">
      <c r="A50" s="252"/>
      <c r="B50" s="253"/>
      <c r="C50" s="264"/>
      <c r="D50" s="265"/>
      <c r="E50" s="265">
        <v>2</v>
      </c>
      <c r="F50" s="265">
        <v>3</v>
      </c>
      <c r="G50" s="265">
        <v>4</v>
      </c>
      <c r="H50" s="265">
        <v>5</v>
      </c>
      <c r="I50" s="265">
        <v>6</v>
      </c>
      <c r="J50" s="265">
        <v>7</v>
      </c>
      <c r="K50" s="253"/>
      <c r="L50" s="253"/>
      <c r="M50" s="253"/>
      <c r="N50" s="253"/>
      <c r="O50" s="253"/>
      <c r="P50" s="253"/>
      <c r="Q50" s="253"/>
      <c r="R50" s="253"/>
      <c r="S50" s="253"/>
    </row>
    <row r="51" spans="1:19">
      <c r="A51" s="252"/>
      <c r="B51" s="253"/>
      <c r="C51" s="264"/>
      <c r="D51" s="266"/>
      <c r="E51" s="266"/>
      <c r="F51" s="266"/>
      <c r="G51" s="266"/>
      <c r="H51" s="266"/>
      <c r="I51" s="264"/>
      <c r="J51" s="254" t="s">
        <v>296</v>
      </c>
      <c r="K51" s="253"/>
      <c r="L51" s="253"/>
      <c r="M51" s="253"/>
      <c r="N51" s="253"/>
      <c r="O51" s="253"/>
      <c r="P51" s="253"/>
      <c r="Q51" s="253"/>
      <c r="R51" s="253"/>
      <c r="S51" s="253"/>
    </row>
    <row r="52" spans="1:19">
      <c r="A52" s="252"/>
      <c r="B52" s="253"/>
      <c r="C52" s="264"/>
      <c r="D52" s="253"/>
      <c r="E52" s="253"/>
      <c r="F52" s="253"/>
      <c r="G52" s="253"/>
      <c r="H52" s="253"/>
      <c r="I52" s="253"/>
      <c r="J52" s="221" t="s">
        <v>297</v>
      </c>
      <c r="K52" s="253"/>
      <c r="L52" s="253"/>
      <c r="M52" s="253"/>
      <c r="N52" s="253"/>
      <c r="O52" s="253"/>
      <c r="P52" s="253"/>
      <c r="Q52" s="253"/>
      <c r="R52" s="253"/>
      <c r="S52" s="253"/>
    </row>
    <row r="53" spans="1:19">
      <c r="A53" s="255" t="s">
        <v>298</v>
      </c>
      <c r="B53" s="254"/>
      <c r="C53" s="254" t="s">
        <v>299</v>
      </c>
      <c r="D53" s="254" t="s">
        <v>300</v>
      </c>
      <c r="E53" s="254" t="s">
        <v>301</v>
      </c>
      <c r="F53" s="254" t="s">
        <v>302</v>
      </c>
      <c r="G53" s="254" t="s">
        <v>303</v>
      </c>
      <c r="H53" s="254" t="s">
        <v>296</v>
      </c>
      <c r="I53" s="254" t="s">
        <v>296</v>
      </c>
      <c r="J53" s="254" t="s">
        <v>304</v>
      </c>
      <c r="K53" s="254"/>
      <c r="L53" s="254"/>
      <c r="M53" s="259" t="e">
        <f ca="1">"selected in cell "&amp;CELL("address",Base1_Billing2)&amp;":"</f>
        <v>#REF!</v>
      </c>
      <c r="N53" s="254"/>
      <c r="O53" s="254"/>
      <c r="P53" s="254"/>
      <c r="Q53" s="254"/>
      <c r="R53" s="254"/>
      <c r="S53" s="254"/>
    </row>
    <row r="54" spans="1:19">
      <c r="A54" s="255" t="s">
        <v>305</v>
      </c>
      <c r="B54" s="222"/>
      <c r="C54" s="222" t="s">
        <v>306</v>
      </c>
      <c r="D54" s="222" t="s">
        <v>307</v>
      </c>
      <c r="E54" s="222" t="s">
        <v>332</v>
      </c>
      <c r="F54" s="222" t="s">
        <v>333</v>
      </c>
      <c r="G54" s="222" t="s">
        <v>334</v>
      </c>
      <c r="H54" s="222" t="s">
        <v>311</v>
      </c>
      <c r="I54" s="222" t="s">
        <v>312</v>
      </c>
      <c r="J54" s="222" t="s">
        <v>313</v>
      </c>
      <c r="K54" s="254"/>
      <c r="L54" s="254"/>
      <c r="M54" s="267">
        <f>O10</f>
        <v>0</v>
      </c>
      <c r="N54" s="254"/>
      <c r="O54" s="254"/>
      <c r="P54" s="254"/>
      <c r="Q54" s="254"/>
      <c r="R54" s="254"/>
      <c r="S54" s="254"/>
    </row>
    <row r="55" spans="1:19">
      <c r="A55" s="252"/>
      <c r="B55" s="223" t="s">
        <v>335</v>
      </c>
      <c r="C55" s="253"/>
      <c r="D55" s="253"/>
      <c r="E55" s="253"/>
      <c r="F55" s="253"/>
      <c r="G55" s="253"/>
      <c r="H55" s="253"/>
      <c r="I55" s="268">
        <v>-1</v>
      </c>
      <c r="J55" s="268">
        <v>-2</v>
      </c>
      <c r="K55" s="253"/>
      <c r="L55" s="253"/>
      <c r="M55" s="259" t="str">
        <f>"Rates_"&amp;$M$54&amp;"_Present"</f>
        <v>Rates_0_Present</v>
      </c>
      <c r="N55" s="253"/>
      <c r="O55" s="269" t="s">
        <v>407</v>
      </c>
      <c r="P55" s="253"/>
      <c r="Q55" s="253"/>
      <c r="R55" s="253"/>
      <c r="S55" s="253"/>
    </row>
    <row r="56" spans="1:19" ht="13.5">
      <c r="A56" s="270" t="s">
        <v>408</v>
      </c>
      <c r="B56" s="253" t="s">
        <v>336</v>
      </c>
      <c r="C56" s="253"/>
      <c r="D56" s="271">
        <v>9</v>
      </c>
      <c r="E56" s="271">
        <v>0</v>
      </c>
      <c r="F56" s="271">
        <v>0</v>
      </c>
      <c r="G56" s="271">
        <v>0</v>
      </c>
      <c r="H56" s="271">
        <v>500</v>
      </c>
      <c r="I56" s="272">
        <v>200</v>
      </c>
      <c r="J56" s="272">
        <v>26332</v>
      </c>
      <c r="K56" s="273">
        <v>1</v>
      </c>
      <c r="L56" s="253"/>
      <c r="M56" s="259" t="str">
        <f>"Rates_"&amp;$M$54&amp;"_Proposed"</f>
        <v>Rates_0_Proposed</v>
      </c>
      <c r="N56" s="253"/>
      <c r="O56" s="269" t="s">
        <v>409</v>
      </c>
      <c r="P56" s="253"/>
      <c r="Q56" s="253"/>
      <c r="R56" s="253"/>
      <c r="S56" s="253"/>
    </row>
    <row r="57" spans="1:19" ht="13.5">
      <c r="A57" s="270" t="s">
        <v>408</v>
      </c>
      <c r="B57" s="253" t="s">
        <v>410</v>
      </c>
      <c r="C57" s="253"/>
      <c r="D57" s="271">
        <v>0</v>
      </c>
      <c r="E57" s="271">
        <v>87.04</v>
      </c>
      <c r="F57" s="271">
        <v>215.24</v>
      </c>
      <c r="G57" s="271">
        <v>0</v>
      </c>
      <c r="H57" s="274"/>
      <c r="I57" s="272">
        <v>0</v>
      </c>
      <c r="J57" s="272">
        <v>0</v>
      </c>
      <c r="K57" s="273">
        <v>2</v>
      </c>
      <c r="L57" s="253"/>
      <c r="M57" s="253"/>
      <c r="N57" s="253"/>
      <c r="O57" s="253"/>
      <c r="P57" s="253"/>
      <c r="Q57" s="253"/>
      <c r="R57" s="253"/>
      <c r="S57" s="253"/>
    </row>
    <row r="58" spans="1:19">
      <c r="A58" s="252"/>
      <c r="B58" s="253"/>
      <c r="C58" s="253"/>
      <c r="D58" s="253"/>
      <c r="E58" s="253"/>
      <c r="F58" s="253"/>
      <c r="G58" s="253"/>
      <c r="H58" s="253"/>
      <c r="I58" s="273"/>
      <c r="J58" s="273"/>
      <c r="K58" s="253"/>
      <c r="L58" s="253"/>
      <c r="M58" s="253"/>
      <c r="N58" s="253"/>
      <c r="O58" s="253"/>
      <c r="P58" s="253"/>
      <c r="Q58" s="253"/>
      <c r="R58" s="253"/>
      <c r="S58" s="253"/>
    </row>
    <row r="59" spans="1:19" ht="13.5">
      <c r="A59" s="270" t="s">
        <v>408</v>
      </c>
      <c r="B59" s="253" t="s">
        <v>338</v>
      </c>
      <c r="C59" s="253"/>
      <c r="D59" s="275">
        <v>84.807999999999993</v>
      </c>
      <c r="E59" s="275">
        <v>52.454999999999998</v>
      </c>
      <c r="F59" s="275">
        <v>50.545000000000002</v>
      </c>
      <c r="G59" s="275">
        <v>70.180999999999997</v>
      </c>
      <c r="H59" s="275">
        <v>8.770999999999999</v>
      </c>
      <c r="I59" s="276">
        <v>2.8</v>
      </c>
      <c r="J59" s="276">
        <v>1</v>
      </c>
      <c r="K59" s="273">
        <v>3</v>
      </c>
      <c r="L59" s="253"/>
      <c r="M59" s="253"/>
      <c r="N59" s="253"/>
      <c r="O59" s="253"/>
      <c r="P59" s="253"/>
      <c r="Q59" s="253"/>
      <c r="R59" s="253"/>
      <c r="S59" s="253"/>
    </row>
    <row r="60" spans="1:19" ht="13.5">
      <c r="A60" s="270" t="s">
        <v>408</v>
      </c>
      <c r="B60" s="253" t="s">
        <v>339</v>
      </c>
      <c r="C60" s="253"/>
      <c r="D60" s="275">
        <v>95.420999999999992</v>
      </c>
      <c r="E60" s="275">
        <v>82.834000000000003</v>
      </c>
      <c r="F60" s="275">
        <v>82.771000000000001</v>
      </c>
      <c r="G60" s="275">
        <v>65.424999999999997</v>
      </c>
      <c r="H60" s="275">
        <v>7.8090000000000002</v>
      </c>
      <c r="I60" s="277">
        <v>4.5</v>
      </c>
      <c r="J60" s="276">
        <v>0</v>
      </c>
      <c r="K60" s="273">
        <v>4</v>
      </c>
      <c r="L60" s="253"/>
      <c r="M60" s="253"/>
      <c r="N60" s="253"/>
      <c r="O60" s="253"/>
      <c r="P60" s="253"/>
      <c r="Q60" s="253"/>
      <c r="R60" s="253"/>
      <c r="S60" s="253"/>
    </row>
    <row r="61" spans="1:19" ht="13.5">
      <c r="A61" s="270" t="s">
        <v>408</v>
      </c>
      <c r="B61" s="253" t="s">
        <v>340</v>
      </c>
      <c r="C61" s="253"/>
      <c r="D61" s="275">
        <v>0</v>
      </c>
      <c r="E61" s="275">
        <v>75.152999999999992</v>
      </c>
      <c r="F61" s="275">
        <v>74.88900000000001</v>
      </c>
      <c r="G61" s="275">
        <v>64.25800000000001</v>
      </c>
      <c r="H61" s="275">
        <v>7.0460000000000003</v>
      </c>
      <c r="I61" s="276">
        <v>3.1680000000000001</v>
      </c>
      <c r="J61" s="276">
        <v>0</v>
      </c>
      <c r="K61" s="273">
        <v>5</v>
      </c>
      <c r="L61" s="253"/>
      <c r="M61" s="253"/>
      <c r="N61" s="253"/>
      <c r="O61" s="253"/>
      <c r="P61" s="253"/>
      <c r="Q61" s="253"/>
      <c r="R61" s="253"/>
      <c r="S61" s="253"/>
    </row>
    <row r="62" spans="1:19" ht="13.5">
      <c r="A62" s="270" t="s">
        <v>408</v>
      </c>
      <c r="B62" s="253" t="s">
        <v>341</v>
      </c>
      <c r="C62" s="253"/>
      <c r="D62" s="275">
        <v>0</v>
      </c>
      <c r="E62" s="275">
        <v>0</v>
      </c>
      <c r="F62" s="275">
        <v>69.94</v>
      </c>
      <c r="G62" s="275">
        <v>63.871000000000002</v>
      </c>
      <c r="H62" s="275">
        <v>6.5200000000000005</v>
      </c>
      <c r="I62" s="276">
        <v>2.5</v>
      </c>
      <c r="J62" s="276">
        <v>0</v>
      </c>
      <c r="K62" s="273">
        <v>6</v>
      </c>
      <c r="L62" s="253"/>
      <c r="M62" s="253"/>
      <c r="N62" s="253"/>
      <c r="O62" s="253"/>
      <c r="P62" s="253"/>
      <c r="Q62" s="253"/>
      <c r="R62" s="253"/>
      <c r="S62" s="253"/>
    </row>
    <row r="63" spans="1:19" ht="13.5">
      <c r="A63" s="270" t="s">
        <v>408</v>
      </c>
      <c r="B63" s="253" t="s">
        <v>342</v>
      </c>
      <c r="C63" s="253"/>
      <c r="D63" s="275">
        <v>0</v>
      </c>
      <c r="E63" s="275">
        <v>0</v>
      </c>
      <c r="F63" s="275">
        <v>62.817</v>
      </c>
      <c r="G63" s="275">
        <v>0</v>
      </c>
      <c r="H63" s="275">
        <v>4.9119999999999999</v>
      </c>
      <c r="I63" s="276">
        <v>2.0910000000000002</v>
      </c>
      <c r="J63" s="276">
        <v>0</v>
      </c>
      <c r="K63" s="273">
        <v>7</v>
      </c>
      <c r="L63" s="253"/>
      <c r="M63" s="253"/>
      <c r="N63" s="253"/>
      <c r="O63" s="253"/>
      <c r="P63" s="253"/>
      <c r="Q63" s="253"/>
      <c r="R63" s="253"/>
      <c r="S63" s="253"/>
    </row>
    <row r="64" spans="1:19">
      <c r="A64" s="252"/>
      <c r="B64" s="253"/>
      <c r="C64" s="253"/>
      <c r="D64" s="275"/>
      <c r="E64" s="275"/>
      <c r="F64" s="275"/>
      <c r="G64" s="275"/>
      <c r="H64" s="275"/>
      <c r="I64" s="275"/>
      <c r="J64" s="275"/>
      <c r="K64" s="253"/>
      <c r="L64" s="253"/>
      <c r="M64" s="253"/>
      <c r="N64" s="253"/>
      <c r="O64" s="253"/>
      <c r="P64" s="253"/>
      <c r="Q64" s="253"/>
      <c r="R64" s="253"/>
      <c r="S64" s="253"/>
    </row>
    <row r="65" spans="1:19">
      <c r="A65" s="252"/>
      <c r="B65" s="253" t="s">
        <v>343</v>
      </c>
      <c r="C65" s="253"/>
      <c r="D65" s="275">
        <v>89.065516906892114</v>
      </c>
      <c r="E65" s="275">
        <v>74.906880517649498</v>
      </c>
      <c r="F65" s="275">
        <v>70.829927420308934</v>
      </c>
      <c r="G65" s="275">
        <v>65.771861533166515</v>
      </c>
      <c r="H65" s="275"/>
      <c r="I65" s="275"/>
      <c r="J65" s="275"/>
      <c r="K65" s="253"/>
      <c r="L65" s="253"/>
      <c r="M65" s="253"/>
      <c r="N65" s="253"/>
      <c r="O65" s="253"/>
      <c r="P65" s="253"/>
      <c r="Q65" s="253"/>
      <c r="R65" s="253"/>
      <c r="S65" s="253"/>
    </row>
    <row r="66" spans="1:19">
      <c r="A66" s="252"/>
      <c r="B66" s="253"/>
      <c r="C66" s="253"/>
      <c r="D66" s="278"/>
      <c r="E66" s="278"/>
      <c r="F66" s="278"/>
      <c r="G66" s="278"/>
      <c r="H66" s="278"/>
      <c r="I66" s="278"/>
      <c r="J66" s="278"/>
      <c r="K66" s="253"/>
      <c r="L66" s="253"/>
      <c r="M66" s="253"/>
      <c r="N66" s="253"/>
      <c r="O66" s="253"/>
      <c r="P66" s="253"/>
      <c r="Q66" s="253"/>
      <c r="R66" s="253"/>
      <c r="S66" s="253"/>
    </row>
    <row r="67" spans="1:19">
      <c r="A67" s="253"/>
      <c r="B67" s="253"/>
      <c r="C67" s="253"/>
      <c r="D67" s="253"/>
      <c r="E67" s="253"/>
      <c r="F67" s="253"/>
      <c r="G67" s="253"/>
      <c r="H67" s="253"/>
      <c r="I67" s="253"/>
      <c r="J67" s="253"/>
      <c r="K67" s="253"/>
      <c r="L67" s="253"/>
      <c r="M67" s="253"/>
      <c r="N67" s="253"/>
      <c r="O67" s="253"/>
      <c r="P67" s="253"/>
      <c r="Q67" s="253"/>
      <c r="R67" s="253"/>
      <c r="S67" s="253"/>
    </row>
    <row r="68" spans="1:19">
      <c r="A68" s="253"/>
      <c r="B68" s="253"/>
      <c r="C68" s="253"/>
      <c r="D68" s="253"/>
      <c r="E68" s="253"/>
      <c r="F68" s="253"/>
      <c r="G68" s="253"/>
      <c r="H68" s="253"/>
      <c r="I68" s="253"/>
      <c r="J68" s="253"/>
      <c r="K68" s="253"/>
      <c r="L68" s="253"/>
      <c r="M68" s="253"/>
      <c r="N68" s="253"/>
      <c r="O68" s="253"/>
      <c r="P68" s="253"/>
      <c r="Q68" s="253"/>
      <c r="R68" s="253"/>
      <c r="S68" s="253"/>
    </row>
    <row r="69" spans="1:19">
      <c r="A69" s="253"/>
      <c r="B69" s="253"/>
      <c r="C69" s="253"/>
      <c r="D69" s="253"/>
      <c r="E69" s="253"/>
      <c r="F69" s="253"/>
      <c r="G69" s="253"/>
      <c r="H69" s="253"/>
      <c r="I69" s="253"/>
      <c r="J69" s="253"/>
      <c r="K69" s="253"/>
      <c r="L69" s="253"/>
      <c r="M69" s="253"/>
      <c r="N69" s="253"/>
      <c r="O69" s="253"/>
      <c r="P69" s="253"/>
      <c r="Q69" s="253"/>
      <c r="R69" s="253"/>
      <c r="S69" s="253"/>
    </row>
    <row r="70" spans="1:19">
      <c r="A70" s="252"/>
      <c r="B70" s="253"/>
      <c r="C70" s="253"/>
      <c r="D70" s="278"/>
      <c r="E70" s="278"/>
      <c r="F70" s="278"/>
      <c r="G70" s="278"/>
      <c r="H70" s="278"/>
      <c r="I70" s="278"/>
      <c r="J70" s="278"/>
      <c r="K70" s="253"/>
      <c r="L70" s="253"/>
      <c r="M70" s="253"/>
      <c r="N70" s="253"/>
      <c r="O70" s="253"/>
      <c r="P70" s="253"/>
      <c r="Q70" s="253"/>
      <c r="R70" s="253"/>
      <c r="S70" s="253"/>
    </row>
    <row r="71" spans="1:19">
      <c r="A71" s="252"/>
      <c r="B71" s="253"/>
      <c r="C71" s="253"/>
      <c r="D71" s="278"/>
      <c r="E71" s="278"/>
      <c r="F71" s="278"/>
      <c r="G71" s="278"/>
      <c r="H71" s="278"/>
      <c r="I71" s="278"/>
      <c r="J71" s="278"/>
      <c r="K71" s="253"/>
      <c r="L71" s="253"/>
      <c r="M71" s="253"/>
      <c r="N71" s="253"/>
      <c r="O71" s="253"/>
      <c r="P71" s="253"/>
      <c r="Q71" s="253"/>
      <c r="R71" s="253"/>
      <c r="S71" s="253"/>
    </row>
    <row r="72" spans="1:19">
      <c r="A72" s="252"/>
      <c r="B72" s="253"/>
      <c r="C72" s="253"/>
      <c r="D72" s="278"/>
      <c r="E72" s="278"/>
      <c r="F72" s="278"/>
      <c r="G72" s="278"/>
      <c r="H72" s="278"/>
      <c r="I72" s="278"/>
      <c r="J72" s="278"/>
      <c r="K72" s="253"/>
      <c r="L72" s="253"/>
      <c r="M72" s="253"/>
      <c r="N72" s="253"/>
      <c r="O72" s="253"/>
      <c r="P72" s="253"/>
      <c r="Q72" s="253"/>
      <c r="R72" s="253"/>
      <c r="S72" s="253"/>
    </row>
    <row r="73" spans="1:19">
      <c r="A73" s="252"/>
      <c r="B73" s="223" t="s">
        <v>344</v>
      </c>
      <c r="C73" s="253"/>
      <c r="D73" s="253"/>
      <c r="E73" s="253"/>
      <c r="F73" s="253"/>
      <c r="G73" s="253"/>
      <c r="H73" s="253"/>
      <c r="I73" s="253"/>
      <c r="J73" s="253"/>
      <c r="K73" s="253"/>
      <c r="L73" s="253"/>
      <c r="M73" s="253"/>
      <c r="N73" s="253"/>
      <c r="O73" s="253"/>
      <c r="P73" s="253"/>
      <c r="Q73" s="253"/>
      <c r="R73" s="253"/>
      <c r="S73" s="253"/>
    </row>
    <row r="74" spans="1:19">
      <c r="A74" s="252"/>
      <c r="B74" s="253" t="s">
        <v>336</v>
      </c>
      <c r="C74" s="253"/>
      <c r="D74" s="271">
        <v>9</v>
      </c>
      <c r="E74" s="271">
        <v>0</v>
      </c>
      <c r="F74" s="271">
        <v>0</v>
      </c>
      <c r="G74" s="271">
        <v>0</v>
      </c>
      <c r="H74" s="271">
        <v>500</v>
      </c>
      <c r="I74" s="272">
        <v>200</v>
      </c>
      <c r="J74" s="272">
        <v>26332</v>
      </c>
      <c r="K74" s="273">
        <v>1</v>
      </c>
      <c r="L74" s="253"/>
      <c r="M74" s="253"/>
      <c r="N74" s="253"/>
      <c r="O74" s="253"/>
      <c r="P74" s="253"/>
      <c r="Q74" s="253"/>
      <c r="R74" s="253"/>
      <c r="S74" s="253"/>
    </row>
    <row r="75" spans="1:19">
      <c r="A75" s="252"/>
      <c r="B75" s="253" t="s">
        <v>337</v>
      </c>
      <c r="C75" s="253"/>
      <c r="D75" s="271">
        <v>0</v>
      </c>
      <c r="E75" s="271">
        <v>87.04</v>
      </c>
      <c r="F75" s="271">
        <v>215.24</v>
      </c>
      <c r="G75" s="271">
        <v>0</v>
      </c>
      <c r="H75" s="271">
        <v>0</v>
      </c>
      <c r="I75" s="272">
        <v>0</v>
      </c>
      <c r="J75" s="272">
        <v>0</v>
      </c>
      <c r="K75" s="273">
        <v>2</v>
      </c>
      <c r="L75" s="253"/>
      <c r="M75" s="253"/>
      <c r="N75" s="253"/>
      <c r="O75" s="253"/>
      <c r="P75" s="253"/>
      <c r="Q75" s="253"/>
      <c r="R75" s="253"/>
      <c r="S75" s="253"/>
    </row>
    <row r="76" spans="1:19">
      <c r="A76" s="252"/>
      <c r="B76" s="253"/>
      <c r="C76" s="253"/>
      <c r="D76" s="253"/>
      <c r="E76" s="253"/>
      <c r="F76" s="253"/>
      <c r="G76" s="253"/>
      <c r="H76" s="253"/>
      <c r="I76" s="273"/>
      <c r="J76" s="273"/>
      <c r="K76" s="253"/>
      <c r="L76" s="253"/>
      <c r="M76" s="253"/>
      <c r="N76" s="253"/>
      <c r="O76" s="253"/>
      <c r="P76" s="253"/>
      <c r="Q76" s="253"/>
      <c r="R76" s="253"/>
      <c r="S76" s="253"/>
    </row>
    <row r="77" spans="1:19">
      <c r="A77" s="252"/>
      <c r="B77" s="253" t="s">
        <v>338</v>
      </c>
      <c r="C77" s="253"/>
      <c r="D77" s="275">
        <v>84.808000000000007</v>
      </c>
      <c r="E77" s="275">
        <v>52.454999999999998</v>
      </c>
      <c r="F77" s="275">
        <v>50.545000000000002</v>
      </c>
      <c r="G77" s="275">
        <v>70.180999999999997</v>
      </c>
      <c r="H77" s="275">
        <v>8.7710000000000008</v>
      </c>
      <c r="I77" s="276">
        <v>2.8</v>
      </c>
      <c r="J77" s="276">
        <v>1</v>
      </c>
      <c r="K77" s="273">
        <v>3</v>
      </c>
      <c r="L77" s="253"/>
      <c r="M77" s="253"/>
      <c r="N77" s="253"/>
      <c r="O77" s="253"/>
      <c r="P77" s="253"/>
      <c r="Q77" s="253"/>
      <c r="R77" s="253"/>
      <c r="S77" s="253"/>
    </row>
    <row r="78" spans="1:19">
      <c r="A78" s="252"/>
      <c r="B78" s="253" t="s">
        <v>339</v>
      </c>
      <c r="C78" s="253"/>
      <c r="D78" s="275">
        <v>95.421000000000006</v>
      </c>
      <c r="E78" s="275">
        <v>82.834000000000003</v>
      </c>
      <c r="F78" s="275">
        <v>82.771000000000001</v>
      </c>
      <c r="G78" s="275">
        <v>65.424999999999997</v>
      </c>
      <c r="H78" s="275">
        <v>7.8090000000000002</v>
      </c>
      <c r="I78" s="277">
        <v>4.5</v>
      </c>
      <c r="J78" s="276">
        <v>0</v>
      </c>
      <c r="K78" s="273">
        <v>4</v>
      </c>
      <c r="L78" s="253"/>
      <c r="M78" s="253"/>
      <c r="N78" s="253"/>
      <c r="O78" s="253"/>
      <c r="P78" s="253"/>
      <c r="Q78" s="253"/>
      <c r="R78" s="253"/>
      <c r="S78" s="253"/>
    </row>
    <row r="79" spans="1:19">
      <c r="A79" s="252"/>
      <c r="B79" s="253" t="s">
        <v>340</v>
      </c>
      <c r="C79" s="253"/>
      <c r="D79" s="275">
        <v>0</v>
      </c>
      <c r="E79" s="275">
        <v>75.153000000000006</v>
      </c>
      <c r="F79" s="275">
        <v>74.888999999999996</v>
      </c>
      <c r="G79" s="275">
        <v>64.257999999999996</v>
      </c>
      <c r="H79" s="275">
        <v>7.0460000000000003</v>
      </c>
      <c r="I79" s="276">
        <v>3.1680000000000001</v>
      </c>
      <c r="J79" s="276">
        <v>0</v>
      </c>
      <c r="K79" s="273">
        <v>5</v>
      </c>
      <c r="L79" s="253"/>
      <c r="M79" s="253"/>
      <c r="N79" s="253"/>
      <c r="O79" s="253"/>
      <c r="P79" s="253"/>
      <c r="Q79" s="253"/>
      <c r="R79" s="253"/>
      <c r="S79" s="253"/>
    </row>
    <row r="80" spans="1:19">
      <c r="A80" s="252"/>
      <c r="B80" s="253" t="s">
        <v>341</v>
      </c>
      <c r="C80" s="253"/>
      <c r="D80" s="275">
        <v>0</v>
      </c>
      <c r="E80" s="275">
        <v>0</v>
      </c>
      <c r="F80" s="275">
        <v>69.94</v>
      </c>
      <c r="G80" s="275">
        <v>63.871000000000002</v>
      </c>
      <c r="H80" s="275">
        <v>6.52</v>
      </c>
      <c r="I80" s="276">
        <v>2.5</v>
      </c>
      <c r="J80" s="276">
        <v>0</v>
      </c>
      <c r="K80" s="273">
        <v>6</v>
      </c>
      <c r="L80" s="253"/>
      <c r="M80" s="253"/>
      <c r="N80" s="253"/>
      <c r="O80" s="253"/>
      <c r="P80" s="253"/>
      <c r="Q80" s="253"/>
      <c r="R80" s="253"/>
      <c r="S80" s="253"/>
    </row>
    <row r="81" spans="1:19">
      <c r="A81" s="252"/>
      <c r="B81" s="253" t="s">
        <v>342</v>
      </c>
      <c r="C81" s="253"/>
      <c r="D81" s="275">
        <v>0</v>
      </c>
      <c r="E81" s="275">
        <v>0</v>
      </c>
      <c r="F81" s="275">
        <v>62.817</v>
      </c>
      <c r="G81" s="275">
        <v>0</v>
      </c>
      <c r="H81" s="275">
        <v>4.9119999999999999</v>
      </c>
      <c r="I81" s="276">
        <v>2.0910000000000002</v>
      </c>
      <c r="J81" s="276">
        <v>0</v>
      </c>
      <c r="K81" s="273">
        <v>7</v>
      </c>
      <c r="L81" s="253"/>
      <c r="M81" s="253"/>
      <c r="N81" s="253"/>
      <c r="O81" s="253"/>
      <c r="P81" s="253"/>
      <c r="Q81" s="253"/>
      <c r="R81" s="253"/>
      <c r="S81" s="253"/>
    </row>
    <row r="82" spans="1:19">
      <c r="A82" s="252"/>
      <c r="B82" s="253"/>
      <c r="C82" s="253"/>
      <c r="D82" s="275"/>
      <c r="E82" s="275"/>
      <c r="F82" s="275"/>
      <c r="G82" s="275"/>
      <c r="H82" s="275"/>
      <c r="I82" s="275"/>
      <c r="J82" s="275"/>
      <c r="K82" s="253"/>
      <c r="L82" s="253"/>
      <c r="M82" s="253"/>
      <c r="N82" s="253"/>
      <c r="O82" s="253"/>
      <c r="P82" s="253"/>
      <c r="Q82" s="253"/>
      <c r="R82" s="253"/>
      <c r="S82" s="253"/>
    </row>
    <row r="83" spans="1:19">
      <c r="A83" s="252"/>
      <c r="B83" s="253" t="s">
        <v>343</v>
      </c>
      <c r="C83" s="253"/>
      <c r="D83" s="275">
        <v>89.065516906892114</v>
      </c>
      <c r="E83" s="275">
        <v>74.906880517649498</v>
      </c>
      <c r="F83" s="275">
        <v>70.829927420308934</v>
      </c>
      <c r="G83" s="275">
        <v>65.771861533166515</v>
      </c>
      <c r="H83" s="275"/>
      <c r="I83" s="275"/>
      <c r="J83" s="275"/>
      <c r="K83" s="253"/>
      <c r="L83" s="253"/>
      <c r="M83" s="253"/>
      <c r="N83" s="253"/>
      <c r="O83" s="253"/>
      <c r="P83" s="253"/>
      <c r="Q83" s="253"/>
      <c r="R83" s="253"/>
      <c r="S83" s="253"/>
    </row>
    <row r="84" spans="1:19">
      <c r="A84" s="252"/>
      <c r="B84" s="253"/>
      <c r="C84" s="253"/>
      <c r="D84" s="278"/>
      <c r="E84" s="278"/>
      <c r="F84" s="278"/>
      <c r="G84" s="278"/>
      <c r="H84" s="278"/>
      <c r="I84" s="278"/>
      <c r="J84" s="278"/>
      <c r="K84" s="253"/>
      <c r="L84" s="253"/>
      <c r="M84" s="253"/>
      <c r="N84" s="253"/>
      <c r="O84" s="253"/>
      <c r="P84" s="253"/>
      <c r="Q84" s="253"/>
      <c r="R84" s="253"/>
      <c r="S84" s="253"/>
    </row>
    <row r="85" spans="1:19">
      <c r="A85" s="253"/>
      <c r="B85" s="253"/>
      <c r="C85" s="253"/>
      <c r="D85" s="253"/>
      <c r="E85" s="253"/>
      <c r="F85" s="253"/>
      <c r="G85" s="253"/>
      <c r="H85" s="253"/>
      <c r="I85" s="253"/>
      <c r="J85" s="253"/>
      <c r="K85" s="253"/>
      <c r="L85" s="253"/>
      <c r="M85" s="253"/>
      <c r="N85" s="253"/>
      <c r="O85" s="253"/>
      <c r="P85" s="253"/>
      <c r="Q85" s="253"/>
      <c r="R85" s="253"/>
      <c r="S85" s="253"/>
    </row>
    <row r="86" spans="1:19">
      <c r="A86" s="253"/>
      <c r="B86" s="279"/>
      <c r="C86" s="253"/>
      <c r="D86" s="253"/>
      <c r="E86" s="253"/>
      <c r="F86" s="253"/>
      <c r="G86" s="253"/>
      <c r="H86" s="253"/>
      <c r="I86" s="253"/>
      <c r="J86" s="253"/>
      <c r="K86" s="253"/>
      <c r="L86" s="253"/>
      <c r="M86" s="253"/>
      <c r="N86" s="253"/>
      <c r="O86" s="253"/>
      <c r="P86" s="253"/>
      <c r="Q86" s="253"/>
      <c r="R86" s="253"/>
      <c r="S86" s="253"/>
    </row>
    <row r="87" spans="1:19">
      <c r="A87" s="252"/>
      <c r="B87" s="253" t="s">
        <v>411</v>
      </c>
      <c r="C87" s="253"/>
      <c r="D87" s="278"/>
      <c r="E87" s="278"/>
      <c r="F87" s="278"/>
      <c r="G87" s="278"/>
      <c r="H87" s="278"/>
      <c r="I87" s="278"/>
      <c r="J87" s="278"/>
      <c r="K87" s="253"/>
      <c r="L87" s="253"/>
      <c r="M87" s="253"/>
      <c r="N87" s="253"/>
      <c r="O87" s="253"/>
      <c r="P87" s="253"/>
      <c r="Q87" s="253"/>
      <c r="R87" s="253"/>
      <c r="S87" s="253"/>
    </row>
    <row r="88" spans="1:19">
      <c r="A88" s="252"/>
      <c r="B88" s="280" t="s">
        <v>412</v>
      </c>
      <c r="C88" s="253"/>
      <c r="D88" s="278"/>
      <c r="E88" s="278"/>
      <c r="F88" s="278"/>
      <c r="G88" s="278"/>
      <c r="H88" s="278"/>
      <c r="I88" s="278"/>
      <c r="J88" s="278"/>
      <c r="K88" s="253"/>
      <c r="L88" s="253"/>
      <c r="M88" s="253"/>
      <c r="N88" s="253"/>
      <c r="O88" s="253"/>
      <c r="P88" s="253"/>
      <c r="Q88" s="253"/>
      <c r="R88" s="253"/>
      <c r="S88" s="253"/>
    </row>
    <row r="89" spans="1:19">
      <c r="A89" s="252"/>
      <c r="B89" s="253" t="s">
        <v>413</v>
      </c>
      <c r="C89" s="253"/>
      <c r="D89" s="278"/>
      <c r="E89" s="278"/>
      <c r="F89" s="278"/>
      <c r="G89" s="278"/>
      <c r="H89" s="278"/>
      <c r="I89" s="278"/>
      <c r="J89" s="278"/>
      <c r="K89" s="253"/>
      <c r="L89" s="253"/>
      <c r="M89" s="253"/>
      <c r="N89" s="253"/>
      <c r="O89" s="253"/>
      <c r="P89" s="253"/>
      <c r="Q89" s="253"/>
      <c r="R89" s="253"/>
      <c r="S89" s="253"/>
    </row>
    <row r="90" spans="1:19">
      <c r="A90" s="252"/>
      <c r="B90" s="253" t="s">
        <v>414</v>
      </c>
      <c r="C90" s="253"/>
      <c r="D90" s="278"/>
      <c r="E90" s="278"/>
      <c r="F90" s="278"/>
      <c r="G90" s="278"/>
      <c r="H90" s="278"/>
      <c r="I90" s="278"/>
      <c r="J90" s="278"/>
      <c r="K90" s="253"/>
      <c r="L90" s="253"/>
      <c r="M90" s="253"/>
      <c r="N90" s="253"/>
      <c r="O90" s="253"/>
      <c r="P90" s="253"/>
      <c r="Q90" s="253"/>
      <c r="R90" s="253"/>
      <c r="S90" s="253"/>
    </row>
    <row r="91" spans="1:19">
      <c r="A91" s="252"/>
      <c r="B91" s="253" t="s">
        <v>345</v>
      </c>
      <c r="C91" s="253"/>
      <c r="D91" s="278"/>
      <c r="E91" s="278"/>
      <c r="F91" s="278"/>
      <c r="G91" s="278"/>
      <c r="H91" s="278"/>
      <c r="I91" s="278"/>
      <c r="J91" s="278"/>
      <c r="K91" s="253"/>
      <c r="L91" s="253"/>
      <c r="M91" s="253"/>
      <c r="N91" s="253"/>
      <c r="O91" s="253"/>
      <c r="P91" s="253"/>
      <c r="Q91" s="253"/>
      <c r="R91" s="253"/>
      <c r="S91" s="253"/>
    </row>
    <row r="92" spans="1:19">
      <c r="A92" s="252"/>
      <c r="B92" s="253"/>
      <c r="C92" s="253"/>
      <c r="D92" s="278"/>
      <c r="E92" s="278"/>
      <c r="F92" s="278"/>
      <c r="G92" s="278"/>
      <c r="H92" s="278"/>
      <c r="I92" s="278"/>
      <c r="J92" s="278"/>
      <c r="K92" s="253"/>
      <c r="L92" s="253"/>
      <c r="M92" s="253"/>
      <c r="N92" s="253"/>
      <c r="O92" s="253"/>
      <c r="P92" s="253"/>
      <c r="Q92" s="253"/>
      <c r="R92" s="253"/>
      <c r="S92" s="253"/>
    </row>
    <row r="93" spans="1:19">
      <c r="A93" s="252"/>
      <c r="B93" s="253" t="s">
        <v>415</v>
      </c>
      <c r="C93" s="253"/>
      <c r="D93" s="278"/>
      <c r="E93" s="278"/>
      <c r="F93" s="278"/>
      <c r="G93" s="278"/>
      <c r="H93" s="278"/>
      <c r="I93" s="278"/>
      <c r="J93" s="278"/>
      <c r="K93" s="253"/>
      <c r="L93" s="253"/>
      <c r="M93" s="253"/>
      <c r="N93" s="253"/>
      <c r="O93" s="253"/>
      <c r="P93" s="253"/>
      <c r="Q93" s="253"/>
      <c r="R93" s="253"/>
      <c r="S93" s="253"/>
    </row>
    <row r="94" spans="1:19">
      <c r="A94" s="252"/>
      <c r="B94" s="253"/>
      <c r="C94" s="253"/>
      <c r="D94" s="253"/>
      <c r="E94" s="253"/>
      <c r="F94" s="253"/>
      <c r="G94" s="253"/>
      <c r="H94" s="253"/>
      <c r="I94" s="253"/>
      <c r="J94" s="253"/>
      <c r="K94" s="253"/>
      <c r="L94" s="253"/>
      <c r="M94" s="253"/>
      <c r="N94" s="253"/>
      <c r="O94" s="253"/>
      <c r="P94" s="253"/>
      <c r="Q94" s="253"/>
      <c r="R94" s="253"/>
      <c r="S94" s="253"/>
    </row>
    <row r="95" spans="1:19">
      <c r="A95" s="252"/>
      <c r="B95" s="253"/>
      <c r="C95" s="253"/>
      <c r="D95" s="253"/>
      <c r="E95" s="253"/>
      <c r="F95" s="253"/>
      <c r="G95" s="253"/>
      <c r="H95" s="253"/>
      <c r="I95" s="253"/>
      <c r="J95" s="253"/>
      <c r="K95" s="253"/>
      <c r="L95" s="253"/>
      <c r="M95" s="253"/>
      <c r="N95" s="253"/>
      <c r="O95" s="253"/>
      <c r="P95" s="253"/>
      <c r="Q95" s="253"/>
      <c r="R95" s="253"/>
      <c r="S95" s="253"/>
    </row>
    <row r="96" spans="1:19">
      <c r="A96" s="252"/>
      <c r="B96" s="253"/>
      <c r="C96" s="253"/>
      <c r="D96" s="253"/>
      <c r="E96" s="253"/>
      <c r="F96" s="253"/>
      <c r="G96" s="253"/>
      <c r="H96" s="253"/>
      <c r="I96" s="253"/>
      <c r="J96" s="253"/>
      <c r="K96" s="253"/>
      <c r="L96" s="253"/>
      <c r="M96" s="253"/>
      <c r="N96" s="253"/>
      <c r="O96" s="253"/>
      <c r="P96" s="253"/>
      <c r="Q96" s="253"/>
      <c r="R96" s="253"/>
      <c r="S96" s="253"/>
    </row>
    <row r="97" spans="1:19">
      <c r="A97" s="252"/>
      <c r="B97" s="279" t="str">
        <f>"Note: Rates include Sch. 150 (Purch. Gas Cost Adj.)"</f>
        <v>Note: Rates include Sch. 150 (Purch. Gas Cost Adj.)</v>
      </c>
      <c r="C97" s="253"/>
      <c r="D97" s="253"/>
      <c r="E97" s="253"/>
      <c r="F97" s="253"/>
      <c r="G97" s="253"/>
      <c r="H97" s="253"/>
      <c r="I97" s="253"/>
      <c r="J97" s="253"/>
      <c r="K97" s="253"/>
      <c r="L97" s="253"/>
      <c r="M97" s="253"/>
      <c r="N97" s="253"/>
      <c r="O97" s="253"/>
      <c r="P97" s="253"/>
      <c r="Q97" s="253"/>
      <c r="R97" s="253"/>
      <c r="S97" s="253"/>
    </row>
    <row r="98" spans="1:19">
      <c r="A98" s="252"/>
      <c r="B98" s="253"/>
      <c r="C98" s="253"/>
      <c r="D98" s="253"/>
      <c r="E98" s="253"/>
      <c r="F98" s="253"/>
      <c r="G98" s="253"/>
      <c r="H98" s="253"/>
      <c r="I98" s="253"/>
      <c r="J98" s="253"/>
      <c r="K98" s="253"/>
      <c r="L98" s="253"/>
      <c r="M98" s="253"/>
      <c r="N98" s="253"/>
      <c r="O98" s="253"/>
      <c r="P98" s="253"/>
      <c r="Q98" s="253"/>
      <c r="R98" s="253"/>
      <c r="S98" s="253"/>
    </row>
    <row r="99" spans="1:19">
      <c r="A99" s="252"/>
      <c r="B99" s="253"/>
      <c r="C99" s="253"/>
      <c r="D99" s="253"/>
      <c r="E99" s="253"/>
      <c r="F99" s="253"/>
      <c r="G99" s="253"/>
      <c r="H99" s="253"/>
      <c r="I99" s="253"/>
      <c r="J99" s="253"/>
      <c r="K99" s="253"/>
      <c r="L99" s="253"/>
      <c r="M99" s="253"/>
      <c r="N99" s="253"/>
      <c r="O99" s="253"/>
      <c r="P99" s="253"/>
      <c r="Q99" s="253"/>
      <c r="R99" s="253"/>
      <c r="S99" s="253"/>
    </row>
    <row r="100" spans="1:19">
      <c r="A100" s="252"/>
      <c r="B100" s="253"/>
      <c r="C100" s="253"/>
      <c r="D100" s="253"/>
      <c r="E100" s="253"/>
      <c r="F100" s="253"/>
      <c r="G100" s="253"/>
      <c r="H100" s="253"/>
      <c r="I100" s="253"/>
      <c r="J100" s="254" t="s">
        <v>296</v>
      </c>
      <c r="K100" s="253"/>
      <c r="L100" s="253"/>
      <c r="M100" s="253"/>
      <c r="N100" s="253"/>
      <c r="O100" s="253"/>
      <c r="P100" s="253"/>
      <c r="Q100" s="253"/>
      <c r="R100" s="253"/>
      <c r="S100" s="253"/>
    </row>
    <row r="101" spans="1:19">
      <c r="A101" s="252"/>
      <c r="B101" s="253"/>
      <c r="C101" s="253"/>
      <c r="D101" s="253"/>
      <c r="E101" s="253"/>
      <c r="F101" s="253"/>
      <c r="G101" s="253"/>
      <c r="H101" s="253"/>
      <c r="I101" s="253"/>
      <c r="J101" s="221" t="s">
        <v>297</v>
      </c>
      <c r="K101" s="253"/>
      <c r="L101" s="253"/>
      <c r="M101" s="253"/>
      <c r="N101" s="253"/>
      <c r="O101" s="253"/>
      <c r="P101" s="253"/>
      <c r="Q101" s="253"/>
      <c r="R101" s="253"/>
      <c r="S101" s="253"/>
    </row>
    <row r="102" spans="1:19">
      <c r="A102" s="255" t="s">
        <v>298</v>
      </c>
      <c r="B102" s="254"/>
      <c r="C102" s="254" t="s">
        <v>299</v>
      </c>
      <c r="D102" s="254" t="s">
        <v>300</v>
      </c>
      <c r="E102" s="254" t="s">
        <v>301</v>
      </c>
      <c r="F102" s="254" t="s">
        <v>302</v>
      </c>
      <c r="G102" s="254" t="s">
        <v>303</v>
      </c>
      <c r="H102" s="254" t="s">
        <v>296</v>
      </c>
      <c r="I102" s="254" t="s">
        <v>296</v>
      </c>
      <c r="J102" s="254" t="s">
        <v>304</v>
      </c>
      <c r="K102" s="254"/>
      <c r="L102" s="254"/>
      <c r="M102" s="254"/>
      <c r="N102" s="254"/>
      <c r="O102" s="254"/>
      <c r="P102" s="254"/>
      <c r="Q102" s="254"/>
      <c r="R102" s="254"/>
      <c r="S102" s="254"/>
    </row>
    <row r="103" spans="1:19">
      <c r="A103" s="255" t="s">
        <v>305</v>
      </c>
      <c r="B103" s="222"/>
      <c r="C103" s="222" t="s">
        <v>306</v>
      </c>
      <c r="D103" s="222" t="s">
        <v>307</v>
      </c>
      <c r="E103" s="222" t="s">
        <v>332</v>
      </c>
      <c r="F103" s="222" t="s">
        <v>333</v>
      </c>
      <c r="G103" s="222" t="s">
        <v>334</v>
      </c>
      <c r="H103" s="222" t="s">
        <v>311</v>
      </c>
      <c r="I103" s="222" t="s">
        <v>312</v>
      </c>
      <c r="J103" s="222" t="s">
        <v>313</v>
      </c>
      <c r="K103" s="254"/>
      <c r="L103" s="254"/>
      <c r="M103" s="254"/>
      <c r="N103" s="254"/>
      <c r="O103" s="254"/>
      <c r="P103" s="254"/>
      <c r="Q103" s="254"/>
      <c r="R103" s="254"/>
      <c r="S103" s="254"/>
    </row>
    <row r="104" spans="1:19">
      <c r="A104" s="252"/>
      <c r="B104" s="223" t="s">
        <v>346</v>
      </c>
      <c r="C104" s="281"/>
      <c r="D104" s="281"/>
      <c r="E104" s="281"/>
      <c r="F104" s="281"/>
      <c r="G104" s="281"/>
      <c r="H104" s="281"/>
      <c r="I104" s="281"/>
      <c r="J104" s="281"/>
      <c r="K104" s="253"/>
      <c r="L104" s="253"/>
      <c r="M104" s="253"/>
      <c r="N104" s="253"/>
      <c r="O104" s="253"/>
      <c r="P104" s="253"/>
      <c r="Q104" s="253"/>
      <c r="R104" s="253"/>
      <c r="S104" s="253"/>
    </row>
    <row r="105" spans="1:19">
      <c r="A105" s="252"/>
      <c r="B105" s="253" t="s">
        <v>347</v>
      </c>
      <c r="C105" s="281"/>
      <c r="D105" s="281"/>
      <c r="E105" s="281"/>
      <c r="F105" s="281"/>
      <c r="G105" s="281"/>
      <c r="H105" s="281"/>
      <c r="I105" s="281"/>
      <c r="J105" s="281"/>
      <c r="K105" s="253"/>
      <c r="L105" s="253"/>
      <c r="M105" s="253"/>
      <c r="N105" s="253"/>
      <c r="O105" s="253"/>
      <c r="P105" s="253"/>
      <c r="Q105" s="253"/>
      <c r="R105" s="253"/>
      <c r="S105" s="253"/>
    </row>
    <row r="106" spans="1:19">
      <c r="A106" s="252"/>
      <c r="B106" s="282" t="s">
        <v>336</v>
      </c>
      <c r="C106" s="283">
        <f t="shared" ref="C106:C113" si="13">SUM(D106:J106)</f>
        <v>16645071</v>
      </c>
      <c r="D106" s="284">
        <f t="shared" ref="D106:J107" si="14">D25*D56</f>
        <v>16091487</v>
      </c>
      <c r="E106" s="284">
        <f t="shared" si="14"/>
        <v>0</v>
      </c>
      <c r="F106" s="284">
        <f t="shared" si="14"/>
        <v>0</v>
      </c>
      <c r="G106" s="284">
        <f t="shared" si="14"/>
        <v>0</v>
      </c>
      <c r="H106" s="284">
        <f>H25*H56</f>
        <v>228000</v>
      </c>
      <c r="I106" s="284">
        <f>I25*I56</f>
        <v>9600</v>
      </c>
      <c r="J106" s="284">
        <f t="shared" si="14"/>
        <v>315984</v>
      </c>
      <c r="K106" s="253"/>
      <c r="L106" s="253"/>
      <c r="M106" s="253"/>
      <c r="N106" s="253"/>
      <c r="O106" s="253"/>
      <c r="P106" s="253"/>
      <c r="Q106" s="253"/>
      <c r="R106" s="253"/>
      <c r="S106" s="253"/>
    </row>
    <row r="107" spans="1:19">
      <c r="A107" s="252"/>
      <c r="B107" s="282" t="s">
        <v>410</v>
      </c>
      <c r="C107" s="285">
        <f t="shared" si="13"/>
        <v>2771394.6226299964</v>
      </c>
      <c r="D107" s="261">
        <f>D26*D57</f>
        <v>0</v>
      </c>
      <c r="E107" s="261">
        <f>E26*E57</f>
        <v>2671866.8799999962</v>
      </c>
      <c r="F107" s="261">
        <f t="shared" si="14"/>
        <v>72320.639999999999</v>
      </c>
      <c r="G107" s="261">
        <f t="shared" si="14"/>
        <v>0</v>
      </c>
      <c r="H107" s="261">
        <v>27207.102630000001</v>
      </c>
      <c r="I107" s="261">
        <f t="shared" si="14"/>
        <v>0</v>
      </c>
      <c r="J107" s="261">
        <f t="shared" si="14"/>
        <v>0</v>
      </c>
      <c r="K107" s="253"/>
      <c r="L107" s="253"/>
      <c r="M107" s="253"/>
      <c r="N107" s="253"/>
      <c r="O107" s="253"/>
      <c r="P107" s="253"/>
      <c r="Q107" s="253"/>
      <c r="R107" s="253"/>
      <c r="S107" s="253"/>
    </row>
    <row r="108" spans="1:19">
      <c r="A108" s="252"/>
      <c r="B108" s="282" t="s">
        <v>316</v>
      </c>
      <c r="C108" s="285">
        <f t="shared" si="13"/>
        <v>67014460.880000003</v>
      </c>
      <c r="D108" s="261">
        <f>ROUND(D8*D59/100,2)</f>
        <v>62508298.890000001</v>
      </c>
      <c r="E108" s="261">
        <f t="shared" ref="D108:J112" si="15">ROUND(E8*E59/100,2)</f>
        <v>2865449.97</v>
      </c>
      <c r="F108" s="261">
        <f t="shared" si="15"/>
        <v>84157.43</v>
      </c>
      <c r="G108" s="261">
        <f t="shared" si="15"/>
        <v>166305.81</v>
      </c>
      <c r="H108" s="261">
        <f t="shared" si="15"/>
        <v>693152.57</v>
      </c>
      <c r="I108" s="261">
        <f>ROUND(I8*I59/100,2)</f>
        <v>592891.6</v>
      </c>
      <c r="J108" s="261">
        <f>ROUND(J8*J59/100,2)</f>
        <v>104204.61</v>
      </c>
      <c r="K108" s="253"/>
      <c r="L108" s="253"/>
      <c r="M108" s="253"/>
      <c r="N108" s="253"/>
      <c r="O108" s="253"/>
      <c r="P108" s="253"/>
      <c r="Q108" s="253"/>
      <c r="R108" s="253"/>
      <c r="S108" s="253"/>
    </row>
    <row r="109" spans="1:19">
      <c r="A109" s="252"/>
      <c r="B109" s="282" t="s">
        <v>317</v>
      </c>
      <c r="C109" s="285">
        <f t="shared" si="13"/>
        <v>60433043.419999994</v>
      </c>
      <c r="D109" s="261">
        <f t="shared" si="15"/>
        <v>47114288.359999999</v>
      </c>
      <c r="E109" s="261">
        <f t="shared" si="15"/>
        <v>12090803.76</v>
      </c>
      <c r="F109" s="261">
        <f t="shared" si="15"/>
        <v>137813.72</v>
      </c>
      <c r="G109" s="261">
        <f t="shared" si="15"/>
        <v>204323.58</v>
      </c>
      <c r="H109" s="261">
        <f t="shared" si="15"/>
        <v>579303.56000000006</v>
      </c>
      <c r="I109" s="261">
        <f t="shared" si="15"/>
        <v>306510.44</v>
      </c>
      <c r="J109" s="261">
        <f t="shared" si="15"/>
        <v>0</v>
      </c>
      <c r="K109" s="253"/>
      <c r="L109" s="253"/>
      <c r="M109" s="253"/>
      <c r="N109" s="253"/>
      <c r="O109" s="253"/>
      <c r="P109" s="253"/>
      <c r="Q109" s="253"/>
      <c r="R109" s="253"/>
      <c r="S109" s="253"/>
    </row>
    <row r="110" spans="1:19">
      <c r="A110" s="252"/>
      <c r="B110" s="282" t="s">
        <v>318</v>
      </c>
      <c r="C110" s="285">
        <f t="shared" si="13"/>
        <v>24342600.629999999</v>
      </c>
      <c r="D110" s="261">
        <f t="shared" si="15"/>
        <v>0</v>
      </c>
      <c r="E110" s="261">
        <f t="shared" si="15"/>
        <v>21191021.77</v>
      </c>
      <c r="F110" s="261">
        <f t="shared" si="15"/>
        <v>2021841.24</v>
      </c>
      <c r="G110" s="261">
        <f t="shared" si="15"/>
        <v>232822.16</v>
      </c>
      <c r="H110" s="261">
        <f t="shared" si="15"/>
        <v>836341.46</v>
      </c>
      <c r="I110" s="261">
        <f t="shared" si="15"/>
        <v>60574</v>
      </c>
      <c r="J110" s="261">
        <f t="shared" si="15"/>
        <v>0</v>
      </c>
      <c r="K110" s="253"/>
      <c r="L110" s="253"/>
      <c r="M110" s="253"/>
      <c r="N110" s="253"/>
      <c r="O110" s="253"/>
      <c r="P110" s="253"/>
      <c r="Q110" s="253"/>
      <c r="R110" s="253"/>
      <c r="S110" s="253"/>
    </row>
    <row r="111" spans="1:19">
      <c r="A111" s="252"/>
      <c r="B111" s="282" t="s">
        <v>319</v>
      </c>
      <c r="C111" s="285">
        <f t="shared" si="13"/>
        <v>1733193.71</v>
      </c>
      <c r="D111" s="261">
        <f t="shared" si="15"/>
        <v>0</v>
      </c>
      <c r="E111" s="261">
        <f t="shared" si="15"/>
        <v>0</v>
      </c>
      <c r="F111" s="261">
        <f t="shared" si="15"/>
        <v>1262928.96</v>
      </c>
      <c r="G111" s="261">
        <f t="shared" si="15"/>
        <v>130367.74</v>
      </c>
      <c r="H111" s="261">
        <f t="shared" si="15"/>
        <v>187771.96</v>
      </c>
      <c r="I111" s="261">
        <f t="shared" si="15"/>
        <v>152125.04999999999</v>
      </c>
      <c r="J111" s="261">
        <f t="shared" si="15"/>
        <v>0</v>
      </c>
      <c r="K111" s="253"/>
      <c r="L111" s="253"/>
      <c r="M111" s="253"/>
      <c r="N111" s="253"/>
      <c r="O111" s="253"/>
      <c r="P111" s="253"/>
      <c r="Q111" s="253"/>
      <c r="R111" s="253"/>
      <c r="S111" s="253"/>
    </row>
    <row r="112" spans="1:19">
      <c r="A112" s="252"/>
      <c r="B112" s="282" t="s">
        <v>320</v>
      </c>
      <c r="C112" s="285">
        <f t="shared" si="13"/>
        <v>713913.55999999994</v>
      </c>
      <c r="D112" s="261">
        <f t="shared" si="15"/>
        <v>0</v>
      </c>
      <c r="E112" s="261">
        <f t="shared" si="15"/>
        <v>0</v>
      </c>
      <c r="F112" s="261">
        <f t="shared" si="15"/>
        <v>624208.76</v>
      </c>
      <c r="G112" s="261">
        <f t="shared" si="15"/>
        <v>0</v>
      </c>
      <c r="H112" s="261">
        <f t="shared" si="15"/>
        <v>25018.98</v>
      </c>
      <c r="I112" s="261">
        <f t="shared" si="15"/>
        <v>64685.82</v>
      </c>
      <c r="J112" s="261">
        <f t="shared" si="15"/>
        <v>0</v>
      </c>
      <c r="K112" s="253"/>
      <c r="L112" s="253"/>
      <c r="M112" s="253"/>
      <c r="N112" s="253"/>
      <c r="O112" s="253"/>
      <c r="P112" s="253"/>
      <c r="Q112" s="253"/>
      <c r="R112" s="253"/>
      <c r="S112" s="253"/>
    </row>
    <row r="113" spans="1:19">
      <c r="A113" s="252"/>
      <c r="B113" s="282" t="s">
        <v>348</v>
      </c>
      <c r="C113" s="285">
        <f t="shared" si="13"/>
        <v>0</v>
      </c>
      <c r="D113" s="261"/>
      <c r="E113" s="261"/>
      <c r="F113" s="261"/>
      <c r="G113" s="261"/>
      <c r="H113" s="261"/>
      <c r="I113" s="261"/>
      <c r="J113" s="286">
        <v>0</v>
      </c>
      <c r="K113" s="253"/>
      <c r="L113" s="253"/>
      <c r="M113" s="253"/>
      <c r="N113" s="253"/>
      <c r="O113" s="253"/>
      <c r="P113" s="253"/>
      <c r="Q113" s="253"/>
      <c r="R113" s="253"/>
      <c r="S113" s="253"/>
    </row>
    <row r="114" spans="1:19">
      <c r="A114" s="253"/>
      <c r="B114" s="253"/>
      <c r="C114" s="231"/>
      <c r="D114" s="231"/>
      <c r="E114" s="231"/>
      <c r="F114" s="231"/>
      <c r="G114" s="231"/>
      <c r="H114" s="232"/>
      <c r="I114" s="231"/>
      <c r="J114" s="232"/>
      <c r="K114" s="253"/>
      <c r="L114" s="253"/>
      <c r="M114" s="253"/>
      <c r="N114" s="253"/>
      <c r="O114" s="253"/>
      <c r="P114" s="253"/>
      <c r="Q114" s="253"/>
      <c r="R114" s="253"/>
      <c r="S114" s="253"/>
    </row>
    <row r="115" spans="1:19">
      <c r="A115" s="252"/>
      <c r="B115" s="253" t="s">
        <v>321</v>
      </c>
      <c r="C115" s="230">
        <f>IF(ROUND(SUM(D115:J115),3)&lt;&gt;ROUND(SUM(C106:C113),3),#VALUE!,SUM(D115:J115))</f>
        <v>173653677.82262999</v>
      </c>
      <c r="D115" s="229">
        <f t="shared" ref="D115:I115" si="16">SUM(D106:D113)</f>
        <v>125714074.25</v>
      </c>
      <c r="E115" s="229">
        <f t="shared" si="16"/>
        <v>38819142.379999995</v>
      </c>
      <c r="F115" s="229">
        <f t="shared" si="16"/>
        <v>4203270.75</v>
      </c>
      <c r="G115" s="229">
        <f t="shared" si="16"/>
        <v>733819.29</v>
      </c>
      <c r="H115" s="229">
        <f>SUM(H106:H113)</f>
        <v>2576795.6326299999</v>
      </c>
      <c r="I115" s="229">
        <f t="shared" si="16"/>
        <v>1186386.9100000001</v>
      </c>
      <c r="J115" s="229">
        <f>SUM(J106:J113)</f>
        <v>420188.61</v>
      </c>
      <c r="K115" s="253"/>
      <c r="L115" s="253"/>
      <c r="M115" s="253"/>
      <c r="N115" s="253"/>
      <c r="O115" s="253"/>
      <c r="P115" s="253"/>
      <c r="Q115" s="253"/>
      <c r="R115" s="253"/>
      <c r="S115" s="253"/>
    </row>
    <row r="116" spans="1:19">
      <c r="A116" s="253"/>
      <c r="B116" s="253" t="s">
        <v>331</v>
      </c>
      <c r="C116" s="233"/>
      <c r="D116" s="234"/>
      <c r="E116" s="234"/>
      <c r="F116" s="234"/>
      <c r="G116" s="234"/>
      <c r="H116" s="234"/>
      <c r="I116" s="234"/>
      <c r="J116" s="234"/>
      <c r="K116" s="253"/>
      <c r="L116" s="253"/>
      <c r="M116" s="253"/>
      <c r="N116" s="253"/>
      <c r="O116" s="253"/>
      <c r="P116" s="253"/>
      <c r="Q116" s="253"/>
      <c r="R116" s="253"/>
      <c r="S116" s="253"/>
    </row>
    <row r="117" spans="1:19">
      <c r="A117" s="252"/>
      <c r="B117" s="253"/>
      <c r="C117" s="283"/>
      <c r="D117" s="281"/>
      <c r="E117" s="281"/>
      <c r="F117" s="281"/>
      <c r="G117" s="281"/>
      <c r="H117" s="281"/>
      <c r="I117" s="281"/>
      <c r="J117" s="281"/>
      <c r="K117" s="253"/>
      <c r="L117" s="253"/>
      <c r="M117" s="253"/>
      <c r="N117" s="253"/>
      <c r="O117" s="253"/>
      <c r="P117" s="253"/>
      <c r="Q117" s="253"/>
      <c r="R117" s="253"/>
      <c r="S117" s="253"/>
    </row>
    <row r="118" spans="1:19">
      <c r="A118" s="252"/>
      <c r="B118" s="253" t="s">
        <v>321</v>
      </c>
      <c r="C118" s="283">
        <f>SUM(D118:J118)</f>
        <v>173653677.82262999</v>
      </c>
      <c r="D118" s="281">
        <f t="shared" ref="D118:J118" si="17">D115+D116</f>
        <v>125714074.25</v>
      </c>
      <c r="E118" s="281">
        <f t="shared" si="17"/>
        <v>38819142.379999995</v>
      </c>
      <c r="F118" s="281">
        <f t="shared" si="17"/>
        <v>4203270.75</v>
      </c>
      <c r="G118" s="281">
        <f t="shared" si="17"/>
        <v>733819.29</v>
      </c>
      <c r="H118" s="281">
        <f>H115+H116</f>
        <v>2576795.6326299999</v>
      </c>
      <c r="I118" s="281">
        <f t="shared" si="17"/>
        <v>1186386.9100000001</v>
      </c>
      <c r="J118" s="281">
        <f t="shared" si="17"/>
        <v>420188.61</v>
      </c>
      <c r="K118" s="253"/>
      <c r="L118" s="253"/>
      <c r="M118" s="253"/>
      <c r="N118" s="253"/>
      <c r="O118" s="253"/>
      <c r="P118" s="253"/>
      <c r="Q118" s="253"/>
      <c r="R118" s="253"/>
      <c r="S118" s="253"/>
    </row>
    <row r="119" spans="1:19">
      <c r="A119" s="252"/>
      <c r="B119" s="253" t="s">
        <v>349</v>
      </c>
      <c r="C119" s="235">
        <f>SUM(D119:J119)</f>
        <v>0</v>
      </c>
      <c r="D119" s="287">
        <f t="shared" ref="D119:J119" si="18">ROUND(D18*D65/100,2)</f>
        <v>0</v>
      </c>
      <c r="E119" s="287">
        <f t="shared" si="18"/>
        <v>0</v>
      </c>
      <c r="F119" s="287">
        <f t="shared" si="18"/>
        <v>0</v>
      </c>
      <c r="G119" s="287">
        <f t="shared" si="18"/>
        <v>0</v>
      </c>
      <c r="H119" s="287">
        <f t="shared" si="18"/>
        <v>0</v>
      </c>
      <c r="I119" s="287">
        <f t="shared" si="18"/>
        <v>0</v>
      </c>
      <c r="J119" s="287">
        <f t="shared" si="18"/>
        <v>0</v>
      </c>
      <c r="K119" s="253"/>
      <c r="L119" s="253"/>
      <c r="M119" s="253"/>
      <c r="N119" s="253"/>
      <c r="O119" s="253"/>
      <c r="P119" s="253"/>
      <c r="Q119" s="253"/>
      <c r="R119" s="253"/>
      <c r="S119" s="253"/>
    </row>
    <row r="120" spans="1:19">
      <c r="A120" s="252"/>
      <c r="B120" s="253"/>
      <c r="C120" s="236"/>
      <c r="D120" s="232"/>
      <c r="E120" s="232"/>
      <c r="F120" s="232"/>
      <c r="G120" s="232"/>
      <c r="H120" s="232"/>
      <c r="I120" s="232"/>
      <c r="J120" s="232"/>
      <c r="K120" s="253"/>
      <c r="L120" s="253"/>
      <c r="M120" s="253"/>
      <c r="N120" s="253"/>
      <c r="O120" s="253"/>
      <c r="P120" s="253"/>
      <c r="Q120" s="253"/>
      <c r="R120" s="253"/>
      <c r="S120" s="253"/>
    </row>
    <row r="121" spans="1:19">
      <c r="A121" s="252"/>
      <c r="B121" s="259" t="s">
        <v>350</v>
      </c>
      <c r="C121" s="283">
        <f>IF(ROUND(C118+C119,3)&lt;&gt;ROUND(SUM(D121:J121),3),#VALUE!,SUM(D121:J121))</f>
        <v>173653677.82262999</v>
      </c>
      <c r="D121" s="281">
        <f t="shared" ref="D121:J121" si="19">D118+D119</f>
        <v>125714074.25</v>
      </c>
      <c r="E121" s="281">
        <f t="shared" si="19"/>
        <v>38819142.379999995</v>
      </c>
      <c r="F121" s="281">
        <f t="shared" si="19"/>
        <v>4203270.75</v>
      </c>
      <c r="G121" s="281">
        <f t="shared" si="19"/>
        <v>733819.29</v>
      </c>
      <c r="H121" s="281">
        <f>H118+H119</f>
        <v>2576795.6326299999</v>
      </c>
      <c r="I121" s="281">
        <f t="shared" si="19"/>
        <v>1186386.9100000001</v>
      </c>
      <c r="J121" s="281">
        <f t="shared" si="19"/>
        <v>420188.61</v>
      </c>
      <c r="K121" s="253"/>
      <c r="L121" s="253"/>
      <c r="M121" s="253"/>
      <c r="N121" s="253"/>
      <c r="O121" s="253"/>
      <c r="P121" s="253"/>
      <c r="Q121" s="253"/>
      <c r="R121" s="253"/>
      <c r="S121" s="253"/>
    </row>
    <row r="122" spans="1:19">
      <c r="A122" s="252"/>
      <c r="B122" s="253"/>
      <c r="C122" s="253"/>
      <c r="D122" s="253"/>
      <c r="E122" s="253"/>
      <c r="F122" s="253"/>
      <c r="G122" s="253"/>
      <c r="H122" s="253"/>
      <c r="I122" s="253"/>
      <c r="J122" s="253"/>
      <c r="K122" s="253"/>
      <c r="L122" s="253"/>
      <c r="M122" s="253"/>
      <c r="N122" s="253"/>
      <c r="O122" s="253"/>
      <c r="P122" s="253"/>
      <c r="Q122" s="253"/>
      <c r="R122" s="253"/>
      <c r="S122" s="253"/>
    </row>
    <row r="123" spans="1:19">
      <c r="A123" s="252"/>
      <c r="B123" s="253"/>
      <c r="C123" s="253"/>
      <c r="D123" s="253"/>
      <c r="E123" s="253"/>
      <c r="F123" s="253"/>
      <c r="G123" s="253"/>
      <c r="H123" s="253"/>
      <c r="I123" s="253"/>
      <c r="J123" s="253"/>
      <c r="K123" s="253"/>
      <c r="L123" s="253"/>
      <c r="M123" s="253"/>
      <c r="N123" s="253"/>
      <c r="O123" s="253"/>
      <c r="P123" s="253"/>
      <c r="Q123" s="253"/>
      <c r="R123" s="253"/>
      <c r="S123" s="253"/>
    </row>
    <row r="124" spans="1:19">
      <c r="A124" s="252"/>
      <c r="B124" s="259" t="s">
        <v>351</v>
      </c>
      <c r="C124" s="281"/>
      <c r="D124" s="281"/>
      <c r="E124" s="281"/>
      <c r="F124" s="281"/>
      <c r="G124" s="281"/>
      <c r="H124" s="281"/>
      <c r="I124" s="281"/>
      <c r="J124" s="281"/>
      <c r="K124" s="253"/>
      <c r="L124" s="253"/>
      <c r="M124" s="253"/>
      <c r="N124" s="253"/>
      <c r="O124" s="253"/>
      <c r="P124" s="253"/>
      <c r="Q124" s="253"/>
      <c r="R124" s="253"/>
      <c r="S124" s="253"/>
    </row>
    <row r="125" spans="1:19">
      <c r="A125" s="252"/>
      <c r="B125" s="237" t="s">
        <v>352</v>
      </c>
      <c r="C125" s="281"/>
      <c r="D125" s="281"/>
      <c r="E125" s="281"/>
      <c r="F125" s="281"/>
      <c r="G125" s="288"/>
      <c r="H125" s="288"/>
      <c r="I125" s="281"/>
      <c r="J125" s="281"/>
      <c r="K125" s="253"/>
      <c r="L125" s="253"/>
      <c r="M125" s="253"/>
      <c r="N125" s="253"/>
      <c r="O125" s="253"/>
      <c r="P125" s="253"/>
      <c r="Q125" s="253"/>
      <c r="R125" s="253"/>
      <c r="S125" s="253"/>
    </row>
    <row r="126" spans="1:19">
      <c r="A126" s="289" t="s">
        <v>416</v>
      </c>
      <c r="B126" s="290" t="s">
        <v>354</v>
      </c>
      <c r="C126" s="291">
        <f>SUM(D126:J126)</f>
        <v>-413938</v>
      </c>
      <c r="D126" s="292">
        <v>-282348</v>
      </c>
      <c r="E126" s="292">
        <v>-70921</v>
      </c>
      <c r="F126" s="292">
        <v>-60669</v>
      </c>
      <c r="G126" s="292"/>
      <c r="H126" s="292"/>
      <c r="I126" s="264"/>
      <c r="J126" s="264"/>
      <c r="K126" s="264"/>
      <c r="L126" s="264"/>
      <c r="M126" s="264"/>
      <c r="N126" s="264"/>
      <c r="O126" s="264"/>
      <c r="P126" s="264"/>
      <c r="Q126" s="264"/>
      <c r="R126" s="264"/>
      <c r="S126" s="264"/>
    </row>
    <row r="127" spans="1:19">
      <c r="A127" s="252" t="s">
        <v>417</v>
      </c>
      <c r="B127" s="293" t="s">
        <v>356</v>
      </c>
      <c r="C127" s="283"/>
      <c r="D127" s="278">
        <f>D65</f>
        <v>89.065516906892114</v>
      </c>
      <c r="E127" s="278">
        <f>E65</f>
        <v>74.906880517649498</v>
      </c>
      <c r="F127" s="278">
        <f>F65</f>
        <v>70.829927420308934</v>
      </c>
      <c r="G127" s="278"/>
      <c r="H127" s="278"/>
      <c r="I127" s="278"/>
      <c r="J127" s="278"/>
      <c r="K127" s="278"/>
      <c r="L127" s="278"/>
      <c r="M127" s="278"/>
      <c r="N127" s="278"/>
      <c r="O127" s="278"/>
      <c r="P127" s="278"/>
      <c r="Q127" s="278"/>
      <c r="R127" s="278"/>
      <c r="S127" s="278"/>
    </row>
    <row r="128" spans="1:19">
      <c r="A128" s="252"/>
      <c r="B128" s="294" t="s">
        <v>357</v>
      </c>
      <c r="C128" s="295">
        <f>SUM(D128:J128)</f>
        <v>-347571.23</v>
      </c>
      <c r="D128" s="232">
        <f>ROUND(D126*D127/100,2)</f>
        <v>-251474.71</v>
      </c>
      <c r="E128" s="232">
        <f>ROUND(E126*E127/100,2)</f>
        <v>-53124.71</v>
      </c>
      <c r="F128" s="232">
        <f>ROUND(F126*F127/100,2)</f>
        <v>-42971.81</v>
      </c>
      <c r="G128" s="232"/>
      <c r="H128" s="232"/>
      <c r="I128" s="232"/>
      <c r="J128" s="232"/>
      <c r="K128" s="281"/>
      <c r="L128" s="281"/>
      <c r="M128" s="281"/>
      <c r="N128" s="281"/>
      <c r="O128" s="281"/>
      <c r="P128" s="281"/>
      <c r="Q128" s="281"/>
      <c r="R128" s="281"/>
      <c r="S128" s="281"/>
    </row>
    <row r="129" spans="1:19">
      <c r="A129" s="252"/>
      <c r="B129" s="294"/>
      <c r="C129" s="295"/>
      <c r="D129" s="281"/>
      <c r="E129" s="281"/>
      <c r="F129" s="281"/>
      <c r="G129" s="281"/>
      <c r="H129" s="281"/>
      <c r="I129" s="281"/>
      <c r="J129" s="281"/>
      <c r="K129" s="281"/>
      <c r="L129" s="281"/>
      <c r="M129" s="281"/>
      <c r="N129" s="281"/>
      <c r="O129" s="281"/>
      <c r="P129" s="281"/>
      <c r="Q129" s="281"/>
      <c r="R129" s="281"/>
      <c r="S129" s="281"/>
    </row>
    <row r="130" spans="1:19">
      <c r="A130" s="289" t="s">
        <v>353</v>
      </c>
      <c r="B130" s="290" t="s">
        <v>358</v>
      </c>
      <c r="C130" s="291">
        <f>SUM(D130:J130)</f>
        <v>0</v>
      </c>
      <c r="D130" s="296">
        <v>0</v>
      </c>
      <c r="E130" s="296">
        <v>0</v>
      </c>
      <c r="F130" s="297"/>
      <c r="G130" s="264"/>
      <c r="H130" s="264"/>
      <c r="I130" s="264"/>
      <c r="J130" s="264"/>
      <c r="K130" s="264"/>
      <c r="L130" s="264"/>
      <c r="M130" s="264"/>
      <c r="N130" s="264"/>
      <c r="O130" s="264"/>
      <c r="P130" s="264"/>
      <c r="Q130" s="264"/>
      <c r="R130" s="264"/>
      <c r="S130" s="264"/>
    </row>
    <row r="131" spans="1:19">
      <c r="A131" s="252" t="s">
        <v>355</v>
      </c>
      <c r="B131" s="293" t="s">
        <v>359</v>
      </c>
      <c r="C131" s="295"/>
      <c r="D131" s="278">
        <f>D59</f>
        <v>84.807999999999993</v>
      </c>
      <c r="E131" s="278">
        <f>I230</f>
        <v>76.500633485366365</v>
      </c>
      <c r="F131" s="298"/>
      <c r="G131" s="278"/>
      <c r="H131" s="278"/>
      <c r="I131" s="278"/>
      <c r="J131" s="278"/>
      <c r="K131" s="278"/>
      <c r="L131" s="278"/>
      <c r="M131" s="278"/>
      <c r="N131" s="278"/>
      <c r="O131" s="278"/>
      <c r="P131" s="278"/>
      <c r="Q131" s="278"/>
      <c r="R131" s="278"/>
      <c r="S131" s="278"/>
    </row>
    <row r="132" spans="1:19">
      <c r="A132" s="252"/>
      <c r="B132" s="294" t="s">
        <v>360</v>
      </c>
      <c r="C132" s="295">
        <f>SUM(D132:J132)</f>
        <v>0</v>
      </c>
      <c r="D132" s="232">
        <f>ROUND(D130*D131/100,2)</f>
        <v>0</v>
      </c>
      <c r="E132" s="232">
        <f>ROUND(E130*E131/100,2)</f>
        <v>0</v>
      </c>
      <c r="F132" s="232"/>
      <c r="G132" s="232"/>
      <c r="H132" s="232"/>
      <c r="I132" s="231"/>
      <c r="J132" s="232"/>
      <c r="K132" s="281"/>
      <c r="L132" s="281"/>
      <c r="M132" s="281"/>
      <c r="N132" s="281"/>
      <c r="O132" s="281"/>
      <c r="P132" s="281"/>
      <c r="Q132" s="281"/>
      <c r="R132" s="281"/>
      <c r="S132" s="281"/>
    </row>
    <row r="133" spans="1:19">
      <c r="A133" s="252"/>
      <c r="B133" s="294"/>
      <c r="C133" s="295"/>
      <c r="D133" s="281"/>
      <c r="E133" s="281"/>
      <c r="F133" s="281"/>
      <c r="G133" s="281"/>
      <c r="H133" s="281"/>
      <c r="I133" s="253"/>
      <c r="J133" s="281"/>
      <c r="K133" s="281"/>
      <c r="L133" s="281"/>
      <c r="M133" s="281"/>
      <c r="N133" s="281"/>
      <c r="O133" s="281"/>
      <c r="P133" s="281"/>
      <c r="Q133" s="281"/>
      <c r="R133" s="281"/>
      <c r="S133" s="281"/>
    </row>
    <row r="134" spans="1:19">
      <c r="A134" s="252"/>
      <c r="B134" s="290" t="s">
        <v>361</v>
      </c>
      <c r="C134" s="291">
        <f>IF(ROUND(SUM(D134:J134),3)&lt;&gt;ROUND(C126+C130,3),#VALUE!,SUM(D134:J134))</f>
        <v>-413938</v>
      </c>
      <c r="D134" s="291">
        <f>D126+D130</f>
        <v>-282348</v>
      </c>
      <c r="E134" s="291">
        <f>E126+E130</f>
        <v>-70921</v>
      </c>
      <c r="F134" s="287">
        <f>F126+F130</f>
        <v>-60669</v>
      </c>
      <c r="G134" s="287"/>
      <c r="H134" s="287"/>
      <c r="I134" s="287"/>
      <c r="J134" s="287"/>
      <c r="K134" s="264"/>
      <c r="L134" s="264"/>
      <c r="M134" s="264"/>
      <c r="N134" s="264"/>
      <c r="O134" s="264"/>
      <c r="P134" s="264"/>
      <c r="Q134" s="264"/>
      <c r="R134" s="264"/>
      <c r="S134" s="264"/>
    </row>
    <row r="135" spans="1:19">
      <c r="A135" s="252"/>
      <c r="B135" s="294" t="s">
        <v>362</v>
      </c>
      <c r="C135" s="295">
        <f>IF(ROUND(SUM(D135:J135),3)&lt;&gt;ROUND(C128+C132,3),#VALUE!,SUM(D135:J135))</f>
        <v>-347571.23</v>
      </c>
      <c r="D135" s="281">
        <f>D128+D132</f>
        <v>-251474.71</v>
      </c>
      <c r="E135" s="281">
        <f>E128+E132</f>
        <v>-53124.71</v>
      </c>
      <c r="F135" s="281">
        <f>F128+F132</f>
        <v>-42971.81</v>
      </c>
      <c r="G135" s="281"/>
      <c r="H135" s="281"/>
      <c r="I135" s="281"/>
      <c r="J135" s="281"/>
      <c r="K135" s="281"/>
      <c r="L135" s="281"/>
      <c r="M135" s="281"/>
      <c r="N135" s="281"/>
      <c r="O135" s="281"/>
      <c r="P135" s="281"/>
      <c r="Q135" s="281"/>
      <c r="R135" s="281"/>
      <c r="S135" s="281"/>
    </row>
    <row r="136" spans="1:19">
      <c r="A136" s="252"/>
      <c r="B136" s="237" t="s">
        <v>363</v>
      </c>
      <c r="C136" s="295"/>
      <c r="D136" s="281"/>
      <c r="E136" s="281"/>
      <c r="F136" s="281"/>
      <c r="G136" s="281"/>
      <c r="H136" s="281"/>
      <c r="I136" s="281"/>
      <c r="J136" s="281"/>
      <c r="K136" s="253"/>
      <c r="L136" s="253"/>
      <c r="M136" s="253"/>
      <c r="N136" s="253"/>
      <c r="O136" s="253"/>
      <c r="P136" s="253"/>
      <c r="Q136" s="253"/>
      <c r="R136" s="253"/>
      <c r="S136" s="253"/>
    </row>
    <row r="137" spans="1:19">
      <c r="A137" s="289" t="s">
        <v>418</v>
      </c>
      <c r="B137" s="290" t="s">
        <v>358</v>
      </c>
      <c r="C137" s="291">
        <f>SUM(D137:J137)</f>
        <v>-2761469</v>
      </c>
      <c r="D137" s="299">
        <v>-2076886</v>
      </c>
      <c r="E137" s="299">
        <v>-648079</v>
      </c>
      <c r="F137" s="299">
        <v>-36504</v>
      </c>
      <c r="G137" s="300"/>
      <c r="H137" s="287"/>
      <c r="I137" s="264"/>
      <c r="J137" s="264"/>
      <c r="K137" s="264"/>
      <c r="L137" s="264"/>
      <c r="M137" s="264"/>
      <c r="N137" s="264"/>
      <c r="O137" s="264"/>
      <c r="P137" s="264"/>
      <c r="Q137" s="264"/>
      <c r="R137" s="264"/>
      <c r="S137" s="264"/>
    </row>
    <row r="138" spans="1:19">
      <c r="A138" s="252" t="s">
        <v>417</v>
      </c>
      <c r="B138" s="293" t="s">
        <v>359</v>
      </c>
      <c r="C138" s="295"/>
      <c r="D138" s="278">
        <f>I208</f>
        <v>90.152423158940337</v>
      </c>
      <c r="E138" s="278">
        <f>I230</f>
        <v>76.500633485366365</v>
      </c>
      <c r="F138" s="298">
        <f>I258</f>
        <v>65.629232242803397</v>
      </c>
      <c r="G138" s="278"/>
      <c r="H138" s="278"/>
      <c r="I138" s="278"/>
      <c r="J138" s="278"/>
      <c r="K138" s="278"/>
      <c r="L138" s="278"/>
      <c r="M138" s="278"/>
      <c r="N138" s="278"/>
      <c r="O138" s="278"/>
      <c r="P138" s="278"/>
      <c r="Q138" s="278"/>
      <c r="R138" s="278"/>
      <c r="S138" s="278"/>
    </row>
    <row r="139" spans="1:19">
      <c r="A139" s="252"/>
      <c r="B139" s="294" t="s">
        <v>360</v>
      </c>
      <c r="C139" s="295">
        <f>SUM(D139:J139)</f>
        <v>-2392104.89</v>
      </c>
      <c r="D139" s="232">
        <f>ROUND(D137*D138/100,2)</f>
        <v>-1872363.06</v>
      </c>
      <c r="E139" s="232">
        <f>ROUND(E137*E138/100,2)</f>
        <v>-495784.54</v>
      </c>
      <c r="F139" s="232">
        <f>ROUND(F137*F138/100,2)</f>
        <v>-23957.29</v>
      </c>
      <c r="G139" s="232"/>
      <c r="H139" s="232"/>
      <c r="I139" s="232"/>
      <c r="J139" s="232"/>
      <c r="K139" s="281"/>
      <c r="L139" s="281"/>
      <c r="M139" s="281"/>
      <c r="N139" s="281"/>
      <c r="O139" s="281"/>
      <c r="P139" s="281"/>
      <c r="Q139" s="281"/>
      <c r="R139" s="281"/>
      <c r="S139" s="281"/>
    </row>
    <row r="140" spans="1:19">
      <c r="A140" s="252"/>
      <c r="B140" s="294" t="s">
        <v>364</v>
      </c>
      <c r="C140" s="238"/>
      <c r="D140" s="239"/>
      <c r="E140" s="239"/>
      <c r="F140" s="239"/>
      <c r="G140" s="239"/>
      <c r="H140" s="239"/>
      <c r="I140" s="239"/>
      <c r="J140" s="239"/>
      <c r="K140" s="281"/>
      <c r="L140" s="281"/>
      <c r="M140" s="281"/>
      <c r="N140" s="281"/>
      <c r="O140" s="281"/>
      <c r="P140" s="281"/>
      <c r="Q140" s="281"/>
      <c r="R140" s="281"/>
      <c r="S140" s="281"/>
    </row>
    <row r="141" spans="1:19">
      <c r="A141" s="252"/>
      <c r="B141" s="253"/>
      <c r="C141" s="295"/>
      <c r="D141" s="281"/>
      <c r="E141" s="281"/>
      <c r="F141" s="281"/>
      <c r="G141" s="281"/>
      <c r="H141" s="281"/>
      <c r="I141" s="281"/>
      <c r="J141" s="281"/>
      <c r="K141" s="253"/>
      <c r="L141" s="253"/>
      <c r="M141" s="253"/>
      <c r="N141" s="253"/>
      <c r="O141" s="253"/>
      <c r="P141" s="253"/>
      <c r="Q141" s="253"/>
      <c r="R141" s="253"/>
      <c r="S141" s="253"/>
    </row>
    <row r="142" spans="1:19">
      <c r="A142" s="252"/>
      <c r="B142" s="253" t="s">
        <v>365</v>
      </c>
      <c r="C142" s="295">
        <f>IF(ROUND(SUM(D142:J142),3)&lt;&gt;ROUND(C135+C139+C140,3),#VALUE!,SUM(D142:J142))</f>
        <v>-2739676.12</v>
      </c>
      <c r="D142" s="281">
        <f>D135+D139+D140</f>
        <v>-2123837.77</v>
      </c>
      <c r="E142" s="281">
        <f t="shared" ref="E142:J142" si="20">E135+E139+E140</f>
        <v>-548909.25</v>
      </c>
      <c r="F142" s="281">
        <f>F135+F139+F140</f>
        <v>-66929.100000000006</v>
      </c>
      <c r="G142" s="281">
        <f t="shared" si="20"/>
        <v>0</v>
      </c>
      <c r="H142" s="281">
        <f t="shared" si="20"/>
        <v>0</v>
      </c>
      <c r="I142" s="281">
        <f t="shared" si="20"/>
        <v>0</v>
      </c>
      <c r="J142" s="281">
        <f t="shared" si="20"/>
        <v>0</v>
      </c>
      <c r="K142" s="253"/>
      <c r="L142" s="253"/>
      <c r="M142" s="253"/>
      <c r="N142" s="253"/>
      <c r="O142" s="253"/>
      <c r="P142" s="253"/>
      <c r="Q142" s="253"/>
      <c r="R142" s="253"/>
      <c r="S142" s="253"/>
    </row>
    <row r="143" spans="1:19">
      <c r="A143" s="252"/>
      <c r="B143" s="253" t="s">
        <v>350</v>
      </c>
      <c r="C143" s="233">
        <f>SUM(D143:J143)</f>
        <v>173653677.82262999</v>
      </c>
      <c r="D143" s="234">
        <f t="shared" ref="D143:J143" si="21">D121</f>
        <v>125714074.25</v>
      </c>
      <c r="E143" s="234">
        <f t="shared" si="21"/>
        <v>38819142.379999995</v>
      </c>
      <c r="F143" s="234">
        <f t="shared" si="21"/>
        <v>4203270.75</v>
      </c>
      <c r="G143" s="234">
        <f t="shared" si="21"/>
        <v>733819.29</v>
      </c>
      <c r="H143" s="234">
        <f>H121</f>
        <v>2576795.6326299999</v>
      </c>
      <c r="I143" s="234">
        <f t="shared" si="21"/>
        <v>1186386.9100000001</v>
      </c>
      <c r="J143" s="234">
        <f t="shared" si="21"/>
        <v>420188.61</v>
      </c>
      <c r="K143" s="253"/>
      <c r="L143" s="253"/>
      <c r="M143" s="253"/>
      <c r="N143" s="253"/>
      <c r="O143" s="253"/>
      <c r="P143" s="253"/>
      <c r="Q143" s="253"/>
      <c r="R143" s="253"/>
      <c r="S143" s="253"/>
    </row>
    <row r="144" spans="1:19">
      <c r="A144" s="252"/>
      <c r="B144" s="253"/>
      <c r="C144" s="283"/>
      <c r="D144" s="281"/>
      <c r="E144" s="281"/>
      <c r="F144" s="281"/>
      <c r="G144" s="281"/>
      <c r="H144" s="281"/>
      <c r="I144" s="281"/>
      <c r="J144" s="281"/>
      <c r="K144" s="253"/>
      <c r="L144" s="253"/>
      <c r="M144" s="253"/>
      <c r="N144" s="253"/>
      <c r="O144" s="253"/>
      <c r="P144" s="253"/>
      <c r="Q144" s="253"/>
      <c r="R144" s="253"/>
      <c r="S144" s="253"/>
    </row>
    <row r="145" spans="1:19">
      <c r="A145" s="252"/>
      <c r="B145" s="253" t="s">
        <v>366</v>
      </c>
      <c r="C145" s="283">
        <f>IF(ROUND(SUM(D145:J145),3)&lt;&gt;ROUND(C142+C143,3),#VALUE!,SUM(D145:J145))</f>
        <v>170914001.70263001</v>
      </c>
      <c r="D145" s="281">
        <f t="shared" ref="D145:J145" si="22">D142+D143</f>
        <v>123590236.48</v>
      </c>
      <c r="E145" s="281">
        <f t="shared" si="22"/>
        <v>38270233.129999995</v>
      </c>
      <c r="F145" s="281">
        <f>F142+F143</f>
        <v>4136341.65</v>
      </c>
      <c r="G145" s="281">
        <f t="shared" si="22"/>
        <v>733819.29</v>
      </c>
      <c r="H145" s="281">
        <f>H142+H143</f>
        <v>2576795.6326299999</v>
      </c>
      <c r="I145" s="281">
        <f t="shared" si="22"/>
        <v>1186386.9100000001</v>
      </c>
      <c r="J145" s="281">
        <f t="shared" si="22"/>
        <v>420188.61</v>
      </c>
      <c r="K145" s="253"/>
      <c r="L145" s="253"/>
      <c r="M145" s="253"/>
      <c r="N145" s="253"/>
      <c r="O145" s="253"/>
      <c r="P145" s="253"/>
      <c r="Q145" s="253"/>
      <c r="R145" s="253"/>
      <c r="S145" s="253"/>
    </row>
    <row r="146" spans="1:19">
      <c r="A146" s="252"/>
      <c r="B146" s="253"/>
      <c r="C146" s="283"/>
      <c r="D146" s="281"/>
      <c r="E146" s="281"/>
      <c r="F146" s="281"/>
      <c r="G146" s="281"/>
      <c r="H146" s="281"/>
      <c r="I146" s="281"/>
      <c r="J146" s="281"/>
      <c r="K146" s="253"/>
      <c r="L146" s="253"/>
      <c r="M146" s="253"/>
      <c r="N146" s="253"/>
      <c r="O146" s="253"/>
      <c r="P146" s="253"/>
      <c r="Q146" s="253"/>
      <c r="R146" s="253"/>
      <c r="S146" s="253"/>
    </row>
    <row r="147" spans="1:19">
      <c r="A147" s="252"/>
      <c r="B147" s="253"/>
      <c r="C147" s="283"/>
      <c r="D147" s="281"/>
      <c r="E147" s="281"/>
      <c r="F147" s="281"/>
      <c r="G147" s="281"/>
      <c r="H147" s="281"/>
      <c r="I147" s="281"/>
      <c r="J147" s="281"/>
      <c r="K147" s="253"/>
      <c r="L147" s="253"/>
      <c r="M147" s="253"/>
      <c r="N147" s="253"/>
      <c r="O147" s="253"/>
      <c r="P147" s="253"/>
      <c r="Q147" s="253"/>
      <c r="R147" s="253"/>
      <c r="S147" s="253"/>
    </row>
    <row r="148" spans="1:19">
      <c r="A148" s="252"/>
      <c r="B148" s="254"/>
      <c r="C148" s="281"/>
      <c r="D148" s="281"/>
      <c r="E148" s="281"/>
      <c r="F148" s="281"/>
      <c r="G148" s="281"/>
      <c r="H148" s="281"/>
      <c r="I148" s="281"/>
      <c r="J148" s="281"/>
      <c r="K148" s="254"/>
      <c r="L148" s="254"/>
      <c r="M148" s="254"/>
      <c r="N148" s="254"/>
      <c r="O148" s="254"/>
      <c r="P148" s="254"/>
      <c r="Q148" s="254"/>
      <c r="R148" s="254"/>
      <c r="S148" s="254"/>
    </row>
    <row r="149" spans="1:19">
      <c r="A149" s="252"/>
      <c r="B149" s="254"/>
      <c r="C149" s="281"/>
      <c r="D149" s="281"/>
      <c r="E149" s="281"/>
      <c r="F149" s="281"/>
      <c r="G149" s="281"/>
      <c r="H149" s="281"/>
      <c r="I149" s="281"/>
      <c r="J149" s="254" t="s">
        <v>296</v>
      </c>
      <c r="K149" s="254"/>
      <c r="L149" s="254"/>
      <c r="M149" s="254"/>
      <c r="N149" s="254"/>
      <c r="O149" s="254"/>
      <c r="P149" s="254"/>
      <c r="Q149" s="254"/>
      <c r="R149" s="254"/>
      <c r="S149" s="254"/>
    </row>
    <row r="150" spans="1:19">
      <c r="A150" s="252"/>
      <c r="B150" s="254"/>
      <c r="C150" s="281"/>
      <c r="D150" s="281"/>
      <c r="E150" s="281"/>
      <c r="F150" s="281"/>
      <c r="G150" s="281"/>
      <c r="H150" s="281"/>
      <c r="I150" s="281"/>
      <c r="J150" s="221" t="s">
        <v>297</v>
      </c>
      <c r="K150" s="254"/>
      <c r="L150" s="254"/>
      <c r="M150" s="254"/>
      <c r="N150" s="254"/>
      <c r="O150" s="254"/>
      <c r="P150" s="254"/>
      <c r="Q150" s="254"/>
      <c r="R150" s="254"/>
      <c r="S150" s="254"/>
    </row>
    <row r="151" spans="1:19">
      <c r="A151" s="255" t="s">
        <v>298</v>
      </c>
      <c r="B151" s="254"/>
      <c r="C151" s="254" t="s">
        <v>299</v>
      </c>
      <c r="D151" s="254" t="s">
        <v>300</v>
      </c>
      <c r="E151" s="254" t="s">
        <v>301</v>
      </c>
      <c r="F151" s="254" t="s">
        <v>302</v>
      </c>
      <c r="G151" s="254" t="s">
        <v>303</v>
      </c>
      <c r="H151" s="254" t="s">
        <v>296</v>
      </c>
      <c r="I151" s="254" t="s">
        <v>296</v>
      </c>
      <c r="J151" s="254" t="s">
        <v>304</v>
      </c>
      <c r="K151" s="254"/>
      <c r="L151" s="254"/>
      <c r="M151" s="254"/>
      <c r="N151" s="254"/>
      <c r="O151" s="254"/>
      <c r="P151" s="254"/>
      <c r="Q151" s="254"/>
      <c r="R151" s="254"/>
      <c r="S151" s="254"/>
    </row>
    <row r="152" spans="1:19">
      <c r="A152" s="255" t="s">
        <v>305</v>
      </c>
      <c r="B152" s="222"/>
      <c r="C152" s="222" t="s">
        <v>306</v>
      </c>
      <c r="D152" s="222" t="s">
        <v>307</v>
      </c>
      <c r="E152" s="222" t="s">
        <v>332</v>
      </c>
      <c r="F152" s="222" t="s">
        <v>333</v>
      </c>
      <c r="G152" s="222" t="s">
        <v>334</v>
      </c>
      <c r="H152" s="222" t="s">
        <v>311</v>
      </c>
      <c r="I152" s="222" t="s">
        <v>312</v>
      </c>
      <c r="J152" s="222" t="s">
        <v>313</v>
      </c>
      <c r="K152" s="254"/>
      <c r="L152" s="254"/>
      <c r="M152" s="254"/>
      <c r="N152" s="254"/>
      <c r="O152" s="254"/>
      <c r="P152" s="254"/>
      <c r="Q152" s="254"/>
      <c r="R152" s="254"/>
      <c r="S152" s="254"/>
    </row>
    <row r="153" spans="1:19">
      <c r="A153" s="252"/>
      <c r="B153" s="223" t="s">
        <v>367</v>
      </c>
      <c r="C153" s="281"/>
      <c r="D153" s="281"/>
      <c r="E153" s="281"/>
      <c r="F153" s="281"/>
      <c r="G153" s="281"/>
      <c r="H153" s="281"/>
      <c r="I153" s="281"/>
      <c r="J153" s="281"/>
      <c r="K153" s="253"/>
      <c r="L153" s="253"/>
      <c r="M153" s="253"/>
      <c r="N153" s="253"/>
      <c r="O153" s="253"/>
      <c r="P153" s="253"/>
      <c r="Q153" s="253"/>
      <c r="R153" s="253"/>
      <c r="S153" s="253"/>
    </row>
    <row r="154" spans="1:19">
      <c r="A154" s="252"/>
      <c r="B154" s="253" t="s">
        <v>347</v>
      </c>
      <c r="C154" s="281"/>
      <c r="D154" s="281"/>
      <c r="E154" s="281"/>
      <c r="F154" s="281"/>
      <c r="G154" s="281"/>
      <c r="H154" s="281"/>
      <c r="I154" s="281"/>
      <c r="J154" s="281"/>
      <c r="K154" s="253"/>
      <c r="L154" s="253"/>
      <c r="M154" s="253"/>
      <c r="N154" s="253"/>
      <c r="O154" s="253"/>
      <c r="P154" s="253"/>
      <c r="Q154" s="253"/>
      <c r="R154" s="253"/>
      <c r="S154" s="253"/>
    </row>
    <row r="155" spans="1:19">
      <c r="A155" s="252"/>
      <c r="B155" s="282" t="s">
        <v>336</v>
      </c>
      <c r="C155" s="283">
        <f t="shared" ref="C155:C162" si="23">SUM(D155:J155)</f>
        <v>16645071</v>
      </c>
      <c r="D155" s="284">
        <f>D48*D74</f>
        <v>16091487</v>
      </c>
      <c r="E155" s="284">
        <f t="shared" ref="E155:J156" si="24">E48*E74</f>
        <v>0</v>
      </c>
      <c r="F155" s="284">
        <f t="shared" si="24"/>
        <v>0</v>
      </c>
      <c r="G155" s="284">
        <f t="shared" si="24"/>
        <v>0</v>
      </c>
      <c r="H155" s="284">
        <f t="shared" si="24"/>
        <v>228000</v>
      </c>
      <c r="I155" s="284">
        <f t="shared" si="24"/>
        <v>9600</v>
      </c>
      <c r="J155" s="284">
        <f t="shared" si="24"/>
        <v>315984</v>
      </c>
      <c r="K155" s="253"/>
      <c r="L155" s="253"/>
      <c r="M155" s="253"/>
      <c r="N155" s="253"/>
      <c r="O155" s="253"/>
      <c r="P155" s="253"/>
      <c r="Q155" s="253"/>
      <c r="R155" s="253"/>
      <c r="S155" s="253"/>
    </row>
    <row r="156" spans="1:19">
      <c r="A156" s="252"/>
      <c r="B156" s="282" t="s">
        <v>410</v>
      </c>
      <c r="C156" s="285">
        <f t="shared" si="23"/>
        <v>2771394.6226299964</v>
      </c>
      <c r="D156" s="261">
        <f>D49*D75</f>
        <v>0</v>
      </c>
      <c r="E156" s="261">
        <f t="shared" si="24"/>
        <v>2671866.8799999962</v>
      </c>
      <c r="F156" s="261">
        <f t="shared" si="24"/>
        <v>72320.639999999999</v>
      </c>
      <c r="G156" s="261">
        <f t="shared" si="24"/>
        <v>0</v>
      </c>
      <c r="H156" s="261">
        <v>27207.102630000001</v>
      </c>
      <c r="I156" s="261">
        <f t="shared" si="24"/>
        <v>0</v>
      </c>
      <c r="J156" s="261">
        <f t="shared" si="24"/>
        <v>0</v>
      </c>
      <c r="K156" s="253"/>
      <c r="L156" s="253"/>
      <c r="M156" s="253"/>
      <c r="N156" s="253"/>
      <c r="O156" s="253"/>
      <c r="P156" s="253"/>
      <c r="Q156" s="253"/>
      <c r="R156" s="253"/>
      <c r="S156" s="253"/>
    </row>
    <row r="157" spans="1:19">
      <c r="A157" s="252"/>
      <c r="B157" s="282" t="s">
        <v>316</v>
      </c>
      <c r="C157" s="285">
        <f t="shared" si="23"/>
        <v>67014460.880000003</v>
      </c>
      <c r="D157" s="261">
        <f>ROUND(D31*D77/100,2)</f>
        <v>62508298.890000001</v>
      </c>
      <c r="E157" s="261">
        <f t="shared" ref="E157:J157" si="25">ROUND(E31*E77/100,2)</f>
        <v>2865449.97</v>
      </c>
      <c r="F157" s="261">
        <f t="shared" si="25"/>
        <v>84157.43</v>
      </c>
      <c r="G157" s="261">
        <f t="shared" si="25"/>
        <v>166305.81</v>
      </c>
      <c r="H157" s="261">
        <f t="shared" si="25"/>
        <v>693152.57</v>
      </c>
      <c r="I157" s="261">
        <f t="shared" si="25"/>
        <v>592891.6</v>
      </c>
      <c r="J157" s="261">
        <f t="shared" si="25"/>
        <v>104204.61</v>
      </c>
      <c r="K157" s="253"/>
      <c r="L157" s="253"/>
      <c r="M157" s="253"/>
      <c r="N157" s="253"/>
      <c r="O157" s="253"/>
      <c r="P157" s="253"/>
      <c r="Q157" s="253"/>
      <c r="R157" s="253"/>
      <c r="S157" s="253"/>
    </row>
    <row r="158" spans="1:19">
      <c r="A158" s="252"/>
      <c r="B158" s="282" t="s">
        <v>317</v>
      </c>
      <c r="C158" s="285">
        <f t="shared" si="23"/>
        <v>60433043.419999994</v>
      </c>
      <c r="D158" s="261">
        <f t="shared" ref="D158:J161" si="26">ROUND(D32*D78/100,2)</f>
        <v>47114288.359999999</v>
      </c>
      <c r="E158" s="261">
        <f t="shared" si="26"/>
        <v>12090803.76</v>
      </c>
      <c r="F158" s="261">
        <f t="shared" si="26"/>
        <v>137813.72</v>
      </c>
      <c r="G158" s="261">
        <f t="shared" si="26"/>
        <v>204323.58</v>
      </c>
      <c r="H158" s="261">
        <f t="shared" si="26"/>
        <v>579303.56000000006</v>
      </c>
      <c r="I158" s="261">
        <f t="shared" si="26"/>
        <v>306510.44</v>
      </c>
      <c r="J158" s="261">
        <f t="shared" si="26"/>
        <v>0</v>
      </c>
      <c r="K158" s="253"/>
      <c r="L158" s="253"/>
      <c r="M158" s="253"/>
      <c r="N158" s="253"/>
      <c r="O158" s="253"/>
      <c r="P158" s="253"/>
      <c r="Q158" s="253"/>
      <c r="R158" s="253"/>
      <c r="S158" s="253"/>
    </row>
    <row r="159" spans="1:19">
      <c r="A159" s="252"/>
      <c r="B159" s="282" t="s">
        <v>318</v>
      </c>
      <c r="C159" s="285">
        <f t="shared" si="23"/>
        <v>24342600.629999999</v>
      </c>
      <c r="D159" s="261">
        <f t="shared" si="26"/>
        <v>0</v>
      </c>
      <c r="E159" s="261">
        <f t="shared" si="26"/>
        <v>21191021.77</v>
      </c>
      <c r="F159" s="261">
        <f t="shared" si="26"/>
        <v>2021841.24</v>
      </c>
      <c r="G159" s="261">
        <f t="shared" si="26"/>
        <v>232822.16</v>
      </c>
      <c r="H159" s="261">
        <f t="shared" si="26"/>
        <v>836341.46</v>
      </c>
      <c r="I159" s="261">
        <f t="shared" si="26"/>
        <v>60574</v>
      </c>
      <c r="J159" s="261">
        <f t="shared" si="26"/>
        <v>0</v>
      </c>
      <c r="K159" s="253"/>
      <c r="L159" s="253"/>
      <c r="M159" s="253"/>
      <c r="N159" s="253"/>
      <c r="O159" s="253"/>
      <c r="P159" s="253"/>
      <c r="Q159" s="253"/>
      <c r="R159" s="253"/>
      <c r="S159" s="253"/>
    </row>
    <row r="160" spans="1:19">
      <c r="A160" s="252"/>
      <c r="B160" s="282" t="s">
        <v>319</v>
      </c>
      <c r="C160" s="285">
        <f t="shared" si="23"/>
        <v>1733193.71</v>
      </c>
      <c r="D160" s="261">
        <f t="shared" si="26"/>
        <v>0</v>
      </c>
      <c r="E160" s="261">
        <f t="shared" si="26"/>
        <v>0</v>
      </c>
      <c r="F160" s="261">
        <f t="shared" si="26"/>
        <v>1262928.96</v>
      </c>
      <c r="G160" s="261">
        <f t="shared" si="26"/>
        <v>130367.74</v>
      </c>
      <c r="H160" s="261">
        <f t="shared" si="26"/>
        <v>187771.96</v>
      </c>
      <c r="I160" s="261">
        <f t="shared" si="26"/>
        <v>152125.04999999999</v>
      </c>
      <c r="J160" s="261">
        <f t="shared" si="26"/>
        <v>0</v>
      </c>
      <c r="K160" s="253"/>
      <c r="L160" s="253"/>
      <c r="M160" s="253"/>
      <c r="N160" s="253"/>
      <c r="O160" s="253"/>
      <c r="P160" s="253"/>
      <c r="Q160" s="253"/>
      <c r="R160" s="253"/>
      <c r="S160" s="253"/>
    </row>
    <row r="161" spans="1:19">
      <c r="A161" s="252"/>
      <c r="B161" s="282" t="s">
        <v>320</v>
      </c>
      <c r="C161" s="285">
        <f t="shared" si="23"/>
        <v>713913.55999999994</v>
      </c>
      <c r="D161" s="261">
        <f t="shared" si="26"/>
        <v>0</v>
      </c>
      <c r="E161" s="261">
        <f t="shared" si="26"/>
        <v>0</v>
      </c>
      <c r="F161" s="261">
        <f t="shared" si="26"/>
        <v>624208.76</v>
      </c>
      <c r="G161" s="261">
        <f t="shared" si="26"/>
        <v>0</v>
      </c>
      <c r="H161" s="261">
        <f t="shared" si="26"/>
        <v>25018.98</v>
      </c>
      <c r="I161" s="261">
        <f t="shared" si="26"/>
        <v>64685.82</v>
      </c>
      <c r="J161" s="261">
        <f t="shared" si="26"/>
        <v>0</v>
      </c>
      <c r="K161" s="253"/>
      <c r="L161" s="253"/>
      <c r="M161" s="253"/>
      <c r="N161" s="253"/>
      <c r="O161" s="253"/>
      <c r="P161" s="253"/>
      <c r="Q161" s="253"/>
      <c r="R161" s="253"/>
      <c r="S161" s="253"/>
    </row>
    <row r="162" spans="1:19">
      <c r="A162" s="252"/>
      <c r="B162" s="282" t="s">
        <v>348</v>
      </c>
      <c r="C162" s="285">
        <f t="shared" si="23"/>
        <v>0</v>
      </c>
      <c r="D162" s="261"/>
      <c r="E162" s="261"/>
      <c r="F162" s="261"/>
      <c r="G162" s="261"/>
      <c r="H162" s="261"/>
      <c r="I162" s="261"/>
      <c r="J162" s="286">
        <v>0</v>
      </c>
      <c r="K162" s="253"/>
      <c r="L162" s="253"/>
      <c r="M162" s="253"/>
      <c r="N162" s="253"/>
      <c r="O162" s="253"/>
      <c r="P162" s="253"/>
      <c r="Q162" s="253"/>
      <c r="R162" s="253"/>
      <c r="S162" s="253"/>
    </row>
    <row r="163" spans="1:19">
      <c r="A163" s="253"/>
      <c r="B163" s="253"/>
      <c r="C163" s="236"/>
      <c r="D163" s="231"/>
      <c r="E163" s="231"/>
      <c r="F163" s="231"/>
      <c r="G163" s="231"/>
      <c r="H163" s="231"/>
      <c r="I163" s="231"/>
      <c r="J163" s="231"/>
      <c r="K163" s="253"/>
      <c r="L163" s="253"/>
      <c r="M163" s="253"/>
      <c r="N163" s="253"/>
      <c r="O163" s="253"/>
      <c r="P163" s="253"/>
      <c r="Q163" s="253"/>
      <c r="R163" s="253"/>
      <c r="S163" s="253"/>
    </row>
    <row r="164" spans="1:19">
      <c r="A164" s="252"/>
      <c r="B164" s="253" t="s">
        <v>321</v>
      </c>
      <c r="C164" s="283">
        <f>IF(ROUND(SUM(D164:J164),3)&lt;&gt;ROUND(SUM(C155:C162),3),#VALUE!,SUM(D164:J164))</f>
        <v>173653677.82262999</v>
      </c>
      <c r="D164" s="281">
        <f t="shared" ref="D164:J164" si="27">SUM(D155:D163)</f>
        <v>125714074.25</v>
      </c>
      <c r="E164" s="281">
        <f t="shared" si="27"/>
        <v>38819142.379999995</v>
      </c>
      <c r="F164" s="281">
        <f t="shared" si="27"/>
        <v>4203270.75</v>
      </c>
      <c r="G164" s="281">
        <f t="shared" si="27"/>
        <v>733819.29</v>
      </c>
      <c r="H164" s="281">
        <f>SUM(H155:H163)</f>
        <v>2576795.6326299999</v>
      </c>
      <c r="I164" s="281">
        <f t="shared" si="27"/>
        <v>1186386.9100000001</v>
      </c>
      <c r="J164" s="281">
        <f t="shared" si="27"/>
        <v>420188.61</v>
      </c>
      <c r="K164" s="253"/>
      <c r="L164" s="253"/>
      <c r="M164" s="253"/>
      <c r="N164" s="253"/>
      <c r="O164" s="253"/>
      <c r="P164" s="253"/>
      <c r="Q164" s="253"/>
      <c r="R164" s="253"/>
      <c r="S164" s="253"/>
    </row>
    <row r="165" spans="1:19">
      <c r="A165" s="253"/>
      <c r="B165" s="253" t="s">
        <v>331</v>
      </c>
      <c r="C165" s="233"/>
      <c r="D165" s="234"/>
      <c r="E165" s="234"/>
      <c r="F165" s="234"/>
      <c r="G165" s="234"/>
      <c r="H165" s="234"/>
      <c r="I165" s="234"/>
      <c r="J165" s="234"/>
      <c r="K165" s="253"/>
      <c r="L165" s="253"/>
      <c r="M165" s="253"/>
      <c r="N165" s="253"/>
      <c r="O165" s="253"/>
      <c r="P165" s="253"/>
      <c r="Q165" s="253"/>
      <c r="R165" s="253"/>
      <c r="S165" s="253"/>
    </row>
    <row r="166" spans="1:19">
      <c r="A166" s="252"/>
      <c r="B166" s="253"/>
      <c r="C166" s="283"/>
      <c r="D166" s="281"/>
      <c r="E166" s="281"/>
      <c r="F166" s="281"/>
      <c r="G166" s="281"/>
      <c r="H166" s="281"/>
      <c r="I166" s="281"/>
      <c r="J166" s="281"/>
      <c r="K166" s="253"/>
      <c r="L166" s="253"/>
      <c r="M166" s="253"/>
      <c r="N166" s="253"/>
      <c r="O166" s="253"/>
      <c r="P166" s="253"/>
      <c r="Q166" s="253"/>
      <c r="R166" s="253"/>
      <c r="S166" s="253"/>
    </row>
    <row r="167" spans="1:19">
      <c r="A167" s="252"/>
      <c r="B167" s="253" t="s">
        <v>321</v>
      </c>
      <c r="C167" s="283">
        <f>SUM(D167:J167)</f>
        <v>173653677.82262999</v>
      </c>
      <c r="D167" s="281">
        <f t="shared" ref="D167:J167" si="28">D164+D165</f>
        <v>125714074.25</v>
      </c>
      <c r="E167" s="281">
        <f t="shared" si="28"/>
        <v>38819142.379999995</v>
      </c>
      <c r="F167" s="281">
        <f t="shared" si="28"/>
        <v>4203270.75</v>
      </c>
      <c r="G167" s="281">
        <f t="shared" si="28"/>
        <v>733819.29</v>
      </c>
      <c r="H167" s="281">
        <f>H164+H165</f>
        <v>2576795.6326299999</v>
      </c>
      <c r="I167" s="281">
        <f t="shared" si="28"/>
        <v>1186386.9100000001</v>
      </c>
      <c r="J167" s="281">
        <f t="shared" si="28"/>
        <v>420188.61</v>
      </c>
      <c r="K167" s="253"/>
      <c r="L167" s="253"/>
      <c r="M167" s="253"/>
      <c r="N167" s="253"/>
      <c r="O167" s="253"/>
      <c r="P167" s="253"/>
      <c r="Q167" s="253"/>
      <c r="R167" s="253"/>
      <c r="S167" s="253"/>
    </row>
    <row r="168" spans="1:19">
      <c r="A168" s="252"/>
      <c r="B168" s="253" t="s">
        <v>349</v>
      </c>
      <c r="C168" s="233">
        <f>SUM(D168:J168)</f>
        <v>0</v>
      </c>
      <c r="D168" s="234">
        <f>ROUND(D41*D83/100,2)</f>
        <v>0</v>
      </c>
      <c r="E168" s="234">
        <f t="shared" ref="E168:J168" si="29">ROUND(E41*E83/100,2)</f>
        <v>0</v>
      </c>
      <c r="F168" s="234">
        <f t="shared" si="29"/>
        <v>0</v>
      </c>
      <c r="G168" s="234">
        <f t="shared" si="29"/>
        <v>0</v>
      </c>
      <c r="H168" s="234">
        <f t="shared" si="29"/>
        <v>0</v>
      </c>
      <c r="I168" s="234">
        <f t="shared" si="29"/>
        <v>0</v>
      </c>
      <c r="J168" s="234">
        <f t="shared" si="29"/>
        <v>0</v>
      </c>
      <c r="K168" s="253"/>
      <c r="L168" s="253"/>
      <c r="M168" s="253"/>
      <c r="N168" s="253"/>
      <c r="O168" s="253"/>
      <c r="P168" s="253"/>
      <c r="Q168" s="253"/>
      <c r="R168" s="253"/>
      <c r="S168" s="253"/>
    </row>
    <row r="169" spans="1:19">
      <c r="A169" s="252"/>
      <c r="B169" s="253"/>
      <c r="C169" s="283"/>
      <c r="D169" s="281"/>
      <c r="E169" s="281"/>
      <c r="F169" s="281"/>
      <c r="G169" s="281"/>
      <c r="H169" s="281"/>
      <c r="I169" s="281"/>
      <c r="J169" s="281"/>
      <c r="K169" s="253"/>
      <c r="L169" s="253"/>
      <c r="M169" s="253"/>
      <c r="N169" s="253"/>
      <c r="O169" s="253"/>
      <c r="P169" s="253"/>
      <c r="Q169" s="253"/>
      <c r="R169" s="253"/>
      <c r="S169" s="253"/>
    </row>
    <row r="170" spans="1:19">
      <c r="A170" s="252"/>
      <c r="B170" s="253" t="s">
        <v>350</v>
      </c>
      <c r="C170" s="283">
        <f>IF(ROUND(SUM(D170:J170),3)&lt;&gt;ROUND(C167+C168,3),#VALUE!,SUM(D170:J170))</f>
        <v>173653677.82262999</v>
      </c>
      <c r="D170" s="281">
        <f t="shared" ref="D170:J170" si="30">D167+D168</f>
        <v>125714074.25</v>
      </c>
      <c r="E170" s="281">
        <f t="shared" si="30"/>
        <v>38819142.379999995</v>
      </c>
      <c r="F170" s="281">
        <f t="shared" si="30"/>
        <v>4203270.75</v>
      </c>
      <c r="G170" s="281">
        <f t="shared" si="30"/>
        <v>733819.29</v>
      </c>
      <c r="H170" s="281">
        <f>H167+H168</f>
        <v>2576795.6326299999</v>
      </c>
      <c r="I170" s="281">
        <f t="shared" si="30"/>
        <v>1186386.9100000001</v>
      </c>
      <c r="J170" s="281">
        <f t="shared" si="30"/>
        <v>420188.61</v>
      </c>
      <c r="K170" s="253"/>
      <c r="L170" s="253"/>
      <c r="M170" s="253"/>
      <c r="N170" s="253"/>
      <c r="O170" s="253"/>
      <c r="P170" s="253"/>
      <c r="Q170" s="253"/>
      <c r="R170" s="253"/>
      <c r="S170" s="253"/>
    </row>
    <row r="171" spans="1:19">
      <c r="A171" s="252"/>
      <c r="B171" s="253"/>
      <c r="C171" s="283"/>
      <c r="D171" s="281"/>
      <c r="E171" s="281"/>
      <c r="F171" s="281"/>
      <c r="G171" s="281"/>
      <c r="H171" s="281"/>
      <c r="I171" s="281"/>
      <c r="J171" s="281"/>
      <c r="K171" s="253"/>
      <c r="L171" s="253"/>
      <c r="M171" s="253"/>
      <c r="N171" s="253"/>
      <c r="O171" s="253"/>
      <c r="P171" s="253"/>
      <c r="Q171" s="253"/>
      <c r="R171" s="253"/>
      <c r="S171" s="253"/>
    </row>
    <row r="172" spans="1:19">
      <c r="A172" s="252"/>
      <c r="B172" s="259" t="s">
        <v>351</v>
      </c>
      <c r="C172" s="281"/>
      <c r="D172" s="281"/>
      <c r="E172" s="281"/>
      <c r="F172" s="281"/>
      <c r="G172" s="281"/>
      <c r="H172" s="281"/>
      <c r="I172" s="281"/>
      <c r="J172" s="281"/>
      <c r="K172" s="253"/>
      <c r="L172" s="253"/>
      <c r="M172" s="253"/>
      <c r="N172" s="253"/>
      <c r="O172" s="253"/>
      <c r="P172" s="253"/>
      <c r="Q172" s="253"/>
      <c r="R172" s="253"/>
      <c r="S172" s="253"/>
    </row>
    <row r="173" spans="1:19">
      <c r="A173" s="252"/>
      <c r="B173" s="237" t="s">
        <v>352</v>
      </c>
      <c r="C173" s="287"/>
      <c r="D173" s="287"/>
      <c r="E173" s="287"/>
      <c r="F173" s="287"/>
      <c r="G173" s="281"/>
      <c r="H173" s="281"/>
      <c r="I173" s="281"/>
      <c r="J173" s="281"/>
      <c r="K173" s="253"/>
      <c r="L173" s="253"/>
      <c r="M173" s="253"/>
      <c r="N173" s="253"/>
      <c r="O173" s="253"/>
      <c r="P173" s="253"/>
      <c r="Q173" s="253"/>
      <c r="R173" s="253"/>
      <c r="S173" s="253"/>
    </row>
    <row r="174" spans="1:19">
      <c r="A174" s="264"/>
      <c r="B174" s="290" t="s">
        <v>368</v>
      </c>
      <c r="C174" s="287">
        <f>SUM(D174:J174)</f>
        <v>-413938</v>
      </c>
      <c r="D174" s="287">
        <f>D126</f>
        <v>-282348</v>
      </c>
      <c r="E174" s="287">
        <f>E126</f>
        <v>-70921</v>
      </c>
      <c r="F174" s="287">
        <f>F126</f>
        <v>-60669</v>
      </c>
      <c r="G174" s="264"/>
      <c r="H174" s="264"/>
      <c r="I174" s="253"/>
      <c r="J174" s="264"/>
      <c r="K174" s="264"/>
      <c r="L174" s="264"/>
      <c r="M174" s="264"/>
      <c r="N174" s="264"/>
      <c r="O174" s="264"/>
      <c r="P174" s="264"/>
      <c r="Q174" s="264"/>
      <c r="R174" s="264"/>
      <c r="S174" s="264"/>
    </row>
    <row r="175" spans="1:19">
      <c r="A175" s="252" t="s">
        <v>417</v>
      </c>
      <c r="B175" s="293" t="s">
        <v>369</v>
      </c>
      <c r="C175" s="278"/>
      <c r="D175" s="240">
        <f>D83</f>
        <v>89.065516906892114</v>
      </c>
      <c r="E175" s="240">
        <f>E83</f>
        <v>74.906880517649498</v>
      </c>
      <c r="F175" s="240">
        <f>F83</f>
        <v>70.829927420308934</v>
      </c>
      <c r="G175" s="240"/>
      <c r="H175" s="240"/>
      <c r="I175" s="224"/>
      <c r="J175" s="241"/>
      <c r="K175" s="278"/>
      <c r="L175" s="278"/>
      <c r="M175" s="278"/>
      <c r="N175" s="278"/>
      <c r="O175" s="278"/>
      <c r="P175" s="278"/>
      <c r="Q175" s="278"/>
      <c r="R175" s="278"/>
      <c r="S175" s="278"/>
    </row>
    <row r="176" spans="1:19">
      <c r="A176" s="252"/>
      <c r="B176" s="294" t="s">
        <v>370</v>
      </c>
      <c r="C176" s="281">
        <f>SUM(D176:J176)</f>
        <v>-347571.23</v>
      </c>
      <c r="D176" s="281">
        <f>ROUND(D174*D175/100,2)</f>
        <v>-251474.71</v>
      </c>
      <c r="E176" s="281">
        <f>ROUND(E174*E175/100,2)</f>
        <v>-53124.71</v>
      </c>
      <c r="F176" s="281">
        <f>ROUND(F174*F175/100,2)</f>
        <v>-42971.81</v>
      </c>
      <c r="G176" s="281"/>
      <c r="H176" s="281"/>
      <c r="I176" s="253"/>
      <c r="J176" s="281"/>
      <c r="K176" s="281"/>
      <c r="L176" s="281"/>
      <c r="M176" s="281"/>
      <c r="N176" s="281"/>
      <c r="O176" s="281"/>
      <c r="P176" s="281"/>
      <c r="Q176" s="281"/>
      <c r="R176" s="281"/>
      <c r="S176" s="281"/>
    </row>
    <row r="177" spans="1:19">
      <c r="A177" s="252"/>
      <c r="B177" s="294"/>
      <c r="C177" s="281"/>
      <c r="D177" s="281"/>
      <c r="E177" s="281"/>
      <c r="F177" s="281"/>
      <c r="G177" s="281"/>
      <c r="H177" s="281"/>
      <c r="I177" s="253"/>
      <c r="J177" s="281"/>
      <c r="K177" s="281"/>
      <c r="L177" s="281"/>
      <c r="M177" s="281"/>
      <c r="N177" s="281"/>
      <c r="O177" s="281"/>
      <c r="P177" s="281"/>
      <c r="Q177" s="281"/>
      <c r="R177" s="281"/>
      <c r="S177" s="281"/>
    </row>
    <row r="178" spans="1:19">
      <c r="A178" s="252"/>
      <c r="B178" s="290" t="s">
        <v>358</v>
      </c>
      <c r="C178" s="287">
        <f>SUM(D178:J178)</f>
        <v>0</v>
      </c>
      <c r="D178" s="287">
        <f>D130</f>
        <v>0</v>
      </c>
      <c r="E178" s="287">
        <f>E130</f>
        <v>0</v>
      </c>
      <c r="F178" s="287">
        <f>F130</f>
        <v>0</v>
      </c>
      <c r="G178" s="264"/>
      <c r="H178" s="264"/>
      <c r="I178" s="253"/>
      <c r="J178" s="264"/>
      <c r="K178" s="264"/>
      <c r="L178" s="264"/>
      <c r="M178" s="264"/>
      <c r="N178" s="264"/>
      <c r="O178" s="264"/>
      <c r="P178" s="264"/>
      <c r="Q178" s="264"/>
      <c r="R178" s="264"/>
      <c r="S178" s="264"/>
    </row>
    <row r="179" spans="1:19">
      <c r="A179" s="252" t="s">
        <v>355</v>
      </c>
      <c r="B179" s="293" t="s">
        <v>359</v>
      </c>
      <c r="C179" s="278"/>
      <c r="D179" s="240">
        <f>D77</f>
        <v>84.808000000000007</v>
      </c>
      <c r="E179" s="240">
        <f>I240</f>
        <v>76.500633485366379</v>
      </c>
      <c r="F179" s="240">
        <f>F83</f>
        <v>70.829927420308934</v>
      </c>
      <c r="G179" s="240"/>
      <c r="H179" s="240"/>
      <c r="I179" s="224"/>
      <c r="J179" s="240"/>
      <c r="K179" s="278"/>
      <c r="L179" s="278"/>
      <c r="M179" s="278"/>
      <c r="N179" s="278"/>
      <c r="O179" s="278"/>
      <c r="P179" s="278"/>
      <c r="Q179" s="278"/>
      <c r="R179" s="278"/>
      <c r="S179" s="278"/>
    </row>
    <row r="180" spans="1:19">
      <c r="A180" s="252"/>
      <c r="B180" s="294" t="s">
        <v>360</v>
      </c>
      <c r="C180" s="281">
        <f>SUM(D180:J180)</f>
        <v>0</v>
      </c>
      <c r="D180" s="281">
        <f>ROUND(D178*D179/100,2)</f>
        <v>0</v>
      </c>
      <c r="E180" s="281">
        <f>ROUND(E178*E179/100,2)</f>
        <v>0</v>
      </c>
      <c r="F180" s="281">
        <f>ROUND(F178*F179/100,2)</f>
        <v>0</v>
      </c>
      <c r="G180" s="281"/>
      <c r="H180" s="281"/>
      <c r="I180" s="253"/>
      <c r="J180" s="281"/>
      <c r="K180" s="281"/>
      <c r="L180" s="281"/>
      <c r="M180" s="281"/>
      <c r="N180" s="281"/>
      <c r="O180" s="281"/>
      <c r="P180" s="281"/>
      <c r="Q180" s="281"/>
      <c r="R180" s="281"/>
      <c r="S180" s="281"/>
    </row>
    <row r="181" spans="1:19">
      <c r="A181" s="252"/>
      <c r="B181" s="294"/>
      <c r="C181" s="281"/>
      <c r="D181" s="281"/>
      <c r="E181" s="281"/>
      <c r="F181" s="281"/>
      <c r="G181" s="281"/>
      <c r="H181" s="281"/>
      <c r="I181" s="253"/>
      <c r="J181" s="281"/>
      <c r="K181" s="281"/>
      <c r="L181" s="281"/>
      <c r="M181" s="281"/>
      <c r="N181" s="281"/>
      <c r="O181" s="281"/>
      <c r="P181" s="281"/>
      <c r="Q181" s="281"/>
      <c r="R181" s="281"/>
      <c r="S181" s="281"/>
    </row>
    <row r="182" spans="1:19">
      <c r="A182" s="252"/>
      <c r="B182" s="290" t="s">
        <v>361</v>
      </c>
      <c r="C182" s="287">
        <f>C174+C178</f>
        <v>-413938</v>
      </c>
      <c r="D182" s="287">
        <f>D174+D178</f>
        <v>-282348</v>
      </c>
      <c r="E182" s="287">
        <f>E174+E178</f>
        <v>-70921</v>
      </c>
      <c r="F182" s="287">
        <f>F174+F178</f>
        <v>-60669</v>
      </c>
      <c r="G182" s="264"/>
      <c r="H182" s="264"/>
      <c r="I182" s="253"/>
      <c r="J182" s="264"/>
      <c r="K182" s="264"/>
      <c r="L182" s="264"/>
      <c r="M182" s="264"/>
      <c r="N182" s="264"/>
      <c r="O182" s="264"/>
      <c r="P182" s="264"/>
      <c r="Q182" s="264"/>
      <c r="R182" s="264"/>
      <c r="S182" s="264"/>
    </row>
    <row r="183" spans="1:19">
      <c r="A183" s="252"/>
      <c r="B183" s="294" t="s">
        <v>362</v>
      </c>
      <c r="C183" s="281">
        <f>C176+C180</f>
        <v>-347571.23</v>
      </c>
      <c r="D183" s="281">
        <f>D176+D180</f>
        <v>-251474.71</v>
      </c>
      <c r="E183" s="281">
        <f>E176+E180</f>
        <v>-53124.71</v>
      </c>
      <c r="F183" s="281">
        <f>F176+F180</f>
        <v>-42971.81</v>
      </c>
      <c r="G183" s="281"/>
      <c r="H183" s="281"/>
      <c r="I183" s="253"/>
      <c r="J183" s="281"/>
      <c r="K183" s="281"/>
      <c r="L183" s="281"/>
      <c r="M183" s="281"/>
      <c r="N183" s="281"/>
      <c r="O183" s="281"/>
      <c r="P183" s="281"/>
      <c r="Q183" s="281"/>
      <c r="R183" s="281"/>
      <c r="S183" s="281"/>
    </row>
    <row r="184" spans="1:19">
      <c r="A184" s="252"/>
      <c r="B184" s="237" t="s">
        <v>363</v>
      </c>
      <c r="C184" s="281"/>
      <c r="D184" s="281"/>
      <c r="E184" s="281"/>
      <c r="F184" s="281"/>
      <c r="G184" s="281"/>
      <c r="H184" s="281"/>
      <c r="I184" s="253"/>
      <c r="J184" s="281"/>
      <c r="K184" s="253"/>
      <c r="L184" s="253"/>
      <c r="M184" s="253"/>
      <c r="N184" s="253"/>
      <c r="O184" s="253"/>
      <c r="P184" s="253"/>
      <c r="Q184" s="253"/>
      <c r="R184" s="253"/>
      <c r="S184" s="253"/>
    </row>
    <row r="185" spans="1:19">
      <c r="A185" s="252"/>
      <c r="B185" s="290" t="s">
        <v>358</v>
      </c>
      <c r="C185" s="287">
        <f>SUM(D185:J185)</f>
        <v>-2761469</v>
      </c>
      <c r="D185" s="287">
        <f>D137</f>
        <v>-2076886</v>
      </c>
      <c r="E185" s="287">
        <f>E137</f>
        <v>-648079</v>
      </c>
      <c r="F185" s="287">
        <f>F137</f>
        <v>-36504</v>
      </c>
      <c r="G185" s="264"/>
      <c r="H185" s="264"/>
      <c r="I185" s="253"/>
      <c r="J185" s="264"/>
      <c r="K185" s="264"/>
      <c r="L185" s="264"/>
      <c r="M185" s="264"/>
      <c r="N185" s="264"/>
      <c r="O185" s="264"/>
      <c r="P185" s="264"/>
      <c r="Q185" s="264"/>
      <c r="R185" s="264"/>
      <c r="S185" s="264"/>
    </row>
    <row r="186" spans="1:19">
      <c r="A186" s="252" t="s">
        <v>417</v>
      </c>
      <c r="B186" s="293" t="s">
        <v>359</v>
      </c>
      <c r="C186" s="229"/>
      <c r="D186" s="240">
        <f>I217</f>
        <v>90.152423158940351</v>
      </c>
      <c r="E186" s="240">
        <f>I240</f>
        <v>76.500633485366379</v>
      </c>
      <c r="F186" s="240">
        <f>I270</f>
        <v>65.629232242803397</v>
      </c>
      <c r="G186" s="240"/>
      <c r="H186" s="240"/>
      <c r="I186" s="224"/>
      <c r="J186" s="240"/>
      <c r="K186" s="278"/>
      <c r="L186" s="278"/>
      <c r="M186" s="278"/>
      <c r="N186" s="278"/>
      <c r="O186" s="278"/>
      <c r="P186" s="278"/>
      <c r="Q186" s="278"/>
      <c r="R186" s="278"/>
      <c r="S186" s="278"/>
    </row>
    <row r="187" spans="1:19">
      <c r="A187" s="252"/>
      <c r="B187" s="294" t="s">
        <v>360</v>
      </c>
      <c r="C187" s="281">
        <f>SUM(D187:J187)</f>
        <v>-2392104.89</v>
      </c>
      <c r="D187" s="281">
        <f>ROUND(D185*D186/100,2)</f>
        <v>-1872363.06</v>
      </c>
      <c r="E187" s="281">
        <f>ROUND(E185*E186/100,2)</f>
        <v>-495784.54</v>
      </c>
      <c r="F187" s="281">
        <f>ROUND(F185*F186/100,2)</f>
        <v>-23957.29</v>
      </c>
      <c r="G187" s="281"/>
      <c r="H187" s="281"/>
      <c r="I187" s="281"/>
      <c r="J187" s="281"/>
      <c r="K187" s="281"/>
      <c r="L187" s="281"/>
      <c r="M187" s="281"/>
      <c r="N187" s="281"/>
      <c r="O187" s="281"/>
      <c r="P187" s="281"/>
      <c r="Q187" s="281"/>
      <c r="R187" s="281"/>
      <c r="S187" s="281"/>
    </row>
    <row r="188" spans="1:19">
      <c r="A188" s="252"/>
      <c r="B188" s="294" t="s">
        <v>364</v>
      </c>
      <c r="C188" s="239"/>
      <c r="D188" s="239"/>
      <c r="E188" s="239"/>
      <c r="F188" s="239"/>
      <c r="G188" s="239"/>
      <c r="H188" s="239"/>
      <c r="I188" s="239"/>
      <c r="J188" s="239"/>
      <c r="K188" s="281"/>
      <c r="L188" s="281"/>
      <c r="M188" s="281"/>
      <c r="N188" s="281"/>
      <c r="O188" s="281"/>
      <c r="P188" s="281"/>
      <c r="Q188" s="281"/>
      <c r="R188" s="281"/>
      <c r="S188" s="281"/>
    </row>
    <row r="189" spans="1:19">
      <c r="A189" s="252"/>
      <c r="B189" s="253"/>
      <c r="C189" s="281"/>
      <c r="D189" s="281"/>
      <c r="E189" s="281"/>
      <c r="F189" s="281"/>
      <c r="G189" s="281"/>
      <c r="H189" s="281"/>
      <c r="I189" s="281"/>
      <c r="J189" s="281"/>
      <c r="K189" s="253"/>
      <c r="L189" s="253"/>
      <c r="M189" s="253"/>
      <c r="N189" s="253"/>
      <c r="O189" s="253"/>
      <c r="P189" s="253"/>
      <c r="Q189" s="253"/>
      <c r="R189" s="253"/>
      <c r="S189" s="253"/>
    </row>
    <row r="190" spans="1:19">
      <c r="A190" s="252"/>
      <c r="B190" s="253" t="s">
        <v>365</v>
      </c>
      <c r="C190" s="281">
        <f>SUM(D190:J190)</f>
        <v>-2739676.12</v>
      </c>
      <c r="D190" s="281">
        <f t="shared" ref="D190:J190" si="31">D187+D183</f>
        <v>-2123837.77</v>
      </c>
      <c r="E190" s="281">
        <f t="shared" si="31"/>
        <v>-548909.25</v>
      </c>
      <c r="F190" s="281">
        <f t="shared" si="31"/>
        <v>-66929.100000000006</v>
      </c>
      <c r="G190" s="281">
        <f t="shared" si="31"/>
        <v>0</v>
      </c>
      <c r="H190" s="281">
        <f>H187+H183</f>
        <v>0</v>
      </c>
      <c r="I190" s="281">
        <f t="shared" si="31"/>
        <v>0</v>
      </c>
      <c r="J190" s="281">
        <f t="shared" si="31"/>
        <v>0</v>
      </c>
      <c r="K190" s="253"/>
      <c r="L190" s="253"/>
      <c r="M190" s="253"/>
      <c r="N190" s="253"/>
      <c r="O190" s="253"/>
      <c r="P190" s="253"/>
      <c r="Q190" s="253"/>
      <c r="R190" s="253"/>
      <c r="S190" s="253"/>
    </row>
    <row r="191" spans="1:19">
      <c r="A191" s="252"/>
      <c r="B191" s="253" t="s">
        <v>350</v>
      </c>
      <c r="C191" s="234">
        <f>SUM(D191:J191)</f>
        <v>173653677.82262999</v>
      </c>
      <c r="D191" s="234">
        <f t="shared" ref="D191:J191" si="32">D170</f>
        <v>125714074.25</v>
      </c>
      <c r="E191" s="234">
        <f t="shared" si="32"/>
        <v>38819142.379999995</v>
      </c>
      <c r="F191" s="234">
        <f t="shared" si="32"/>
        <v>4203270.75</v>
      </c>
      <c r="G191" s="234">
        <f t="shared" si="32"/>
        <v>733819.29</v>
      </c>
      <c r="H191" s="234">
        <f>H170</f>
        <v>2576795.6326299999</v>
      </c>
      <c r="I191" s="234">
        <f t="shared" si="32"/>
        <v>1186386.9100000001</v>
      </c>
      <c r="J191" s="234">
        <f t="shared" si="32"/>
        <v>420188.61</v>
      </c>
      <c r="K191" s="253"/>
      <c r="L191" s="253"/>
      <c r="M191" s="253"/>
      <c r="N191" s="253"/>
      <c r="O191" s="253"/>
      <c r="P191" s="253"/>
      <c r="Q191" s="253"/>
      <c r="R191" s="253"/>
      <c r="S191" s="253"/>
    </row>
    <row r="192" spans="1:19">
      <c r="A192" s="252"/>
      <c r="B192" s="253" t="s">
        <v>371</v>
      </c>
      <c r="C192" s="281">
        <f>SUM(D192:J192)</f>
        <v>170914001.70263001</v>
      </c>
      <c r="D192" s="281">
        <f t="shared" ref="D192:J192" si="33">D190+D191</f>
        <v>123590236.48</v>
      </c>
      <c r="E192" s="281">
        <f t="shared" si="33"/>
        <v>38270233.129999995</v>
      </c>
      <c r="F192" s="281">
        <f t="shared" si="33"/>
        <v>4136341.65</v>
      </c>
      <c r="G192" s="281">
        <f t="shared" si="33"/>
        <v>733819.29</v>
      </c>
      <c r="H192" s="281">
        <f>H190+H191</f>
        <v>2576795.6326299999</v>
      </c>
      <c r="I192" s="281">
        <f t="shared" si="33"/>
        <v>1186386.9100000001</v>
      </c>
      <c r="J192" s="281">
        <f t="shared" si="33"/>
        <v>420188.61</v>
      </c>
      <c r="K192" s="253"/>
      <c r="L192" s="253"/>
      <c r="M192" s="253"/>
      <c r="N192" s="253"/>
      <c r="O192" s="253"/>
      <c r="P192" s="253"/>
      <c r="Q192" s="253"/>
      <c r="R192" s="253"/>
      <c r="S192" s="253"/>
    </row>
    <row r="193" spans="1:19">
      <c r="A193" s="252"/>
      <c r="B193" s="253" t="s">
        <v>366</v>
      </c>
      <c r="C193" s="239">
        <f>SUM(D193:J193)</f>
        <v>170914001.70263001</v>
      </c>
      <c r="D193" s="239">
        <f t="shared" ref="D193:J193" si="34">D145</f>
        <v>123590236.48</v>
      </c>
      <c r="E193" s="239">
        <f t="shared" si="34"/>
        <v>38270233.129999995</v>
      </c>
      <c r="F193" s="239">
        <f t="shared" si="34"/>
        <v>4136341.65</v>
      </c>
      <c r="G193" s="239">
        <f t="shared" si="34"/>
        <v>733819.29</v>
      </c>
      <c r="H193" s="239">
        <f>H145</f>
        <v>2576795.6326299999</v>
      </c>
      <c r="I193" s="239">
        <f t="shared" si="34"/>
        <v>1186386.9100000001</v>
      </c>
      <c r="J193" s="239">
        <f t="shared" si="34"/>
        <v>420188.61</v>
      </c>
      <c r="K193" s="253"/>
      <c r="L193" s="253"/>
      <c r="M193" s="253"/>
      <c r="N193" s="253"/>
      <c r="O193" s="253"/>
      <c r="P193" s="253"/>
      <c r="Q193" s="253"/>
      <c r="R193" s="253"/>
      <c r="S193" s="253"/>
    </row>
    <row r="194" spans="1:19">
      <c r="A194" s="252"/>
      <c r="B194" s="253"/>
      <c r="C194" s="253"/>
      <c r="D194" s="253"/>
      <c r="E194" s="253"/>
      <c r="F194" s="253"/>
      <c r="G194" s="253"/>
      <c r="H194" s="253"/>
      <c r="I194" s="253"/>
      <c r="J194" s="253"/>
      <c r="K194" s="253"/>
      <c r="L194" s="253"/>
      <c r="M194" s="253"/>
      <c r="N194" s="253"/>
      <c r="O194" s="253"/>
      <c r="P194" s="253"/>
      <c r="Q194" s="253"/>
      <c r="R194" s="253"/>
      <c r="S194" s="253"/>
    </row>
    <row r="195" spans="1:19">
      <c r="A195" s="301"/>
      <c r="B195" s="279" t="s">
        <v>372</v>
      </c>
      <c r="C195" s="302">
        <f>SUM(D195:J195)</f>
        <v>0</v>
      </c>
      <c r="D195" s="302">
        <f>D192-D193</f>
        <v>0</v>
      </c>
      <c r="E195" s="302">
        <f t="shared" ref="E195:J195" si="35">E192-E193</f>
        <v>0</v>
      </c>
      <c r="F195" s="302">
        <f t="shared" si="35"/>
        <v>0</v>
      </c>
      <c r="G195" s="302">
        <f t="shared" si="35"/>
        <v>0</v>
      </c>
      <c r="H195" s="302">
        <f>H192-H193</f>
        <v>0</v>
      </c>
      <c r="I195" s="302">
        <f t="shared" si="35"/>
        <v>0</v>
      </c>
      <c r="J195" s="302">
        <f t="shared" si="35"/>
        <v>0</v>
      </c>
      <c r="K195" s="279"/>
      <c r="L195" s="279"/>
      <c r="M195" s="279"/>
      <c r="N195" s="279"/>
      <c r="O195" s="279"/>
      <c r="P195" s="279"/>
      <c r="Q195" s="279"/>
      <c r="R195" s="279"/>
      <c r="S195" s="279"/>
    </row>
    <row r="196" spans="1:19">
      <c r="A196" s="301"/>
      <c r="B196" s="279" t="s">
        <v>373</v>
      </c>
      <c r="C196" s="303">
        <f>C195/C193</f>
        <v>0</v>
      </c>
      <c r="D196" s="303">
        <f t="shared" ref="D196:J196" si="36">D195/D193</f>
        <v>0</v>
      </c>
      <c r="E196" s="303">
        <f t="shared" si="36"/>
        <v>0</v>
      </c>
      <c r="F196" s="303">
        <f>F195/F193</f>
        <v>0</v>
      </c>
      <c r="G196" s="303">
        <f t="shared" si="36"/>
        <v>0</v>
      </c>
      <c r="H196" s="303">
        <f t="shared" si="36"/>
        <v>0</v>
      </c>
      <c r="I196" s="303">
        <f t="shared" si="36"/>
        <v>0</v>
      </c>
      <c r="J196" s="303">
        <f t="shared" si="36"/>
        <v>0</v>
      </c>
      <c r="K196" s="279"/>
      <c r="L196" s="279"/>
      <c r="M196" s="279"/>
      <c r="N196" s="279"/>
      <c r="O196" s="279"/>
      <c r="P196" s="279"/>
      <c r="Q196" s="279"/>
      <c r="R196" s="279"/>
      <c r="S196" s="279"/>
    </row>
    <row r="197" spans="1:19">
      <c r="A197" s="252"/>
      <c r="B197" s="254"/>
      <c r="C197" s="304"/>
      <c r="D197" s="304"/>
      <c r="E197" s="305"/>
      <c r="F197" s="305"/>
      <c r="G197" s="305"/>
      <c r="H197" s="305"/>
      <c r="I197" s="305"/>
      <c r="J197" s="305"/>
      <c r="K197" s="254"/>
      <c r="L197" s="254"/>
      <c r="M197" s="254"/>
      <c r="N197" s="254"/>
      <c r="O197" s="254"/>
      <c r="P197" s="254"/>
      <c r="Q197" s="254"/>
      <c r="R197" s="254"/>
      <c r="S197" s="254"/>
    </row>
    <row r="198" spans="1:19">
      <c r="A198" s="252"/>
      <c r="B198" s="254"/>
      <c r="C198" s="304"/>
      <c r="D198" s="304"/>
      <c r="E198" s="304"/>
      <c r="F198" s="304"/>
      <c r="G198" s="304"/>
      <c r="H198" s="304"/>
      <c r="I198" s="304"/>
      <c r="J198" s="304"/>
      <c r="K198" s="254"/>
      <c r="L198" s="254"/>
      <c r="M198" s="254"/>
      <c r="N198" s="254"/>
      <c r="O198" s="254"/>
      <c r="P198" s="254"/>
      <c r="Q198" s="254"/>
      <c r="R198" s="254"/>
      <c r="S198" s="254"/>
    </row>
    <row r="199" spans="1:19">
      <c r="A199" s="252"/>
      <c r="B199" s="254"/>
      <c r="C199" s="304"/>
      <c r="D199" s="304"/>
      <c r="E199" s="304"/>
      <c r="F199" s="304"/>
      <c r="G199" s="304"/>
      <c r="H199" s="304"/>
      <c r="I199" s="304"/>
      <c r="J199" s="304"/>
      <c r="K199" s="254"/>
      <c r="L199" s="254"/>
      <c r="M199" s="254"/>
      <c r="N199" s="254"/>
      <c r="O199" s="254"/>
      <c r="P199" s="254"/>
      <c r="Q199" s="254"/>
      <c r="R199" s="254"/>
      <c r="S199" s="254"/>
    </row>
    <row r="200" spans="1:19">
      <c r="A200" s="255" t="s">
        <v>298</v>
      </c>
      <c r="B200" s="254"/>
      <c r="C200" s="254" t="s">
        <v>299</v>
      </c>
      <c r="D200" s="254" t="s">
        <v>306</v>
      </c>
      <c r="E200" s="254" t="s">
        <v>306</v>
      </c>
      <c r="F200" s="254" t="s">
        <v>374</v>
      </c>
      <c r="G200" s="254" t="s">
        <v>374</v>
      </c>
      <c r="H200" s="254" t="s">
        <v>375</v>
      </c>
      <c r="I200" s="254" t="s">
        <v>375</v>
      </c>
      <c r="J200" s="254"/>
      <c r="K200" s="254"/>
      <c r="L200" s="254"/>
      <c r="M200" s="254"/>
      <c r="N200" s="254"/>
      <c r="O200" s="254"/>
      <c r="P200" s="254"/>
      <c r="Q200" s="254"/>
      <c r="R200" s="254"/>
      <c r="S200" s="254"/>
    </row>
    <row r="201" spans="1:19">
      <c r="A201" s="255" t="s">
        <v>305</v>
      </c>
      <c r="B201" s="254"/>
      <c r="C201" s="222" t="s">
        <v>376</v>
      </c>
      <c r="D201" s="222" t="s">
        <v>315</v>
      </c>
      <c r="E201" s="222" t="s">
        <v>377</v>
      </c>
      <c r="F201" s="222" t="s">
        <v>378</v>
      </c>
      <c r="G201" s="222" t="s">
        <v>377</v>
      </c>
      <c r="H201" s="222" t="s">
        <v>315</v>
      </c>
      <c r="I201" s="222" t="s">
        <v>377</v>
      </c>
      <c r="J201" s="254"/>
      <c r="K201" s="254"/>
      <c r="L201" s="254"/>
      <c r="M201" s="254"/>
      <c r="N201" s="254"/>
      <c r="O201" s="254"/>
      <c r="P201" s="254"/>
      <c r="Q201" s="254"/>
      <c r="R201" s="254"/>
      <c r="S201" s="254"/>
    </row>
    <row r="202" spans="1:19">
      <c r="A202" s="252"/>
      <c r="B202" s="306" t="s">
        <v>379</v>
      </c>
      <c r="C202" s="253"/>
      <c r="D202" s="253"/>
      <c r="E202" s="253"/>
      <c r="F202" s="253"/>
      <c r="G202" s="253"/>
      <c r="H202" s="253"/>
      <c r="I202" s="253"/>
      <c r="J202" s="253"/>
      <c r="K202" s="253"/>
      <c r="L202" s="253"/>
      <c r="M202" s="253"/>
      <c r="N202" s="253"/>
      <c r="O202" s="253"/>
      <c r="P202" s="253"/>
      <c r="Q202" s="253"/>
      <c r="R202" s="253"/>
      <c r="S202" s="253"/>
    </row>
    <row r="203" spans="1:19">
      <c r="A203" s="252"/>
      <c r="B203" s="253" t="s">
        <v>307</v>
      </c>
      <c r="C203" s="253"/>
      <c r="D203" s="253"/>
      <c r="E203" s="253"/>
      <c r="F203" s="253"/>
      <c r="G203" s="253"/>
      <c r="H203" s="253"/>
      <c r="I203" s="253"/>
      <c r="J203" s="253"/>
      <c r="K203" s="253"/>
      <c r="L203" s="253"/>
      <c r="M203" s="253"/>
      <c r="N203" s="253"/>
      <c r="O203" s="253"/>
      <c r="P203" s="253"/>
      <c r="Q203" s="253"/>
      <c r="R203" s="253"/>
      <c r="S203" s="253"/>
    </row>
    <row r="204" spans="1:19">
      <c r="A204" s="252"/>
      <c r="B204" s="282" t="s">
        <v>380</v>
      </c>
      <c r="C204" s="278">
        <f>D59</f>
        <v>84.807999999999993</v>
      </c>
      <c r="D204" s="264">
        <f>D8</f>
        <v>73705663.25597468</v>
      </c>
      <c r="E204" s="281">
        <f>C204*D204/100</f>
        <v>62508298.894126996</v>
      </c>
      <c r="F204" s="307">
        <f>MIN(D204,F207)</f>
        <v>25031202</v>
      </c>
      <c r="G204" s="281">
        <f>F204*C204/100</f>
        <v>21228461.792159997</v>
      </c>
      <c r="H204" s="264">
        <f>D204-F204</f>
        <v>48674461.25597468</v>
      </c>
      <c r="I204" s="281">
        <f>H204*C204/100</f>
        <v>41279837.101966999</v>
      </c>
      <c r="J204" s="253"/>
      <c r="K204" s="308">
        <f>H204/H207</f>
        <v>0.49642672581359204</v>
      </c>
      <c r="L204" s="253"/>
      <c r="M204" s="253"/>
      <c r="N204" s="253"/>
      <c r="O204" s="253"/>
      <c r="P204" s="253"/>
      <c r="Q204" s="253"/>
      <c r="R204" s="253"/>
      <c r="S204" s="253"/>
    </row>
    <row r="205" spans="1:19">
      <c r="A205" s="252"/>
      <c r="B205" s="282" t="s">
        <v>381</v>
      </c>
      <c r="C205" s="278">
        <f>D60</f>
        <v>95.420999999999992</v>
      </c>
      <c r="D205" s="264">
        <f>D9</f>
        <v>49375177.74402532</v>
      </c>
      <c r="E205" s="229">
        <f>C205*D205/100</f>
        <v>47114288.355126403</v>
      </c>
      <c r="F205" s="242">
        <f>MIN(F207-F204,D205)</f>
        <v>0</v>
      </c>
      <c r="G205" s="229">
        <f>F205*C205/100</f>
        <v>0</v>
      </c>
      <c r="H205" s="264">
        <f>D205-F205</f>
        <v>49375177.74402532</v>
      </c>
      <c r="I205" s="281">
        <f>H205*C205/100</f>
        <v>47114288.355126403</v>
      </c>
      <c r="J205" s="253"/>
      <c r="K205" s="308">
        <f>H205/H207</f>
        <v>0.50357327418640796</v>
      </c>
      <c r="L205" s="253"/>
      <c r="M205" s="253"/>
      <c r="N205" s="253"/>
      <c r="O205" s="253"/>
      <c r="P205" s="253"/>
      <c r="Q205" s="253"/>
      <c r="R205" s="253"/>
      <c r="S205" s="253"/>
    </row>
    <row r="206" spans="1:19">
      <c r="A206" s="252"/>
      <c r="B206" s="253"/>
      <c r="C206" s="253"/>
      <c r="D206" s="231"/>
      <c r="E206" s="231"/>
      <c r="F206" s="231"/>
      <c r="G206" s="231"/>
      <c r="H206" s="231"/>
      <c r="I206" s="232"/>
      <c r="J206" s="253"/>
      <c r="K206" s="253"/>
      <c r="L206" s="253"/>
      <c r="M206" s="253"/>
      <c r="N206" s="253"/>
      <c r="O206" s="253"/>
      <c r="P206" s="253"/>
      <c r="Q206" s="253"/>
      <c r="R206" s="253"/>
      <c r="S206" s="253"/>
    </row>
    <row r="207" spans="1:19">
      <c r="A207" s="252"/>
      <c r="B207" s="253" t="s">
        <v>306</v>
      </c>
      <c r="C207" s="253"/>
      <c r="D207" s="264">
        <f>D204+D205</f>
        <v>123080841</v>
      </c>
      <c r="E207" s="281">
        <f>E204+E205</f>
        <v>109622587.24925339</v>
      </c>
      <c r="F207" s="309">
        <f>14*D25</f>
        <v>25031202</v>
      </c>
      <c r="G207" s="281">
        <f>G204+G205</f>
        <v>21228461.792159997</v>
      </c>
      <c r="H207" s="264">
        <f>H204+H205</f>
        <v>98049639</v>
      </c>
      <c r="I207" s="281">
        <f>I204+I205</f>
        <v>88394125.457093403</v>
      </c>
      <c r="J207" s="253"/>
      <c r="K207" s="253"/>
      <c r="L207" s="253"/>
      <c r="M207" s="253"/>
      <c r="N207" s="253"/>
      <c r="O207" s="253"/>
      <c r="P207" s="253"/>
      <c r="Q207" s="253"/>
      <c r="R207" s="253"/>
      <c r="S207" s="253"/>
    </row>
    <row r="208" spans="1:19">
      <c r="A208" s="252"/>
      <c r="B208" s="253" t="s">
        <v>382</v>
      </c>
      <c r="C208" s="253"/>
      <c r="D208" s="253"/>
      <c r="E208" s="278">
        <f>E207/D207*100</f>
        <v>89.065516906285509</v>
      </c>
      <c r="F208" s="278"/>
      <c r="G208" s="278">
        <f>G207/F207*100</f>
        <v>84.807999999999979</v>
      </c>
      <c r="H208" s="253"/>
      <c r="I208" s="278">
        <f>I207/H207*100</f>
        <v>90.152423158940337</v>
      </c>
      <c r="J208" s="253"/>
      <c r="K208" s="253"/>
      <c r="L208" s="253"/>
      <c r="M208" s="253"/>
      <c r="N208" s="253"/>
      <c r="O208" s="253"/>
      <c r="P208" s="253"/>
      <c r="Q208" s="253"/>
      <c r="R208" s="253"/>
      <c r="S208" s="253"/>
    </row>
    <row r="209" spans="1:19">
      <c r="A209" s="252"/>
      <c r="B209" s="253"/>
      <c r="C209" s="253"/>
      <c r="D209" s="253"/>
      <c r="E209" s="253"/>
      <c r="F209" s="253"/>
      <c r="G209" s="253"/>
      <c r="H209" s="253"/>
      <c r="I209" s="253"/>
      <c r="J209" s="253"/>
      <c r="K209" s="253"/>
      <c r="L209" s="253"/>
      <c r="M209" s="253"/>
      <c r="N209" s="253"/>
      <c r="O209" s="253"/>
      <c r="P209" s="253"/>
      <c r="Q209" s="253"/>
      <c r="R209" s="253"/>
      <c r="S209" s="253"/>
    </row>
    <row r="210" spans="1:19">
      <c r="A210" s="252"/>
      <c r="B210" s="253"/>
      <c r="C210" s="253"/>
      <c r="D210" s="253"/>
      <c r="E210" s="253"/>
      <c r="F210" s="253"/>
      <c r="G210" s="253"/>
      <c r="H210" s="253"/>
      <c r="I210" s="253"/>
      <c r="J210" s="253"/>
      <c r="K210" s="253"/>
      <c r="L210" s="253"/>
      <c r="M210" s="253"/>
      <c r="N210" s="253"/>
      <c r="O210" s="253"/>
      <c r="P210" s="253"/>
      <c r="Q210" s="253"/>
      <c r="R210" s="253"/>
      <c r="S210" s="253"/>
    </row>
    <row r="211" spans="1:19" hidden="1">
      <c r="A211" s="252"/>
      <c r="B211" s="306" t="s">
        <v>383</v>
      </c>
      <c r="C211" s="253"/>
      <c r="D211" s="253"/>
      <c r="E211" s="253"/>
      <c r="F211" s="253"/>
      <c r="G211" s="253"/>
      <c r="H211" s="253"/>
      <c r="I211" s="253"/>
      <c r="J211" s="253"/>
      <c r="K211" s="253"/>
      <c r="L211" s="253"/>
      <c r="M211" s="253"/>
      <c r="N211" s="253"/>
      <c r="O211" s="253"/>
      <c r="P211" s="253"/>
      <c r="Q211" s="253"/>
      <c r="R211" s="253"/>
      <c r="S211" s="253"/>
    </row>
    <row r="212" spans="1:19" hidden="1">
      <c r="A212" s="252"/>
      <c r="B212" s="253" t="s">
        <v>307</v>
      </c>
      <c r="C212" s="253"/>
      <c r="D212" s="253"/>
      <c r="E212" s="253"/>
      <c r="F212" s="253"/>
      <c r="G212" s="253"/>
      <c r="H212" s="253"/>
      <c r="I212" s="253"/>
      <c r="J212" s="253"/>
      <c r="K212" s="253"/>
      <c r="L212" s="253"/>
      <c r="M212" s="253"/>
      <c r="N212" s="253"/>
      <c r="O212" s="253"/>
      <c r="P212" s="253"/>
      <c r="Q212" s="253"/>
      <c r="R212" s="253"/>
      <c r="S212" s="253"/>
    </row>
    <row r="213" spans="1:19" hidden="1">
      <c r="A213" s="252"/>
      <c r="B213" s="282" t="s">
        <v>380</v>
      </c>
      <c r="C213" s="278">
        <f>D77</f>
        <v>84.808000000000007</v>
      </c>
      <c r="D213" s="264">
        <f>D8</f>
        <v>73705663.25597468</v>
      </c>
      <c r="E213" s="281">
        <f>C213*D213/100</f>
        <v>62508298.894127019</v>
      </c>
      <c r="F213" s="307">
        <f>MIN(D213,F216)</f>
        <v>25031202</v>
      </c>
      <c r="G213" s="281">
        <f>F213*C213/100</f>
        <v>21228461.792160001</v>
      </c>
      <c r="H213" s="264">
        <f>D213-F213</f>
        <v>48674461.25597468</v>
      </c>
      <c r="I213" s="281">
        <f>H213*C213/100</f>
        <v>41279837.101967007</v>
      </c>
      <c r="J213" s="253"/>
      <c r="K213" s="253"/>
      <c r="L213" s="253"/>
      <c r="M213" s="253"/>
      <c r="N213" s="253"/>
      <c r="O213" s="253"/>
      <c r="P213" s="253"/>
      <c r="Q213" s="253"/>
      <c r="R213" s="253"/>
      <c r="S213" s="253"/>
    </row>
    <row r="214" spans="1:19" hidden="1">
      <c r="A214" s="252"/>
      <c r="B214" s="282" t="s">
        <v>381</v>
      </c>
      <c r="C214" s="278">
        <f>D78</f>
        <v>95.421000000000006</v>
      </c>
      <c r="D214" s="228">
        <f>D9</f>
        <v>49375177.74402532</v>
      </c>
      <c r="E214" s="229">
        <f>C214*D214/100</f>
        <v>47114288.355126403</v>
      </c>
      <c r="F214" s="242">
        <f>MIN(F216-F213,D214)</f>
        <v>0</v>
      </c>
      <c r="G214" s="229">
        <f>F214*C214/100</f>
        <v>0</v>
      </c>
      <c r="H214" s="264">
        <f>D214-F214</f>
        <v>49375177.74402532</v>
      </c>
      <c r="I214" s="281">
        <f>H214*C214/100</f>
        <v>47114288.355126403</v>
      </c>
      <c r="J214" s="253"/>
      <c r="K214" s="253"/>
      <c r="L214" s="253"/>
      <c r="M214" s="253"/>
      <c r="N214" s="253"/>
      <c r="O214" s="253"/>
      <c r="P214" s="253"/>
      <c r="Q214" s="253"/>
      <c r="R214" s="253"/>
      <c r="S214" s="253"/>
    </row>
    <row r="215" spans="1:19" hidden="1">
      <c r="A215" s="252"/>
      <c r="B215" s="253"/>
      <c r="C215" s="253"/>
      <c r="D215" s="231"/>
      <c r="E215" s="231"/>
      <c r="F215" s="231"/>
      <c r="G215" s="231"/>
      <c r="H215" s="231"/>
      <c r="I215" s="231"/>
      <c r="J215" s="253"/>
      <c r="K215" s="253"/>
      <c r="L215" s="253"/>
      <c r="M215" s="253"/>
      <c r="N215" s="253"/>
      <c r="O215" s="253"/>
      <c r="P215" s="253"/>
      <c r="Q215" s="253"/>
      <c r="R215" s="253"/>
      <c r="S215" s="253"/>
    </row>
    <row r="216" spans="1:19" hidden="1">
      <c r="A216" s="252"/>
      <c r="B216" s="253" t="s">
        <v>306</v>
      </c>
      <c r="C216" s="253"/>
      <c r="D216" s="264">
        <f>D213+D214</f>
        <v>123080841</v>
      </c>
      <c r="E216" s="281">
        <f>E213+E214</f>
        <v>109622587.24925342</v>
      </c>
      <c r="F216" s="287">
        <f>F207</f>
        <v>25031202</v>
      </c>
      <c r="G216" s="281">
        <f>G213+G214</f>
        <v>21228461.792160001</v>
      </c>
      <c r="H216" s="264">
        <f>H213+H214</f>
        <v>98049639</v>
      </c>
      <c r="I216" s="264">
        <f>I212+I213+I214</f>
        <v>88394125.457093418</v>
      </c>
      <c r="J216" s="253"/>
      <c r="K216" s="253"/>
      <c r="L216" s="253"/>
      <c r="M216" s="253"/>
      <c r="N216" s="253"/>
      <c r="O216" s="253"/>
      <c r="P216" s="253"/>
      <c r="Q216" s="253"/>
      <c r="R216" s="253"/>
      <c r="S216" s="253"/>
    </row>
    <row r="217" spans="1:19" hidden="1">
      <c r="A217" s="252"/>
      <c r="B217" s="253" t="s">
        <v>382</v>
      </c>
      <c r="C217" s="253"/>
      <c r="D217" s="253"/>
      <c r="E217" s="278">
        <f>E216/D216*100</f>
        <v>89.065516906285538</v>
      </c>
      <c r="F217" s="278"/>
      <c r="G217" s="278">
        <f>G216/F216*100</f>
        <v>84.808000000000007</v>
      </c>
      <c r="H217" s="253"/>
      <c r="I217" s="278">
        <f>I216/H216*100</f>
        <v>90.152423158940351</v>
      </c>
      <c r="J217" s="253"/>
      <c r="K217" s="253"/>
      <c r="L217" s="253"/>
      <c r="M217" s="253"/>
      <c r="N217" s="253"/>
      <c r="O217" s="253"/>
      <c r="P217" s="253"/>
      <c r="Q217" s="253"/>
      <c r="R217" s="253"/>
      <c r="S217" s="253"/>
    </row>
    <row r="218" spans="1:19" hidden="1">
      <c r="A218" s="252"/>
      <c r="B218" s="253"/>
      <c r="C218" s="253"/>
      <c r="D218" s="253"/>
      <c r="E218" s="253"/>
      <c r="F218" s="253"/>
      <c r="G218" s="253"/>
      <c r="H218" s="253"/>
      <c r="I218" s="253"/>
      <c r="J218" s="253"/>
      <c r="K218" s="253"/>
      <c r="L218" s="253"/>
      <c r="M218" s="253"/>
      <c r="N218" s="253"/>
      <c r="O218" s="253"/>
      <c r="P218" s="253"/>
      <c r="Q218" s="253"/>
      <c r="R218" s="253"/>
      <c r="S218" s="253"/>
    </row>
    <row r="219" spans="1:19" hidden="1">
      <c r="A219" s="252"/>
      <c r="B219" s="253"/>
      <c r="C219" s="253"/>
      <c r="D219" s="253"/>
      <c r="E219" s="253"/>
      <c r="F219" s="253"/>
      <c r="G219" s="253"/>
      <c r="H219" s="253"/>
      <c r="I219" s="253"/>
      <c r="J219" s="253"/>
      <c r="K219" s="253"/>
      <c r="L219" s="253"/>
      <c r="M219" s="253"/>
      <c r="N219" s="253"/>
      <c r="O219" s="253"/>
      <c r="P219" s="253"/>
      <c r="Q219" s="253"/>
      <c r="R219" s="253"/>
      <c r="S219" s="253"/>
    </row>
    <row r="220" spans="1:19">
      <c r="A220" s="252"/>
      <c r="B220" s="310" t="s">
        <v>419</v>
      </c>
      <c r="C220" s="253"/>
      <c r="D220" s="253"/>
      <c r="E220" s="253"/>
      <c r="F220" s="253"/>
      <c r="G220" s="253"/>
      <c r="H220" s="253"/>
      <c r="I220" s="253"/>
      <c r="J220" s="253"/>
      <c r="K220" s="253"/>
      <c r="L220" s="253"/>
      <c r="M220" s="253"/>
      <c r="N220" s="253"/>
      <c r="O220" s="253"/>
      <c r="P220" s="253"/>
      <c r="Q220" s="253"/>
      <c r="R220" s="253"/>
      <c r="S220" s="253"/>
    </row>
    <row r="221" spans="1:19">
      <c r="A221" s="252"/>
      <c r="B221" s="311" t="str">
        <f>"14 X "&amp;TEXT(D25,"#,##0")&amp;" = "&amp;TEXT(F207,"#,##0")</f>
        <v>14 X 1,787,943 = 25,031,202</v>
      </c>
      <c r="C221" s="253"/>
      <c r="D221" s="253"/>
      <c r="E221" s="253"/>
      <c r="F221" s="253"/>
      <c r="G221" s="253"/>
      <c r="H221" s="253"/>
      <c r="I221" s="253"/>
      <c r="J221" s="253"/>
      <c r="K221" s="253"/>
      <c r="L221" s="253"/>
      <c r="M221" s="253"/>
      <c r="N221" s="253"/>
      <c r="O221" s="253"/>
      <c r="P221" s="253"/>
      <c r="Q221" s="253"/>
      <c r="R221" s="253"/>
      <c r="S221" s="253"/>
    </row>
    <row r="222" spans="1:19">
      <c r="A222" s="252"/>
      <c r="B222" s="253"/>
      <c r="C222" s="253"/>
      <c r="D222" s="253"/>
      <c r="E222" s="253"/>
      <c r="F222" s="253"/>
      <c r="G222" s="253"/>
      <c r="H222" s="253"/>
      <c r="I222" s="253"/>
      <c r="J222" s="253"/>
      <c r="K222" s="253"/>
      <c r="L222" s="253"/>
      <c r="M222" s="253"/>
      <c r="N222" s="253"/>
      <c r="O222" s="253"/>
      <c r="P222" s="253"/>
      <c r="Q222" s="253"/>
      <c r="R222" s="253"/>
      <c r="S222" s="253"/>
    </row>
    <row r="223" spans="1:19">
      <c r="A223" s="252"/>
      <c r="B223" s="306" t="s">
        <v>379</v>
      </c>
      <c r="C223" s="253"/>
      <c r="D223" s="253"/>
      <c r="E223" s="253"/>
      <c r="F223" s="253"/>
      <c r="G223" s="253"/>
      <c r="H223" s="253"/>
      <c r="I223" s="253"/>
      <c r="J223" s="253"/>
      <c r="K223" s="253"/>
      <c r="L223" s="253"/>
      <c r="M223" s="253"/>
      <c r="N223" s="253"/>
      <c r="O223" s="253"/>
      <c r="P223" s="253"/>
      <c r="Q223" s="253"/>
      <c r="R223" s="253"/>
      <c r="S223" s="253"/>
    </row>
    <row r="224" spans="1:19">
      <c r="A224" s="252"/>
      <c r="B224" s="253" t="s">
        <v>332</v>
      </c>
      <c r="C224" s="253"/>
      <c r="D224" s="253"/>
      <c r="E224" s="253"/>
      <c r="F224" s="253"/>
      <c r="G224" s="253"/>
      <c r="H224" s="253"/>
      <c r="I224" s="253"/>
      <c r="J224" s="253"/>
      <c r="K224" s="253"/>
      <c r="L224" s="253"/>
      <c r="M224" s="253"/>
      <c r="N224" s="253"/>
      <c r="O224" s="253"/>
      <c r="P224" s="253"/>
      <c r="Q224" s="253"/>
      <c r="R224" s="253"/>
      <c r="S224" s="253"/>
    </row>
    <row r="225" spans="1:19">
      <c r="A225" s="252"/>
      <c r="B225" s="282" t="s">
        <v>384</v>
      </c>
      <c r="C225" s="278">
        <f>E59</f>
        <v>52.454999999999998</v>
      </c>
      <c r="D225" s="264">
        <f>E8</f>
        <v>5462682.2359244339</v>
      </c>
      <c r="E225" s="281">
        <f>C225*D225/100</f>
        <v>2865449.9668541616</v>
      </c>
      <c r="F225" s="307">
        <f>MIN(D225,F229)</f>
        <v>5462682.2359244339</v>
      </c>
      <c r="G225" s="281">
        <f>F225*C225/100</f>
        <v>2865449.9668541616</v>
      </c>
      <c r="H225" s="264">
        <f>D225-F225</f>
        <v>0</v>
      </c>
      <c r="I225" s="281">
        <f>H225*C225/100</f>
        <v>0</v>
      </c>
      <c r="J225" s="253"/>
      <c r="K225" s="253"/>
      <c r="L225" s="253"/>
      <c r="M225" s="253"/>
      <c r="N225" s="253"/>
      <c r="O225" s="253"/>
      <c r="P225" s="253"/>
      <c r="Q225" s="253"/>
      <c r="R225" s="253"/>
      <c r="S225" s="253"/>
    </row>
    <row r="226" spans="1:19">
      <c r="A226" s="252"/>
      <c r="B226" s="282" t="s">
        <v>385</v>
      </c>
      <c r="C226" s="278">
        <f>E60</f>
        <v>82.834000000000003</v>
      </c>
      <c r="D226" s="264">
        <f>E9</f>
        <v>14596426.301056234</v>
      </c>
      <c r="E226" s="281">
        <f>C226*D226/100</f>
        <v>12090803.76221692</v>
      </c>
      <c r="F226" s="307">
        <f>MIN(F229-F225,D226)</f>
        <v>8596543.7640755456</v>
      </c>
      <c r="G226" s="281">
        <f>F226*C226/100</f>
        <v>7120861.0615343377</v>
      </c>
      <c r="H226" s="264">
        <f>D226-F226</f>
        <v>5999882.5369806886</v>
      </c>
      <c r="I226" s="281">
        <f>H226*C226/100</f>
        <v>4969942.7006825842</v>
      </c>
      <c r="J226" s="253"/>
      <c r="K226" s="253"/>
      <c r="L226" s="253"/>
      <c r="M226" s="253"/>
      <c r="N226" s="253"/>
      <c r="O226" s="253"/>
      <c r="P226" s="253"/>
      <c r="Q226" s="253"/>
      <c r="R226" s="253"/>
      <c r="S226" s="253"/>
    </row>
    <row r="227" spans="1:19">
      <c r="A227" s="252"/>
      <c r="B227" s="282" t="s">
        <v>386</v>
      </c>
      <c r="C227" s="278">
        <f>E61</f>
        <v>75.152999999999992</v>
      </c>
      <c r="D227" s="228">
        <f>E10</f>
        <v>28197173.46301933</v>
      </c>
      <c r="E227" s="229">
        <f>C227*D227/100</f>
        <v>21191021.772662915</v>
      </c>
      <c r="F227" s="242">
        <f>MIN(F229-F225-F226,D227)</f>
        <v>0</v>
      </c>
      <c r="G227" s="229">
        <f>F227*C227/100</f>
        <v>0</v>
      </c>
      <c r="H227" s="264">
        <f>D227-F227</f>
        <v>28197173.46301933</v>
      </c>
      <c r="I227" s="281">
        <f>H227*C227/100</f>
        <v>21191021.772662915</v>
      </c>
      <c r="J227" s="253"/>
      <c r="K227" s="253"/>
      <c r="L227" s="253"/>
      <c r="M227" s="253"/>
      <c r="N227" s="253"/>
      <c r="O227" s="253"/>
      <c r="P227" s="253"/>
      <c r="Q227" s="253"/>
      <c r="R227" s="253"/>
      <c r="S227" s="253"/>
    </row>
    <row r="228" spans="1:19">
      <c r="A228" s="252"/>
      <c r="B228" s="253"/>
      <c r="C228" s="253"/>
      <c r="D228" s="231"/>
      <c r="E228" s="231"/>
      <c r="F228" s="231"/>
      <c r="G228" s="231"/>
      <c r="H228" s="231"/>
      <c r="I228" s="232"/>
      <c r="J228" s="253"/>
      <c r="K228" s="253"/>
      <c r="L228" s="253"/>
      <c r="M228" s="253"/>
      <c r="N228" s="253"/>
      <c r="O228" s="253"/>
      <c r="P228" s="253"/>
      <c r="Q228" s="253"/>
      <c r="R228" s="253"/>
      <c r="S228" s="253"/>
    </row>
    <row r="229" spans="1:19">
      <c r="A229" s="252"/>
      <c r="B229" s="253" t="s">
        <v>306</v>
      </c>
      <c r="C229" s="253"/>
      <c r="D229" s="264">
        <f>D225+D226+D227</f>
        <v>48256282</v>
      </c>
      <c r="E229" s="281">
        <f>E225+E226+E227</f>
        <v>36147275.501733996</v>
      </c>
      <c r="F229" s="309">
        <f>458*E26</f>
        <v>14059225.99999998</v>
      </c>
      <c r="G229" s="281">
        <f>G225+G226+G227</f>
        <v>9986311.0283885002</v>
      </c>
      <c r="H229" s="264">
        <f>H225+H226+H227</f>
        <v>34197056.000000015</v>
      </c>
      <c r="I229" s="281">
        <f>I225+I226+I227</f>
        <v>26160964.473345499</v>
      </c>
      <c r="J229" s="253"/>
      <c r="K229" s="253"/>
      <c r="L229" s="253"/>
      <c r="M229" s="253"/>
      <c r="N229" s="253"/>
      <c r="O229" s="253"/>
      <c r="P229" s="253"/>
      <c r="Q229" s="253"/>
      <c r="R229" s="253"/>
      <c r="S229" s="253"/>
    </row>
    <row r="230" spans="1:19">
      <c r="A230" s="252"/>
      <c r="B230" s="253" t="s">
        <v>382</v>
      </c>
      <c r="C230" s="253"/>
      <c r="D230" s="253"/>
      <c r="E230" s="278">
        <f>E229/D229*100</f>
        <v>74.906880521242797</v>
      </c>
      <c r="F230" s="278"/>
      <c r="G230" s="278">
        <f>G229/F229*100</f>
        <v>71.030304430617406</v>
      </c>
      <c r="H230" s="253"/>
      <c r="I230" s="278">
        <f>I229/H229*100</f>
        <v>76.500633485366365</v>
      </c>
      <c r="J230" s="253"/>
      <c r="K230" s="253"/>
      <c r="L230" s="253"/>
      <c r="M230" s="253"/>
      <c r="N230" s="253"/>
      <c r="O230" s="253"/>
      <c r="P230" s="253"/>
      <c r="Q230" s="253"/>
      <c r="R230" s="253"/>
      <c r="S230" s="253"/>
    </row>
    <row r="231" spans="1:19">
      <c r="A231" s="252"/>
      <c r="B231" s="253"/>
      <c r="C231" s="253"/>
      <c r="D231" s="253"/>
      <c r="E231" s="253"/>
      <c r="F231" s="253"/>
      <c r="G231" s="253"/>
      <c r="H231" s="253"/>
      <c r="I231" s="253"/>
      <c r="J231" s="253"/>
      <c r="K231" s="253"/>
      <c r="L231" s="253"/>
      <c r="M231" s="253"/>
      <c r="N231" s="253"/>
      <c r="O231" s="253"/>
      <c r="P231" s="253"/>
      <c r="Q231" s="253"/>
      <c r="R231" s="253"/>
      <c r="S231" s="253"/>
    </row>
    <row r="232" spans="1:19">
      <c r="A232" s="252"/>
      <c r="B232" s="253"/>
      <c r="C232" s="253"/>
      <c r="D232" s="253"/>
      <c r="E232" s="253"/>
      <c r="F232" s="253"/>
      <c r="G232" s="253"/>
      <c r="H232" s="253"/>
      <c r="I232" s="253"/>
      <c r="J232" s="253"/>
      <c r="K232" s="253"/>
      <c r="L232" s="253"/>
      <c r="M232" s="253"/>
      <c r="N232" s="253"/>
      <c r="O232" s="253"/>
      <c r="P232" s="253"/>
      <c r="Q232" s="253"/>
      <c r="R232" s="253"/>
      <c r="S232" s="253"/>
    </row>
    <row r="233" spans="1:19" hidden="1">
      <c r="A233" s="252"/>
      <c r="B233" s="306" t="s">
        <v>383</v>
      </c>
      <c r="C233" s="253"/>
      <c r="D233" s="253"/>
      <c r="E233" s="253"/>
      <c r="F233" s="253"/>
      <c r="G233" s="253"/>
      <c r="H233" s="253"/>
      <c r="I233" s="253"/>
      <c r="J233" s="253"/>
      <c r="K233" s="253"/>
      <c r="L233" s="253"/>
      <c r="M233" s="253"/>
      <c r="N233" s="253"/>
      <c r="O233" s="253"/>
      <c r="P233" s="253"/>
      <c r="Q233" s="253"/>
      <c r="R233" s="253"/>
      <c r="S233" s="253"/>
    </row>
    <row r="234" spans="1:19" hidden="1">
      <c r="A234" s="252"/>
      <c r="B234" s="253" t="s">
        <v>332</v>
      </c>
      <c r="C234" s="253"/>
      <c r="D234" s="253"/>
      <c r="E234" s="253"/>
      <c r="F234" s="253"/>
      <c r="G234" s="253"/>
      <c r="H234" s="253"/>
      <c r="I234" s="253"/>
      <c r="J234" s="253"/>
      <c r="K234" s="253"/>
      <c r="L234" s="253"/>
      <c r="M234" s="253"/>
      <c r="N234" s="253"/>
      <c r="O234" s="253"/>
      <c r="P234" s="253"/>
      <c r="Q234" s="253"/>
      <c r="R234" s="253"/>
      <c r="S234" s="253"/>
    </row>
    <row r="235" spans="1:19" hidden="1">
      <c r="A235" s="252"/>
      <c r="B235" s="282" t="s">
        <v>384</v>
      </c>
      <c r="C235" s="278">
        <f>E77</f>
        <v>52.454999999999998</v>
      </c>
      <c r="D235" s="264">
        <f>E31</f>
        <v>5462682.2359244339</v>
      </c>
      <c r="E235" s="281">
        <f>C235*D235/100</f>
        <v>2865449.9668541616</v>
      </c>
      <c r="F235" s="307">
        <f>MIN(D235,F239)</f>
        <v>5462682.2359244339</v>
      </c>
      <c r="G235" s="281">
        <f>F235*C235/100</f>
        <v>2865449.9668541616</v>
      </c>
      <c r="H235" s="264">
        <f>D235-F235</f>
        <v>0</v>
      </c>
      <c r="I235" s="281">
        <f>H235*C235/100</f>
        <v>0</v>
      </c>
      <c r="J235" s="253"/>
      <c r="K235" s="253"/>
      <c r="L235" s="253"/>
      <c r="M235" s="253"/>
      <c r="N235" s="253"/>
      <c r="O235" s="253"/>
      <c r="P235" s="253"/>
      <c r="Q235" s="253"/>
      <c r="R235" s="253"/>
      <c r="S235" s="253"/>
    </row>
    <row r="236" spans="1:19" hidden="1">
      <c r="A236" s="252"/>
      <c r="B236" s="282" t="s">
        <v>385</v>
      </c>
      <c r="C236" s="278">
        <f>E78</f>
        <v>82.834000000000003</v>
      </c>
      <c r="D236" s="264">
        <f>E32</f>
        <v>14596426.301056234</v>
      </c>
      <c r="E236" s="281">
        <f>C236*D236/100</f>
        <v>12090803.76221692</v>
      </c>
      <c r="F236" s="307">
        <f>MIN(F239-F235,D236)</f>
        <v>8596543.7640755456</v>
      </c>
      <c r="G236" s="281">
        <f>F236*C236/100</f>
        <v>7120861.0615343377</v>
      </c>
      <c r="H236" s="264">
        <f>D236-F236</f>
        <v>5999882.5369806886</v>
      </c>
      <c r="I236" s="281">
        <f>H236*C236/100</f>
        <v>4969942.7006825842</v>
      </c>
      <c r="J236" s="253"/>
      <c r="K236" s="253"/>
      <c r="L236" s="253"/>
      <c r="M236" s="253"/>
      <c r="N236" s="253"/>
      <c r="O236" s="253"/>
      <c r="P236" s="253"/>
      <c r="Q236" s="253"/>
      <c r="R236" s="253"/>
      <c r="S236" s="253"/>
    </row>
    <row r="237" spans="1:19" hidden="1">
      <c r="A237" s="252"/>
      <c r="B237" s="282" t="s">
        <v>386</v>
      </c>
      <c r="C237" s="278">
        <f>E79</f>
        <v>75.153000000000006</v>
      </c>
      <c r="D237" s="228">
        <f>E33</f>
        <v>28197173.46301933</v>
      </c>
      <c r="E237" s="229">
        <f>C237*D237/100</f>
        <v>21191021.772662919</v>
      </c>
      <c r="F237" s="242">
        <f>MIN(F239-F235-F236,D237)</f>
        <v>0</v>
      </c>
      <c r="G237" s="229">
        <f>F237*C237/100</f>
        <v>0</v>
      </c>
      <c r="H237" s="264">
        <f>D237-F237</f>
        <v>28197173.46301933</v>
      </c>
      <c r="I237" s="281">
        <f>H237*C237/100</f>
        <v>21191021.772662919</v>
      </c>
      <c r="J237" s="253"/>
      <c r="K237" s="253"/>
      <c r="L237" s="253"/>
      <c r="M237" s="253"/>
      <c r="N237" s="253"/>
      <c r="O237" s="253"/>
      <c r="P237" s="253"/>
      <c r="Q237" s="253"/>
      <c r="R237" s="253"/>
      <c r="S237" s="253"/>
    </row>
    <row r="238" spans="1:19" hidden="1">
      <c r="A238" s="252"/>
      <c r="B238" s="253"/>
      <c r="C238" s="253"/>
      <c r="D238" s="231"/>
      <c r="E238" s="231"/>
      <c r="F238" s="231"/>
      <c r="G238" s="231"/>
      <c r="H238" s="231"/>
      <c r="I238" s="231"/>
      <c r="J238" s="253"/>
      <c r="K238" s="253"/>
      <c r="L238" s="253"/>
      <c r="M238" s="253"/>
      <c r="N238" s="253"/>
      <c r="O238" s="253"/>
      <c r="P238" s="253"/>
      <c r="Q238" s="253"/>
      <c r="R238" s="253"/>
      <c r="S238" s="253"/>
    </row>
    <row r="239" spans="1:19" hidden="1">
      <c r="A239" s="252"/>
      <c r="B239" s="253" t="s">
        <v>306</v>
      </c>
      <c r="C239" s="253"/>
      <c r="D239" s="264">
        <f>D235+D236+D237</f>
        <v>48256282</v>
      </c>
      <c r="E239" s="281">
        <f>E235+E236+E237</f>
        <v>36147275.501734003</v>
      </c>
      <c r="F239" s="287">
        <f>F229</f>
        <v>14059225.99999998</v>
      </c>
      <c r="G239" s="281">
        <f>G235+G236+G237</f>
        <v>9986311.0283885002</v>
      </c>
      <c r="H239" s="264">
        <f>H235+H236+H237</f>
        <v>34197056.000000015</v>
      </c>
      <c r="I239" s="264">
        <f>I234+I235+I236+I237</f>
        <v>26160964.473345503</v>
      </c>
      <c r="J239" s="253"/>
      <c r="K239" s="253"/>
      <c r="L239" s="253"/>
      <c r="M239" s="253"/>
      <c r="N239" s="253"/>
      <c r="O239" s="253"/>
      <c r="P239" s="253"/>
      <c r="Q239" s="253"/>
      <c r="R239" s="253"/>
      <c r="S239" s="253"/>
    </row>
    <row r="240" spans="1:19" hidden="1">
      <c r="A240" s="252"/>
      <c r="B240" s="253" t="s">
        <v>382</v>
      </c>
      <c r="C240" s="253"/>
      <c r="D240" s="253"/>
      <c r="E240" s="278">
        <f>E239/D239*100</f>
        <v>74.906880521242812</v>
      </c>
      <c r="F240" s="278"/>
      <c r="G240" s="278">
        <f>G239/F239*100</f>
        <v>71.030304430617406</v>
      </c>
      <c r="H240" s="253"/>
      <c r="I240" s="278">
        <f>I239/H239*100</f>
        <v>76.500633485366379</v>
      </c>
      <c r="J240" s="253"/>
      <c r="K240" s="253"/>
      <c r="L240" s="253"/>
      <c r="M240" s="253"/>
      <c r="N240" s="253"/>
      <c r="O240" s="253"/>
      <c r="P240" s="253"/>
      <c r="Q240" s="253"/>
      <c r="R240" s="253"/>
      <c r="S240" s="253"/>
    </row>
    <row r="241" spans="1:19" hidden="1">
      <c r="A241" s="252"/>
      <c r="B241" s="253"/>
      <c r="C241" s="253"/>
      <c r="D241" s="253"/>
      <c r="E241" s="253"/>
      <c r="F241" s="253"/>
      <c r="G241" s="253"/>
      <c r="H241" s="253"/>
      <c r="I241" s="253"/>
      <c r="J241" s="253"/>
      <c r="K241" s="253"/>
      <c r="L241" s="253"/>
      <c r="M241" s="253"/>
      <c r="N241" s="253"/>
      <c r="O241" s="253"/>
      <c r="P241" s="253"/>
      <c r="Q241" s="253"/>
      <c r="R241" s="253"/>
      <c r="S241" s="253"/>
    </row>
    <row r="242" spans="1:19" hidden="1">
      <c r="A242" s="252"/>
      <c r="B242" s="253"/>
      <c r="C242" s="253"/>
      <c r="D242" s="253"/>
      <c r="E242" s="253"/>
      <c r="F242" s="253"/>
      <c r="G242" s="253"/>
      <c r="H242" s="253"/>
      <c r="I242" s="253"/>
      <c r="J242" s="253"/>
      <c r="K242" s="253"/>
      <c r="L242" s="253"/>
      <c r="M242" s="253"/>
      <c r="N242" s="253"/>
      <c r="O242" s="253"/>
      <c r="P242" s="253"/>
      <c r="Q242" s="253"/>
      <c r="R242" s="253"/>
      <c r="S242" s="253"/>
    </row>
    <row r="243" spans="1:19">
      <c r="A243" s="252"/>
      <c r="B243" s="310" t="s">
        <v>420</v>
      </c>
      <c r="C243" s="253"/>
      <c r="D243" s="253"/>
      <c r="E243" s="253"/>
      <c r="F243" s="253"/>
      <c r="G243" s="253"/>
      <c r="H243" s="253"/>
      <c r="I243" s="253"/>
      <c r="J243" s="253"/>
      <c r="K243" s="253"/>
      <c r="L243" s="253"/>
      <c r="M243" s="253"/>
      <c r="N243" s="253"/>
      <c r="O243" s="253"/>
      <c r="P243" s="253"/>
      <c r="Q243" s="253"/>
      <c r="R243" s="253"/>
      <c r="S243" s="253"/>
    </row>
    <row r="244" spans="1:19">
      <c r="A244" s="252"/>
      <c r="B244" s="311" t="str">
        <f>"458 X "&amp;TEXT(E26,"#,##0")&amp;" = "&amp;TEXT(F229,"#,##0")</f>
        <v>458 X 30,697 = 14,059,226</v>
      </c>
      <c r="C244" s="253"/>
      <c r="D244" s="253"/>
      <c r="E244" s="253"/>
      <c r="F244" s="253"/>
      <c r="G244" s="253"/>
      <c r="H244" s="253"/>
      <c r="I244" s="253"/>
      <c r="J244" s="253"/>
      <c r="K244" s="253"/>
      <c r="L244" s="253"/>
      <c r="M244" s="253"/>
      <c r="N244" s="253"/>
      <c r="O244" s="253"/>
      <c r="P244" s="253"/>
      <c r="Q244" s="253"/>
      <c r="R244" s="253"/>
      <c r="S244" s="253"/>
    </row>
    <row r="245" spans="1:19">
      <c r="A245" s="252"/>
      <c r="B245" s="253"/>
      <c r="C245" s="253"/>
      <c r="D245" s="253"/>
      <c r="E245" s="253"/>
      <c r="F245" s="253"/>
      <c r="G245" s="253"/>
      <c r="H245" s="253"/>
      <c r="I245" s="253"/>
      <c r="J245" s="253"/>
      <c r="K245" s="253"/>
      <c r="L245" s="253"/>
      <c r="M245" s="253"/>
      <c r="N245" s="253"/>
      <c r="O245" s="253"/>
      <c r="P245" s="253"/>
      <c r="Q245" s="253"/>
      <c r="R245" s="253"/>
      <c r="S245" s="253"/>
    </row>
    <row r="246" spans="1:19">
      <c r="A246" s="255" t="s">
        <v>298</v>
      </c>
      <c r="B246" s="254"/>
      <c r="C246" s="254" t="s">
        <v>299</v>
      </c>
      <c r="D246" s="254" t="s">
        <v>306</v>
      </c>
      <c r="E246" s="254" t="s">
        <v>306</v>
      </c>
      <c r="F246" s="254" t="s">
        <v>374</v>
      </c>
      <c r="G246" s="254" t="s">
        <v>374</v>
      </c>
      <c r="H246" s="254" t="s">
        <v>375</v>
      </c>
      <c r="I246" s="254" t="s">
        <v>375</v>
      </c>
      <c r="J246" s="253"/>
      <c r="K246" s="253"/>
      <c r="L246" s="253"/>
      <c r="M246" s="253"/>
      <c r="N246" s="253"/>
      <c r="O246" s="253"/>
      <c r="P246" s="253"/>
      <c r="Q246" s="253"/>
      <c r="R246" s="253"/>
      <c r="S246" s="253"/>
    </row>
    <row r="247" spans="1:19">
      <c r="A247" s="255" t="s">
        <v>305</v>
      </c>
      <c r="B247" s="254"/>
      <c r="C247" s="222" t="s">
        <v>376</v>
      </c>
      <c r="D247" s="222" t="s">
        <v>315</v>
      </c>
      <c r="E247" s="222" t="s">
        <v>377</v>
      </c>
      <c r="F247" s="222" t="s">
        <v>378</v>
      </c>
      <c r="G247" s="222" t="s">
        <v>377</v>
      </c>
      <c r="H247" s="222" t="s">
        <v>315</v>
      </c>
      <c r="I247" s="222" t="s">
        <v>377</v>
      </c>
      <c r="J247" s="253"/>
      <c r="K247" s="253"/>
      <c r="L247" s="253"/>
      <c r="M247" s="253"/>
      <c r="N247" s="253"/>
      <c r="O247" s="253"/>
      <c r="P247" s="253"/>
      <c r="Q247" s="253"/>
      <c r="R247" s="253"/>
      <c r="S247" s="253"/>
    </row>
    <row r="248" spans="1:19">
      <c r="A248" s="252"/>
      <c r="B248" s="253"/>
      <c r="C248" s="253"/>
      <c r="D248" s="253"/>
      <c r="E248" s="253"/>
      <c r="F248" s="253"/>
      <c r="G248" s="253"/>
      <c r="H248" s="253"/>
      <c r="I248" s="253"/>
      <c r="J248" s="253"/>
      <c r="K248" s="253"/>
      <c r="L248" s="253"/>
      <c r="M248" s="253"/>
      <c r="N248" s="253"/>
      <c r="O248" s="253"/>
      <c r="P248" s="253"/>
      <c r="Q248" s="253"/>
      <c r="R248" s="253"/>
      <c r="S248" s="253"/>
    </row>
    <row r="249" spans="1:19">
      <c r="A249" s="252"/>
      <c r="B249" s="306" t="s">
        <v>379</v>
      </c>
      <c r="C249" s="253"/>
      <c r="D249" s="253"/>
      <c r="E249" s="253"/>
      <c r="F249" s="253"/>
      <c r="G249" s="253"/>
      <c r="H249" s="253"/>
      <c r="I249" s="253"/>
      <c r="J249" s="253"/>
      <c r="K249" s="253"/>
      <c r="L249" s="253"/>
      <c r="M249" s="253"/>
      <c r="N249" s="253"/>
      <c r="O249" s="253"/>
      <c r="P249" s="253"/>
      <c r="Q249" s="253"/>
      <c r="R249" s="253"/>
      <c r="S249" s="253"/>
    </row>
    <row r="250" spans="1:19">
      <c r="A250" s="252"/>
      <c r="B250" s="253" t="s">
        <v>333</v>
      </c>
      <c r="C250" s="253"/>
      <c r="D250" s="253"/>
      <c r="E250" s="253"/>
      <c r="F250" s="253"/>
      <c r="G250" s="253"/>
      <c r="H250" s="253"/>
      <c r="I250" s="253"/>
      <c r="J250" s="253"/>
      <c r="K250" s="253"/>
      <c r="L250" s="253"/>
      <c r="M250" s="253"/>
      <c r="N250" s="253"/>
      <c r="O250" s="253"/>
      <c r="P250" s="253"/>
      <c r="Q250" s="253"/>
      <c r="R250" s="253"/>
      <c r="S250" s="253"/>
    </row>
    <row r="251" spans="1:19">
      <c r="A251" s="252"/>
      <c r="B251" s="282" t="s">
        <v>387</v>
      </c>
      <c r="C251" s="278">
        <f>F59</f>
        <v>50.545000000000002</v>
      </c>
      <c r="D251" s="264">
        <f>F31</f>
        <v>166500</v>
      </c>
      <c r="E251" s="281">
        <f>C251*D251/100</f>
        <v>84157.425000000003</v>
      </c>
      <c r="F251" s="307">
        <f>MIN(D251,F257)</f>
        <v>166500</v>
      </c>
      <c r="G251" s="281">
        <f>F251*C251/100</f>
        <v>84157.425000000003</v>
      </c>
      <c r="H251" s="264">
        <f>D251-F251</f>
        <v>0</v>
      </c>
      <c r="I251" s="281">
        <f>H251*C251/100</f>
        <v>0</v>
      </c>
      <c r="J251" s="253"/>
      <c r="K251" s="253"/>
      <c r="L251" s="253"/>
      <c r="M251" s="253"/>
      <c r="N251" s="253"/>
      <c r="O251" s="253"/>
      <c r="P251" s="253"/>
      <c r="Q251" s="253"/>
      <c r="R251" s="253"/>
      <c r="S251" s="253"/>
    </row>
    <row r="252" spans="1:19">
      <c r="A252" s="252"/>
      <c r="B252" s="282" t="s">
        <v>388</v>
      </c>
      <c r="C252" s="278">
        <f>F60</f>
        <v>82.771000000000001</v>
      </c>
      <c r="D252" s="264">
        <f>F32</f>
        <v>166500</v>
      </c>
      <c r="E252" s="281">
        <f>C252*D252/100</f>
        <v>137813.715</v>
      </c>
      <c r="F252" s="307">
        <f>MIN(F257-F251,D252)</f>
        <v>166500</v>
      </c>
      <c r="G252" s="281">
        <f>F252*C252/100</f>
        <v>137813.715</v>
      </c>
      <c r="H252" s="264">
        <f>D252-F252</f>
        <v>0</v>
      </c>
      <c r="I252" s="281">
        <f>H252*C252/100</f>
        <v>0</v>
      </c>
      <c r="J252" s="253"/>
      <c r="K252" s="253"/>
      <c r="L252" s="253"/>
      <c r="M252" s="253"/>
      <c r="N252" s="253"/>
      <c r="O252" s="253"/>
      <c r="P252" s="253"/>
      <c r="Q252" s="253"/>
      <c r="R252" s="253"/>
      <c r="S252" s="253"/>
    </row>
    <row r="253" spans="1:19">
      <c r="A253" s="252"/>
      <c r="B253" s="282" t="s">
        <v>389</v>
      </c>
      <c r="C253" s="278">
        <f>F61</f>
        <v>74.88900000000001</v>
      </c>
      <c r="D253" s="264">
        <f>F33</f>
        <v>2699784</v>
      </c>
      <c r="E253" s="229">
        <f>C253*D253/100</f>
        <v>2021841.2397600005</v>
      </c>
      <c r="F253" s="242">
        <f>MIN(F257-F251-F252,D253)</f>
        <v>2699784</v>
      </c>
      <c r="G253" s="229">
        <f>F253*C253/100</f>
        <v>2021841.2397600005</v>
      </c>
      <c r="H253" s="264">
        <f>D253-F253</f>
        <v>0</v>
      </c>
      <c r="I253" s="281">
        <f>H253*C253/100</f>
        <v>0</v>
      </c>
      <c r="J253" s="253"/>
      <c r="K253" s="253"/>
      <c r="L253" s="253"/>
      <c r="M253" s="253"/>
      <c r="N253" s="253"/>
      <c r="O253" s="253"/>
      <c r="P253" s="253"/>
      <c r="Q253" s="253"/>
      <c r="R253" s="253"/>
      <c r="S253" s="253"/>
    </row>
    <row r="254" spans="1:19">
      <c r="A254" s="252"/>
      <c r="B254" s="282" t="s">
        <v>390</v>
      </c>
      <c r="C254" s="278">
        <f>F62</f>
        <v>69.94</v>
      </c>
      <c r="D254" s="264">
        <f>F34</f>
        <v>1805732</v>
      </c>
      <c r="E254" s="229">
        <f>C254*D254/100</f>
        <v>1262928.9608</v>
      </c>
      <c r="F254" s="242">
        <f>MIN(F257-F251-F252-F253,D254)</f>
        <v>1157472</v>
      </c>
      <c r="G254" s="229">
        <f>F254*C254/100</f>
        <v>809535.91679999989</v>
      </c>
      <c r="H254" s="264">
        <f>D254-F254</f>
        <v>648260</v>
      </c>
      <c r="I254" s="281">
        <f>H254*C254/100</f>
        <v>453393.04399999999</v>
      </c>
      <c r="J254" s="253"/>
      <c r="K254" s="253"/>
      <c r="L254" s="253"/>
      <c r="M254" s="253"/>
      <c r="N254" s="253"/>
      <c r="O254" s="253"/>
      <c r="P254" s="253"/>
      <c r="Q254" s="253"/>
      <c r="R254" s="253"/>
      <c r="S254" s="253"/>
    </row>
    <row r="255" spans="1:19">
      <c r="A255" s="252"/>
      <c r="B255" s="282" t="s">
        <v>391</v>
      </c>
      <c r="C255" s="278">
        <f>F63</f>
        <v>62.817</v>
      </c>
      <c r="D255" s="264">
        <f>F35</f>
        <v>993694</v>
      </c>
      <c r="E255" s="229">
        <f>C255*D255/100</f>
        <v>624208.75998000009</v>
      </c>
      <c r="F255" s="242">
        <f>MIN(F257-F251-F252-F253-F254,D255)</f>
        <v>0</v>
      </c>
      <c r="G255" s="229">
        <f>F255*C255/100</f>
        <v>0</v>
      </c>
      <c r="H255" s="264">
        <f>D255-F255</f>
        <v>993694</v>
      </c>
      <c r="I255" s="281">
        <f>H255*C255/100</f>
        <v>624208.75998000009</v>
      </c>
      <c r="J255" s="253"/>
      <c r="K255" s="253"/>
      <c r="L255" s="253"/>
      <c r="M255" s="253"/>
      <c r="N255" s="253"/>
      <c r="O255" s="253"/>
      <c r="P255" s="253"/>
      <c r="Q255" s="253"/>
      <c r="R255" s="253"/>
      <c r="S255" s="253"/>
    </row>
    <row r="256" spans="1:19">
      <c r="A256" s="252"/>
      <c r="B256" s="253"/>
      <c r="C256" s="253"/>
      <c r="D256" s="231"/>
      <c r="E256" s="231"/>
      <c r="F256" s="231"/>
      <c r="G256" s="231"/>
      <c r="H256" s="231"/>
      <c r="I256" s="232"/>
      <c r="J256" s="253"/>
      <c r="K256" s="253"/>
      <c r="L256" s="253"/>
      <c r="M256" s="253"/>
      <c r="N256" s="253"/>
      <c r="O256" s="253"/>
      <c r="P256" s="253"/>
      <c r="Q256" s="253"/>
      <c r="R256" s="253"/>
      <c r="S256" s="253"/>
    </row>
    <row r="257" spans="1:19">
      <c r="A257" s="252"/>
      <c r="B257" s="253" t="s">
        <v>306</v>
      </c>
      <c r="C257" s="253"/>
      <c r="D257" s="264">
        <f>D251+D252+D253+D254+D255</f>
        <v>5832210</v>
      </c>
      <c r="E257" s="281">
        <f>E251+E252+E253+E254+E255</f>
        <v>4130950.1005400005</v>
      </c>
      <c r="F257" s="309">
        <f>12471*F26</f>
        <v>4190256</v>
      </c>
      <c r="G257" s="281">
        <f>G251+G252+G253</f>
        <v>2243812.3797600004</v>
      </c>
      <c r="H257" s="264">
        <f>H251+H252+H253+H254+H255</f>
        <v>1641954</v>
      </c>
      <c r="I257" s="281">
        <f>I251+I252+I253+I254+I255</f>
        <v>1077601.8039800001</v>
      </c>
      <c r="J257" s="253"/>
      <c r="K257" s="253"/>
      <c r="L257" s="253"/>
      <c r="M257" s="253"/>
      <c r="N257" s="253"/>
      <c r="O257" s="253"/>
      <c r="P257" s="253"/>
      <c r="Q257" s="253"/>
      <c r="R257" s="253"/>
      <c r="S257" s="253"/>
    </row>
    <row r="258" spans="1:19">
      <c r="A258" s="252"/>
      <c r="B258" s="253" t="s">
        <v>382</v>
      </c>
      <c r="C258" s="253"/>
      <c r="D258" s="253"/>
      <c r="E258" s="278">
        <f>E257/D257*100</f>
        <v>70.829927258106281</v>
      </c>
      <c r="F258" s="278"/>
      <c r="G258" s="278">
        <f>G257/F257*100</f>
        <v>53.548336420495559</v>
      </c>
      <c r="H258" s="253"/>
      <c r="I258" s="278">
        <f>I257/H257*100</f>
        <v>65.629232242803397</v>
      </c>
      <c r="J258" s="253"/>
      <c r="K258" s="253"/>
      <c r="L258" s="253"/>
      <c r="M258" s="253"/>
      <c r="N258" s="253"/>
      <c r="O258" s="253"/>
      <c r="P258" s="253"/>
      <c r="Q258" s="253"/>
      <c r="R258" s="253"/>
      <c r="S258" s="253"/>
    </row>
    <row r="259" spans="1:19">
      <c r="A259" s="252"/>
      <c r="B259" s="253"/>
      <c r="C259" s="253"/>
      <c r="D259" s="253"/>
      <c r="E259" s="253"/>
      <c r="F259" s="253"/>
      <c r="G259" s="253"/>
      <c r="H259" s="253"/>
      <c r="I259" s="253"/>
      <c r="J259" s="253"/>
      <c r="K259" s="253"/>
      <c r="L259" s="253"/>
      <c r="M259" s="253"/>
      <c r="N259" s="253"/>
      <c r="O259" s="253"/>
      <c r="P259" s="253"/>
      <c r="Q259" s="253"/>
      <c r="R259" s="253"/>
      <c r="S259" s="253"/>
    </row>
    <row r="260" spans="1:19">
      <c r="A260" s="252"/>
      <c r="B260" s="253"/>
      <c r="C260" s="253"/>
      <c r="D260" s="253"/>
      <c r="E260" s="253"/>
      <c r="F260" s="253"/>
      <c r="G260" s="253"/>
      <c r="H260" s="253"/>
      <c r="I260" s="253"/>
      <c r="J260" s="253"/>
      <c r="K260" s="253"/>
      <c r="L260" s="253"/>
      <c r="M260" s="253"/>
      <c r="N260" s="253"/>
      <c r="O260" s="253"/>
      <c r="P260" s="253"/>
      <c r="Q260" s="253"/>
      <c r="R260" s="253"/>
      <c r="S260" s="253"/>
    </row>
    <row r="261" spans="1:19" hidden="1">
      <c r="A261" s="252"/>
      <c r="B261" s="306" t="s">
        <v>383</v>
      </c>
      <c r="C261" s="253"/>
      <c r="D261" s="253"/>
      <c r="E261" s="253"/>
      <c r="F261" s="253"/>
      <c r="G261" s="253"/>
      <c r="H261" s="253"/>
      <c r="I261" s="253"/>
      <c r="J261" s="253"/>
      <c r="K261" s="253"/>
      <c r="L261" s="253"/>
      <c r="M261" s="253"/>
      <c r="N261" s="253"/>
      <c r="O261" s="253"/>
      <c r="P261" s="253"/>
      <c r="Q261" s="253"/>
      <c r="R261" s="253"/>
      <c r="S261" s="253"/>
    </row>
    <row r="262" spans="1:19" hidden="1">
      <c r="A262" s="252"/>
      <c r="B262" s="253" t="s">
        <v>333</v>
      </c>
      <c r="C262" s="253"/>
      <c r="D262" s="253"/>
      <c r="E262" s="253"/>
      <c r="F262" s="253"/>
      <c r="G262" s="253"/>
      <c r="H262" s="253"/>
      <c r="I262" s="253"/>
      <c r="J262" s="253"/>
      <c r="K262" s="253"/>
      <c r="L262" s="253"/>
      <c r="M262" s="253"/>
      <c r="N262" s="253"/>
      <c r="O262" s="253"/>
      <c r="P262" s="253"/>
      <c r="Q262" s="253"/>
      <c r="R262" s="253"/>
      <c r="S262" s="253"/>
    </row>
    <row r="263" spans="1:19" hidden="1">
      <c r="A263" s="252"/>
      <c r="B263" s="282" t="s">
        <v>387</v>
      </c>
      <c r="C263" s="278">
        <f>F77</f>
        <v>50.545000000000002</v>
      </c>
      <c r="D263" s="264">
        <f>F31</f>
        <v>166500</v>
      </c>
      <c r="E263" s="281">
        <f>C263*D263/100</f>
        <v>84157.425000000003</v>
      </c>
      <c r="F263" s="307">
        <f>MIN(D263,F269)</f>
        <v>166500</v>
      </c>
      <c r="G263" s="281">
        <f>F263*C263/100</f>
        <v>84157.425000000003</v>
      </c>
      <c r="H263" s="264">
        <f>D263-F263</f>
        <v>0</v>
      </c>
      <c r="I263" s="281">
        <f>H263*C263/100</f>
        <v>0</v>
      </c>
      <c r="J263" s="253"/>
      <c r="K263" s="253"/>
      <c r="L263" s="253"/>
      <c r="M263" s="253"/>
      <c r="N263" s="253"/>
      <c r="O263" s="253"/>
      <c r="P263" s="253"/>
      <c r="Q263" s="253"/>
      <c r="R263" s="253"/>
      <c r="S263" s="253"/>
    </row>
    <row r="264" spans="1:19" hidden="1">
      <c r="A264" s="252"/>
      <c r="B264" s="282" t="s">
        <v>388</v>
      </c>
      <c r="C264" s="278">
        <f>F78</f>
        <v>82.771000000000001</v>
      </c>
      <c r="D264" s="264">
        <f>F32</f>
        <v>166500</v>
      </c>
      <c r="E264" s="281">
        <f>C264*D264/100</f>
        <v>137813.715</v>
      </c>
      <c r="F264" s="307">
        <f>MIN(F269-F263,D264)</f>
        <v>166500</v>
      </c>
      <c r="G264" s="281">
        <f>F264*C264/100</f>
        <v>137813.715</v>
      </c>
      <c r="H264" s="264">
        <f>D264-F264</f>
        <v>0</v>
      </c>
      <c r="I264" s="281">
        <f>H264*C264/100</f>
        <v>0</v>
      </c>
      <c r="J264" s="253"/>
      <c r="K264" s="253"/>
      <c r="L264" s="253"/>
      <c r="M264" s="253"/>
      <c r="N264" s="253"/>
      <c r="O264" s="253"/>
      <c r="P264" s="253"/>
      <c r="Q264" s="253"/>
      <c r="R264" s="253"/>
      <c r="S264" s="253"/>
    </row>
    <row r="265" spans="1:19" hidden="1">
      <c r="A265" s="252"/>
      <c r="B265" s="282" t="s">
        <v>389</v>
      </c>
      <c r="C265" s="278">
        <f>F79</f>
        <v>74.888999999999996</v>
      </c>
      <c r="D265" s="264">
        <f>F33</f>
        <v>2699784</v>
      </c>
      <c r="E265" s="281">
        <f>C265*D265/100</f>
        <v>2021841.2397599998</v>
      </c>
      <c r="F265" s="242">
        <f>MIN(F269-F263-F264,D265)</f>
        <v>2699784</v>
      </c>
      <c r="G265" s="229">
        <f>F265*C265/100</f>
        <v>2021841.2397599998</v>
      </c>
      <c r="H265" s="264">
        <f>D265-F265</f>
        <v>0</v>
      </c>
      <c r="I265" s="281">
        <f>H265*C265/100</f>
        <v>0</v>
      </c>
      <c r="J265" s="253"/>
      <c r="K265" s="253"/>
      <c r="L265" s="253"/>
      <c r="M265" s="253"/>
      <c r="N265" s="253"/>
      <c r="O265" s="253"/>
      <c r="P265" s="253"/>
      <c r="Q265" s="253"/>
      <c r="R265" s="253"/>
      <c r="S265" s="253"/>
    </row>
    <row r="266" spans="1:19" hidden="1">
      <c r="A266" s="252"/>
      <c r="B266" s="282" t="s">
        <v>390</v>
      </c>
      <c r="C266" s="278">
        <f>F80</f>
        <v>69.94</v>
      </c>
      <c r="D266" s="264">
        <f>F34</f>
        <v>1805732</v>
      </c>
      <c r="E266" s="281">
        <f>C266*D266/100</f>
        <v>1262928.9608</v>
      </c>
      <c r="F266" s="242">
        <f>MIN(F269-F263-F264-F265,D266)</f>
        <v>1157472</v>
      </c>
      <c r="G266" s="229">
        <f>F266*C266/100</f>
        <v>809535.91679999989</v>
      </c>
      <c r="H266" s="264">
        <f>D266-F266</f>
        <v>648260</v>
      </c>
      <c r="I266" s="281">
        <f>H266*C266/100</f>
        <v>453393.04399999999</v>
      </c>
      <c r="J266" s="253"/>
      <c r="K266" s="253"/>
      <c r="L266" s="253"/>
      <c r="M266" s="253"/>
      <c r="N266" s="253"/>
      <c r="O266" s="253"/>
      <c r="P266" s="253"/>
      <c r="Q266" s="253"/>
      <c r="R266" s="253"/>
      <c r="S266" s="253"/>
    </row>
    <row r="267" spans="1:19" hidden="1">
      <c r="A267" s="252"/>
      <c r="B267" s="282" t="s">
        <v>391</v>
      </c>
      <c r="C267" s="278">
        <f>F81</f>
        <v>62.817</v>
      </c>
      <c r="D267" s="264">
        <f>F35</f>
        <v>993694</v>
      </c>
      <c r="E267" s="281">
        <f>C267*D267/100</f>
        <v>624208.75998000009</v>
      </c>
      <c r="F267" s="242">
        <f>MIN(F269-F263-F264-F265-F266,D267)</f>
        <v>0</v>
      </c>
      <c r="G267" s="229">
        <f>F267*C267/100</f>
        <v>0</v>
      </c>
      <c r="H267" s="264">
        <f>D267-F267</f>
        <v>993694</v>
      </c>
      <c r="I267" s="281">
        <f>H267*C267/100</f>
        <v>624208.75998000009</v>
      </c>
      <c r="J267" s="253"/>
      <c r="K267" s="253"/>
      <c r="L267" s="253"/>
      <c r="M267" s="253"/>
      <c r="N267" s="253"/>
      <c r="O267" s="253"/>
      <c r="P267" s="253"/>
      <c r="Q267" s="253"/>
      <c r="R267" s="253"/>
      <c r="S267" s="253"/>
    </row>
    <row r="268" spans="1:19" hidden="1">
      <c r="A268" s="252"/>
      <c r="B268" s="253"/>
      <c r="C268" s="253"/>
      <c r="D268" s="231"/>
      <c r="E268" s="231"/>
      <c r="F268" s="231"/>
      <c r="G268" s="231"/>
      <c r="H268" s="231"/>
      <c r="I268" s="231"/>
      <c r="J268" s="253"/>
      <c r="K268" s="253"/>
      <c r="L268" s="253"/>
      <c r="M268" s="253"/>
      <c r="N268" s="253"/>
      <c r="O268" s="253"/>
      <c r="P268" s="253"/>
      <c r="Q268" s="253"/>
      <c r="R268" s="253"/>
      <c r="S268" s="253"/>
    </row>
    <row r="269" spans="1:19" hidden="1">
      <c r="A269" s="252"/>
      <c r="B269" s="253" t="s">
        <v>306</v>
      </c>
      <c r="C269" s="253"/>
      <c r="D269" s="264">
        <f>D263+D264+D265+D266+D267</f>
        <v>5832210</v>
      </c>
      <c r="E269" s="281">
        <f>E263+E264+E265+E266+E267</f>
        <v>4130950.10054</v>
      </c>
      <c r="F269" s="287">
        <f>F257</f>
        <v>4190256</v>
      </c>
      <c r="G269" s="281">
        <f>G263+G264+G265+G266+G267</f>
        <v>3053348.2965599997</v>
      </c>
      <c r="H269" s="264">
        <f>H263+H264+H265+H266+H267</f>
        <v>1641954</v>
      </c>
      <c r="I269" s="264">
        <f>I262+I263+I264+I265+I266+I267</f>
        <v>1077601.8039800001</v>
      </c>
      <c r="J269" s="253"/>
      <c r="K269" s="253"/>
      <c r="L269" s="253"/>
      <c r="M269" s="253"/>
      <c r="N269" s="253"/>
      <c r="O269" s="253"/>
      <c r="P269" s="253"/>
      <c r="Q269" s="253"/>
      <c r="R269" s="253"/>
      <c r="S269" s="253"/>
    </row>
    <row r="270" spans="1:19" hidden="1">
      <c r="A270" s="252"/>
      <c r="B270" s="253" t="s">
        <v>382</v>
      </c>
      <c r="C270" s="253"/>
      <c r="D270" s="253"/>
      <c r="E270" s="278">
        <f>E269/D269*100</f>
        <v>70.829927258106267</v>
      </c>
      <c r="F270" s="278"/>
      <c r="G270" s="278">
        <f>G269/F269*100</f>
        <v>72.867822313481554</v>
      </c>
      <c r="H270" s="253"/>
      <c r="I270" s="278">
        <f>I269/H269*100</f>
        <v>65.629232242803397</v>
      </c>
      <c r="J270" s="253"/>
      <c r="K270" s="253"/>
      <c r="L270" s="253"/>
      <c r="M270" s="253"/>
      <c r="N270" s="253"/>
      <c r="O270" s="253"/>
      <c r="P270" s="253"/>
      <c r="Q270" s="253"/>
      <c r="R270" s="253"/>
      <c r="S270" s="253"/>
    </row>
    <row r="271" spans="1:19" hidden="1">
      <c r="A271" s="252"/>
      <c r="B271" s="253"/>
      <c r="C271" s="253"/>
      <c r="D271" s="253"/>
      <c r="E271" s="253"/>
      <c r="F271" s="253"/>
      <c r="G271" s="253"/>
      <c r="H271" s="253"/>
      <c r="I271" s="253"/>
      <c r="J271" s="253"/>
      <c r="K271" s="253"/>
      <c r="L271" s="253"/>
      <c r="M271" s="253"/>
      <c r="N271" s="253"/>
      <c r="O271" s="253"/>
      <c r="P271" s="253"/>
      <c r="Q271" s="253"/>
      <c r="R271" s="253"/>
      <c r="S271" s="253"/>
    </row>
    <row r="272" spans="1:19">
      <c r="A272" s="252"/>
      <c r="B272" s="310" t="s">
        <v>421</v>
      </c>
      <c r="C272" s="253"/>
      <c r="D272" s="253"/>
      <c r="E272" s="253"/>
      <c r="F272" s="253"/>
      <c r="G272" s="253"/>
      <c r="H272" s="253"/>
      <c r="I272" s="253"/>
      <c r="J272" s="253"/>
      <c r="K272" s="253"/>
      <c r="L272" s="253"/>
      <c r="M272" s="253"/>
      <c r="N272" s="253"/>
      <c r="O272" s="253"/>
      <c r="P272" s="253"/>
      <c r="Q272" s="253"/>
      <c r="R272" s="253"/>
      <c r="S272" s="253"/>
    </row>
    <row r="273" spans="1:19">
      <c r="A273" s="252"/>
      <c r="B273" s="311" t="str">
        <f>"12,471 X "&amp;TEXT(F26,"#,##0")&amp;" = "&amp;TEXT(F257,"#,##0")</f>
        <v>12,471 X 336 = 4,190,256</v>
      </c>
      <c r="C273" s="253"/>
      <c r="D273" s="253"/>
      <c r="E273" s="253"/>
      <c r="F273" s="253"/>
      <c r="G273" s="253"/>
      <c r="H273" s="253"/>
      <c r="I273" s="253"/>
      <c r="J273" s="253"/>
      <c r="K273" s="253"/>
      <c r="L273" s="253"/>
      <c r="M273" s="253"/>
      <c r="N273" s="253"/>
      <c r="O273" s="253"/>
      <c r="P273" s="253"/>
      <c r="Q273" s="253"/>
      <c r="R273" s="253"/>
      <c r="S273" s="253"/>
    </row>
    <row r="274" spans="1:19">
      <c r="A274" s="252"/>
      <c r="B274" s="253"/>
      <c r="C274" s="253"/>
      <c r="D274" s="253"/>
      <c r="E274" s="253"/>
      <c r="F274" s="253"/>
      <c r="G274" s="253"/>
      <c r="H274" s="253"/>
      <c r="I274" s="253"/>
      <c r="J274" s="253"/>
      <c r="K274" s="253"/>
      <c r="L274" s="253"/>
      <c r="M274" s="253"/>
      <c r="N274" s="253"/>
      <c r="O274" s="253"/>
      <c r="P274" s="253"/>
      <c r="Q274" s="253"/>
      <c r="R274" s="253"/>
      <c r="S274" s="253"/>
    </row>
    <row r="275" spans="1:19">
      <c r="A275" s="252"/>
      <c r="B275" s="253"/>
      <c r="C275" s="253"/>
      <c r="D275" s="253"/>
      <c r="E275" s="253"/>
      <c r="F275" s="253"/>
      <c r="G275" s="253"/>
      <c r="H275" s="253"/>
      <c r="I275" s="253"/>
      <c r="J275" s="253"/>
      <c r="K275" s="253"/>
      <c r="L275" s="253"/>
      <c r="M275" s="253"/>
      <c r="N275" s="253"/>
      <c r="O275" s="253"/>
      <c r="P275" s="253"/>
      <c r="Q275" s="253"/>
      <c r="R275" s="253"/>
      <c r="S275" s="253"/>
    </row>
    <row r="276" spans="1:19">
      <c r="A276" s="252"/>
      <c r="B276" s="253"/>
      <c r="C276" s="253"/>
      <c r="D276" s="312">
        <f>D195/D48</f>
        <v>0</v>
      </c>
      <c r="E276" s="312">
        <f>E195/E49</f>
        <v>0</v>
      </c>
      <c r="F276" s="312">
        <f>F195/F49</f>
        <v>0</v>
      </c>
      <c r="G276" s="312">
        <f>G195/G48</f>
        <v>0</v>
      </c>
      <c r="H276" s="312">
        <f>H195/H48</f>
        <v>0</v>
      </c>
      <c r="I276" s="281"/>
      <c r="J276" s="253"/>
      <c r="K276" s="253"/>
      <c r="L276" s="253"/>
      <c r="M276" s="253"/>
      <c r="N276" s="253"/>
      <c r="O276" s="253"/>
      <c r="P276" s="253"/>
      <c r="Q276" s="253"/>
      <c r="R276" s="253"/>
      <c r="S276" s="253"/>
    </row>
    <row r="277" spans="1:19">
      <c r="A277" s="252"/>
      <c r="B277" s="253"/>
      <c r="C277" s="253"/>
      <c r="D277" s="264">
        <f>D46/D48</f>
        <v>67.519829770859587</v>
      </c>
      <c r="E277" s="264">
        <f>E46/E49</f>
        <v>1548.5969964491667</v>
      </c>
      <c r="F277" s="264">
        <f>F46/F49</f>
        <v>17068.5625</v>
      </c>
      <c r="G277" s="264">
        <f>G46/G48</f>
        <v>46487.666666666664</v>
      </c>
      <c r="H277" s="264">
        <f>H46/H48</f>
        <v>67061.846491228076</v>
      </c>
      <c r="I277" s="253"/>
      <c r="J277" s="253"/>
      <c r="K277" s="253"/>
      <c r="L277" s="253"/>
      <c r="M277" s="253"/>
      <c r="N277" s="253"/>
      <c r="O277" s="253"/>
      <c r="P277" s="253"/>
      <c r="Q277" s="253"/>
      <c r="R277" s="253"/>
      <c r="S277" s="253"/>
    </row>
  </sheetData>
  <mergeCells count="1">
    <mergeCell ref="Q6:S11"/>
  </mergeCells>
  <pageMargins left="0.7" right="0.7" top="0.75" bottom="0.75" header="0.3" footer="0.3"/>
  <pageSetup scale="75" orientation="landscape" r:id="rId1"/>
  <headerFooter>
    <oddHeader xml:space="preserve">&amp;C"AVISTA UTILITIES
WASHINGTON GAS
PRO FORMA REVENUE UNDER PRESENT AND PROPOSED  RATES
12 MONTHS ENDED SEPTEMBER 30, 2014"  
</oddHeader>
  </headerFooter>
  <rowBreaks count="4" manualBreakCount="4">
    <brk id="49" max="9" man="1"/>
    <brk id="97" max="9" man="1"/>
    <brk id="145" max="9" man="1"/>
    <brk id="196" max="9"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60"/>
  <sheetViews>
    <sheetView workbookViewId="0">
      <selection activeCell="J18" sqref="J18"/>
    </sheetView>
  </sheetViews>
  <sheetFormatPr defaultRowHeight="12.75"/>
  <cols>
    <col min="2" max="2" width="4.7109375" customWidth="1"/>
    <col min="4" max="4" width="13.28515625" customWidth="1"/>
    <col min="5" max="5" width="10.5703125" customWidth="1"/>
    <col min="6" max="6" width="14.85546875" customWidth="1"/>
    <col min="7" max="7" width="11.140625" customWidth="1"/>
    <col min="8" max="8" width="10.28515625" customWidth="1"/>
    <col min="9" max="9" width="4.7109375" customWidth="1"/>
  </cols>
  <sheetData>
    <row r="1" spans="1:7">
      <c r="A1" s="70" t="s">
        <v>424</v>
      </c>
      <c r="G1" s="70" t="s">
        <v>197</v>
      </c>
    </row>
    <row r="3" spans="1:7">
      <c r="D3" s="40">
        <v>2016</v>
      </c>
    </row>
    <row r="4" spans="1:7">
      <c r="A4" s="70" t="s">
        <v>193</v>
      </c>
      <c r="D4" s="41" t="s">
        <v>192</v>
      </c>
    </row>
    <row r="5" spans="1:7">
      <c r="A5" t="s">
        <v>169</v>
      </c>
      <c r="D5" s="101">
        <v>119462330.63324322</v>
      </c>
      <c r="E5" s="40" t="s">
        <v>425</v>
      </c>
    </row>
    <row r="6" spans="1:7">
      <c r="A6" t="s">
        <v>170</v>
      </c>
      <c r="D6" s="101">
        <v>47624382.497314692</v>
      </c>
      <c r="E6" s="40" t="s">
        <v>426</v>
      </c>
    </row>
    <row r="7" spans="1:7">
      <c r="A7" t="s">
        <v>171</v>
      </c>
      <c r="D7" s="101">
        <v>5939603.5239413138</v>
      </c>
      <c r="E7" s="40" t="s">
        <v>427</v>
      </c>
    </row>
    <row r="8" spans="1:7">
      <c r="A8" t="s">
        <v>172</v>
      </c>
      <c r="D8" s="101">
        <v>1252782.6386017113</v>
      </c>
      <c r="E8" s="40" t="s">
        <v>428</v>
      </c>
    </row>
    <row r="9" spans="1:7">
      <c r="A9" t="s">
        <v>173</v>
      </c>
      <c r="D9" s="101">
        <v>30484400.609234795</v>
      </c>
      <c r="E9" s="40" t="s">
        <v>429</v>
      </c>
    </row>
    <row r="10" spans="1:7">
      <c r="A10" t="s">
        <v>174</v>
      </c>
      <c r="D10" s="101">
        <v>47057044</v>
      </c>
      <c r="E10" s="40" t="s">
        <v>430</v>
      </c>
    </row>
    <row r="11" spans="1:7">
      <c r="A11" t="s">
        <v>175</v>
      </c>
      <c r="D11" s="101">
        <v>55305993.510589242</v>
      </c>
      <c r="E11" s="40" t="s">
        <v>431</v>
      </c>
    </row>
    <row r="12" spans="1:7">
      <c r="A12" t="s">
        <v>176</v>
      </c>
      <c r="D12" s="101">
        <v>23547561.306628376</v>
      </c>
      <c r="E12" s="40" t="s">
        <v>432</v>
      </c>
    </row>
    <row r="13" spans="1:7">
      <c r="A13" t="s">
        <v>177</v>
      </c>
      <c r="D13" s="101">
        <v>235774.13823051512</v>
      </c>
      <c r="E13" s="40" t="s">
        <v>433</v>
      </c>
    </row>
    <row r="14" spans="1:7">
      <c r="A14" t="s">
        <v>178</v>
      </c>
      <c r="D14" s="101">
        <v>2974782</v>
      </c>
      <c r="E14" s="40" t="s">
        <v>434</v>
      </c>
    </row>
    <row r="15" spans="1:7">
      <c r="A15" t="s">
        <v>179</v>
      </c>
      <c r="D15" s="101">
        <v>1938513.4686099577</v>
      </c>
      <c r="E15" s="40" t="s">
        <v>435</v>
      </c>
    </row>
    <row r="16" spans="1:7">
      <c r="A16" t="s">
        <v>180</v>
      </c>
      <c r="D16" s="101">
        <v>39459747.468320042</v>
      </c>
      <c r="E16" s="40" t="s">
        <v>436</v>
      </c>
    </row>
    <row r="17" spans="1:5">
      <c r="A17" t="s">
        <v>181</v>
      </c>
      <c r="D17" s="101">
        <v>49018942.147681557</v>
      </c>
      <c r="E17" s="40" t="s">
        <v>437</v>
      </c>
    </row>
    <row r="18" spans="1:5">
      <c r="A18" t="s">
        <v>182</v>
      </c>
      <c r="D18" s="101">
        <v>26621407.537486605</v>
      </c>
      <c r="E18" s="40" t="s">
        <v>438</v>
      </c>
    </row>
    <row r="19" spans="1:5">
      <c r="A19" t="s">
        <v>183</v>
      </c>
      <c r="D19" s="101">
        <v>4588281.1213198705</v>
      </c>
      <c r="E19" s="40" t="s">
        <v>439</v>
      </c>
    </row>
    <row r="20" spans="1:5">
      <c r="A20" t="s">
        <v>184</v>
      </c>
      <c r="D20" s="101">
        <v>3975022.8776251576</v>
      </c>
      <c r="E20" s="40" t="s">
        <v>440</v>
      </c>
    </row>
    <row r="21" spans="1:5">
      <c r="A21" t="s">
        <v>185</v>
      </c>
      <c r="D21" s="101">
        <v>258498.47033765676</v>
      </c>
      <c r="E21" s="40" t="s">
        <v>441</v>
      </c>
    </row>
    <row r="22" spans="1:5">
      <c r="A22" t="s">
        <v>186</v>
      </c>
      <c r="D22" s="101">
        <v>8658756</v>
      </c>
      <c r="E22" s="40" t="s">
        <v>442</v>
      </c>
    </row>
    <row r="23" spans="1:5">
      <c r="A23" t="s">
        <v>187</v>
      </c>
      <c r="D23" s="101">
        <v>38460264.379730739</v>
      </c>
      <c r="E23" s="40" t="s">
        <v>443</v>
      </c>
    </row>
    <row r="24" spans="1:5">
      <c r="D24" s="101"/>
      <c r="E24" s="40"/>
    </row>
    <row r="25" spans="1:5">
      <c r="A25" s="70" t="s">
        <v>194</v>
      </c>
      <c r="D25" s="101"/>
      <c r="E25" s="40"/>
    </row>
    <row r="26" spans="1:5">
      <c r="A26" t="s">
        <v>188</v>
      </c>
      <c r="D26" s="101">
        <f>SUM(D5:D10)</f>
        <v>251820543.9023357</v>
      </c>
      <c r="E26" s="40" t="s">
        <v>444</v>
      </c>
    </row>
    <row r="27" spans="1:5">
      <c r="A27" t="s">
        <v>189</v>
      </c>
      <c r="D27" s="101">
        <f>SUM(D11:D16)</f>
        <v>123462371.89237814</v>
      </c>
      <c r="E27" s="40" t="s">
        <v>445</v>
      </c>
    </row>
    <row r="28" spans="1:5">
      <c r="A28" t="s">
        <v>190</v>
      </c>
      <c r="D28" s="101">
        <f>SUM(D17:D23)</f>
        <v>131581172.53418159</v>
      </c>
      <c r="E28" s="40" t="s">
        <v>446</v>
      </c>
    </row>
    <row r="29" spans="1:5">
      <c r="D29" s="101"/>
      <c r="E29" s="40"/>
    </row>
    <row r="30" spans="1:5" ht="11.25" customHeight="1">
      <c r="A30" t="s">
        <v>191</v>
      </c>
      <c r="D30" s="101">
        <f>SUM(D26:D28)</f>
        <v>506864088.32889545</v>
      </c>
      <c r="E30" s="40" t="s">
        <v>447</v>
      </c>
    </row>
    <row r="33" spans="1:7">
      <c r="D33" s="40">
        <v>2016</v>
      </c>
      <c r="F33" s="40">
        <v>2016</v>
      </c>
    </row>
    <row r="34" spans="1:7">
      <c r="A34" s="70" t="s">
        <v>193</v>
      </c>
      <c r="D34" s="41" t="s">
        <v>195</v>
      </c>
      <c r="F34" s="70" t="s">
        <v>196</v>
      </c>
    </row>
    <row r="35" spans="1:7">
      <c r="A35" t="s">
        <v>169</v>
      </c>
      <c r="D35" s="326">
        <v>152348.46600833334</v>
      </c>
      <c r="F35" s="100">
        <f>D35*12</f>
        <v>1828181.5921</v>
      </c>
      <c r="G35" s="41" t="s">
        <v>449</v>
      </c>
    </row>
    <row r="36" spans="1:7">
      <c r="A36" t="s">
        <v>170</v>
      </c>
      <c r="D36" s="326">
        <v>2614.4773749999999</v>
      </c>
      <c r="F36" s="100">
        <f t="shared" ref="F36:F60" si="0">D36*12</f>
        <v>31373.728499999997</v>
      </c>
      <c r="G36" s="41" t="s">
        <v>450</v>
      </c>
    </row>
    <row r="37" spans="1:7">
      <c r="A37" t="s">
        <v>171</v>
      </c>
      <c r="D37" s="326">
        <v>28.23142616675948</v>
      </c>
      <c r="F37" s="100">
        <f t="shared" si="0"/>
        <v>338.77711400111377</v>
      </c>
      <c r="G37" s="41" t="s">
        <v>451</v>
      </c>
    </row>
    <row r="38" spans="1:7">
      <c r="A38" t="s">
        <v>172</v>
      </c>
      <c r="D38" s="326">
        <v>2</v>
      </c>
      <c r="F38" s="100">
        <f t="shared" si="0"/>
        <v>24</v>
      </c>
      <c r="G38" s="41" t="s">
        <v>452</v>
      </c>
    </row>
    <row r="39" spans="1:7">
      <c r="A39" t="s">
        <v>173</v>
      </c>
      <c r="D39" s="326">
        <v>42.984122353374509</v>
      </c>
      <c r="F39" s="100">
        <f t="shared" si="0"/>
        <v>515.80946824049408</v>
      </c>
      <c r="G39" s="41" t="s">
        <v>453</v>
      </c>
    </row>
    <row r="40" spans="1:7">
      <c r="A40" t="s">
        <v>174</v>
      </c>
      <c r="D40" s="326">
        <v>5.4751614567764477</v>
      </c>
      <c r="F40" s="100">
        <f t="shared" si="0"/>
        <v>65.701937481317373</v>
      </c>
      <c r="G40" s="41" t="s">
        <v>454</v>
      </c>
    </row>
    <row r="41" spans="1:7">
      <c r="A41" t="s">
        <v>175</v>
      </c>
      <c r="D41" s="326">
        <v>77779.85454568667</v>
      </c>
      <c r="F41" s="100">
        <f t="shared" si="0"/>
        <v>933358.25454823999</v>
      </c>
      <c r="G41" s="41" t="s">
        <v>455</v>
      </c>
    </row>
    <row r="42" spans="1:7">
      <c r="A42" t="s">
        <v>176</v>
      </c>
      <c r="D42" s="326">
        <v>1405.9290556080352</v>
      </c>
      <c r="F42" s="100">
        <f t="shared" si="0"/>
        <v>16871.148667296424</v>
      </c>
      <c r="G42" s="41" t="s">
        <v>456</v>
      </c>
    </row>
    <row r="43" spans="1:7">
      <c r="A43" t="s">
        <v>177</v>
      </c>
      <c r="D43" s="326">
        <v>1</v>
      </c>
      <c r="F43" s="100">
        <f t="shared" si="0"/>
        <v>12</v>
      </c>
      <c r="G43" s="41" t="s">
        <v>457</v>
      </c>
    </row>
    <row r="44" spans="1:7">
      <c r="A44" t="s">
        <v>178</v>
      </c>
      <c r="D44" s="326">
        <v>6</v>
      </c>
      <c r="F44" s="100">
        <f t="shared" si="0"/>
        <v>72</v>
      </c>
      <c r="G44" s="41" t="s">
        <v>458</v>
      </c>
    </row>
    <row r="45" spans="1:7">
      <c r="A45" t="s">
        <v>179</v>
      </c>
      <c r="D45" s="326">
        <v>1.2559464254156472</v>
      </c>
      <c r="F45" s="100">
        <f t="shared" si="0"/>
        <v>15.071357104987765</v>
      </c>
      <c r="G45" s="41" t="s">
        <v>459</v>
      </c>
    </row>
    <row r="46" spans="1:7">
      <c r="A46" t="s">
        <v>180</v>
      </c>
      <c r="D46" s="326">
        <v>1</v>
      </c>
      <c r="F46" s="100">
        <f t="shared" si="0"/>
        <v>12</v>
      </c>
      <c r="G46" s="41" t="s">
        <v>460</v>
      </c>
    </row>
    <row r="47" spans="1:7">
      <c r="A47" t="s">
        <v>181</v>
      </c>
      <c r="D47" s="326">
        <v>87064.704186120274</v>
      </c>
      <c r="F47" s="100">
        <f t="shared" si="0"/>
        <v>1044776.4502334433</v>
      </c>
      <c r="G47" s="41" t="s">
        <v>461</v>
      </c>
    </row>
    <row r="48" spans="1:7">
      <c r="A48" t="s">
        <v>182</v>
      </c>
      <c r="D48" s="326">
        <v>11416.257039637139</v>
      </c>
      <c r="F48" s="100">
        <f t="shared" si="0"/>
        <v>136995.08447564568</v>
      </c>
      <c r="G48" s="41" t="s">
        <v>462</v>
      </c>
    </row>
    <row r="49" spans="1:7">
      <c r="A49" t="s">
        <v>183</v>
      </c>
      <c r="D49" s="326">
        <v>82.795433615969401</v>
      </c>
      <c r="F49" s="100">
        <f t="shared" si="0"/>
        <v>993.54520339163287</v>
      </c>
      <c r="G49" s="41" t="s">
        <v>463</v>
      </c>
    </row>
    <row r="50" spans="1:7">
      <c r="A50" t="s">
        <v>184</v>
      </c>
      <c r="D50" s="326">
        <v>34.662696736553443</v>
      </c>
      <c r="F50" s="100">
        <f t="shared" si="0"/>
        <v>415.95236083864131</v>
      </c>
      <c r="G50" s="41" t="s">
        <v>464</v>
      </c>
    </row>
    <row r="51" spans="1:7">
      <c r="A51" t="s">
        <v>185</v>
      </c>
      <c r="D51" s="326">
        <v>3.4166666666666665</v>
      </c>
      <c r="F51" s="100">
        <f t="shared" si="0"/>
        <v>41</v>
      </c>
      <c r="G51" s="41" t="s">
        <v>465</v>
      </c>
    </row>
    <row r="52" spans="1:7">
      <c r="A52" t="s">
        <v>186</v>
      </c>
      <c r="D52" s="326">
        <v>3</v>
      </c>
      <c r="F52" s="100">
        <f t="shared" si="0"/>
        <v>36</v>
      </c>
      <c r="G52" s="41" t="s">
        <v>466</v>
      </c>
    </row>
    <row r="53" spans="1:7">
      <c r="A53" t="s">
        <v>187</v>
      </c>
      <c r="D53" s="326">
        <v>35.038620746051457</v>
      </c>
      <c r="F53" s="100">
        <f t="shared" si="0"/>
        <v>420.46344895261745</v>
      </c>
      <c r="G53" s="41" t="s">
        <v>467</v>
      </c>
    </row>
    <row r="54" spans="1:7">
      <c r="D54" s="101"/>
      <c r="F54" s="100"/>
      <c r="G54" s="40"/>
    </row>
    <row r="55" spans="1:7">
      <c r="A55" s="70" t="s">
        <v>194</v>
      </c>
      <c r="D55" s="101"/>
      <c r="F55" s="100"/>
      <c r="G55" s="40"/>
    </row>
    <row r="56" spans="1:7">
      <c r="A56" t="s">
        <v>188</v>
      </c>
      <c r="D56" s="101">
        <f>SUM(D35:D40)</f>
        <v>155041.63409331022</v>
      </c>
      <c r="F56" s="100">
        <f t="shared" si="0"/>
        <v>1860499.6091197226</v>
      </c>
      <c r="G56" s="41" t="s">
        <v>468</v>
      </c>
    </row>
    <row r="57" spans="1:7">
      <c r="A57" t="s">
        <v>189</v>
      </c>
      <c r="D57" s="101">
        <f>SUM(D41:D46)</f>
        <v>79195.039547720124</v>
      </c>
      <c r="F57" s="100">
        <f t="shared" si="0"/>
        <v>950340.47457264154</v>
      </c>
      <c r="G57" s="41" t="s">
        <v>469</v>
      </c>
    </row>
    <row r="58" spans="1:7">
      <c r="A58" t="s">
        <v>190</v>
      </c>
      <c r="D58" s="101">
        <f>SUM(D47:D53)</f>
        <v>98639.874643522679</v>
      </c>
      <c r="F58" s="100">
        <f t="shared" si="0"/>
        <v>1183678.4957222722</v>
      </c>
      <c r="G58" s="41" t="s">
        <v>470</v>
      </c>
    </row>
    <row r="59" spans="1:7">
      <c r="D59" s="101"/>
      <c r="F59" s="100">
        <f t="shared" si="0"/>
        <v>0</v>
      </c>
      <c r="G59" s="40"/>
    </row>
    <row r="60" spans="1:7">
      <c r="A60" t="s">
        <v>191</v>
      </c>
      <c r="D60" s="101">
        <f>SUM(D56:D58)</f>
        <v>332876.54828455299</v>
      </c>
      <c r="F60" s="100">
        <f t="shared" si="0"/>
        <v>3994518.5794146359</v>
      </c>
      <c r="G60" s="41" t="s">
        <v>471</v>
      </c>
    </row>
  </sheetData>
  <pageMargins left="0.7" right="0.7" top="0.75" bottom="0.75" header="0.3" footer="0.3"/>
  <pageSetup scale="92" orientation="portrait" r:id="rId1"/>
  <headerFooter>
    <oddFooter>&amp;C&amp;F / &amp;A</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R65"/>
  <sheetViews>
    <sheetView workbookViewId="0">
      <pane xSplit="9345" ySplit="6600" topLeftCell="AE43" activePane="topRight"/>
      <selection activeCell="J18" sqref="J18"/>
      <selection pane="topRight" activeCell="J18" sqref="J18"/>
      <selection pane="bottomLeft" activeCell="J18" sqref="J18"/>
      <selection pane="bottomRight" activeCell="J18" sqref="J18"/>
    </sheetView>
  </sheetViews>
  <sheetFormatPr defaultRowHeight="12.75"/>
  <cols>
    <col min="1" max="1" width="5.7109375" style="22" customWidth="1"/>
    <col min="2" max="3" width="1.7109375" style="3" customWidth="1"/>
    <col min="4" max="4" width="23.28515625" style="3" customWidth="1"/>
    <col min="5" max="5" width="9" style="128" customWidth="1"/>
    <col min="6" max="6" width="3.85546875" style="128" customWidth="1"/>
    <col min="7" max="7" width="7.5703125" bestFit="1" customWidth="1"/>
    <col min="8" max="8" width="8.42578125" customWidth="1"/>
    <col min="9" max="9" width="7.5703125" bestFit="1" customWidth="1"/>
    <col min="10" max="10" width="10" customWidth="1"/>
    <col min="11" max="11" width="7.5703125" bestFit="1" customWidth="1"/>
    <col min="12" max="12" width="9.42578125" customWidth="1"/>
    <col min="13" max="13" width="7.5703125" bestFit="1" customWidth="1"/>
    <col min="14" max="14" width="8.85546875" customWidth="1"/>
    <col min="15" max="15" width="7.5703125" bestFit="1" customWidth="1"/>
    <col min="16" max="16" width="9" customWidth="1"/>
    <col min="17" max="17" width="7.5703125" bestFit="1" customWidth="1"/>
    <col min="18" max="18" width="10.140625" customWidth="1"/>
    <col min="19" max="19" width="7.5703125" bestFit="1" customWidth="1"/>
    <col min="20" max="20" width="9.5703125" customWidth="1"/>
    <col min="21" max="21" width="7.5703125" bestFit="1" customWidth="1"/>
    <col min="22" max="22" width="7.85546875" bestFit="1" customWidth="1"/>
    <col min="23" max="23" width="9.7109375" customWidth="1"/>
    <col min="24" max="24" width="7.5703125" bestFit="1" customWidth="1"/>
    <col min="25" max="25" width="7.85546875" bestFit="1" customWidth="1"/>
    <col min="26" max="26" width="8.85546875" customWidth="1"/>
    <col min="27" max="27" width="7.5703125" bestFit="1" customWidth="1"/>
    <col min="28" max="28" width="7.85546875" bestFit="1" customWidth="1"/>
    <col min="29" max="29" width="8.85546875" customWidth="1"/>
    <col min="30" max="30" width="7.5703125" bestFit="1" customWidth="1"/>
    <col min="31" max="31" width="7.85546875" bestFit="1" customWidth="1"/>
    <col min="32" max="32" width="9" customWidth="1"/>
    <col min="33" max="33" width="7.5703125" bestFit="1" customWidth="1"/>
    <col min="34" max="34" width="7.85546875" bestFit="1" customWidth="1"/>
    <col min="35" max="35" width="8.85546875" customWidth="1"/>
    <col min="39" max="39" width="7.140625" hidden="1" customWidth="1"/>
    <col min="40" max="40" width="6.7109375" hidden="1" customWidth="1"/>
    <col min="41" max="41" width="7.85546875" customWidth="1"/>
    <col min="42" max="43" width="0" hidden="1" customWidth="1"/>
    <col min="44" max="44" width="8.85546875" style="128"/>
  </cols>
  <sheetData>
    <row r="1" spans="1:44">
      <c r="A1" s="2" t="s">
        <v>43</v>
      </c>
    </row>
    <row r="2" spans="1:44">
      <c r="A2" s="2" t="s">
        <v>48</v>
      </c>
    </row>
    <row r="3" spans="1:44">
      <c r="A3" s="2" t="s">
        <v>55</v>
      </c>
      <c r="I3" s="112"/>
      <c r="M3" s="112"/>
    </row>
    <row r="4" spans="1:44">
      <c r="A4" s="2" t="s">
        <v>39</v>
      </c>
      <c r="B4" s="2"/>
      <c r="C4" s="2"/>
      <c r="D4" s="2"/>
      <c r="I4" s="112"/>
      <c r="M4" s="112"/>
    </row>
    <row r="5" spans="1:44">
      <c r="A5" s="2"/>
      <c r="G5" s="47"/>
      <c r="H5" s="112"/>
      <c r="I5" s="47"/>
      <c r="J5" s="112"/>
      <c r="K5" s="47"/>
      <c r="L5" s="112"/>
      <c r="M5" s="47"/>
      <c r="N5" s="112"/>
      <c r="O5" s="47"/>
      <c r="P5" s="112"/>
      <c r="Q5" s="47"/>
      <c r="R5" s="112"/>
      <c r="S5" s="47"/>
      <c r="T5" s="112"/>
      <c r="U5" s="47"/>
      <c r="V5" s="112"/>
      <c r="W5" s="55"/>
      <c r="X5" s="47"/>
      <c r="Y5" s="112"/>
      <c r="Z5" s="112"/>
      <c r="AA5" s="47"/>
      <c r="AD5" s="47"/>
      <c r="AG5" s="47"/>
      <c r="AJ5" s="47"/>
      <c r="AK5" s="112"/>
      <c r="AL5" s="55"/>
      <c r="AM5" s="47"/>
      <c r="AN5" s="112"/>
      <c r="AO5" s="55"/>
      <c r="AP5" s="47"/>
      <c r="AQ5" s="112"/>
      <c r="AR5" s="377" t="s">
        <v>498</v>
      </c>
    </row>
    <row r="6" spans="1:44">
      <c r="A6" s="5"/>
      <c r="B6" s="6"/>
      <c r="C6" s="6"/>
      <c r="D6" s="6"/>
      <c r="G6" s="48">
        <v>2000</v>
      </c>
      <c r="H6" s="121"/>
      <c r="I6" s="48">
        <v>2001</v>
      </c>
      <c r="J6" s="121"/>
      <c r="K6" s="48">
        <v>2002</v>
      </c>
      <c r="L6" s="121"/>
      <c r="M6" s="48">
        <v>2003</v>
      </c>
      <c r="N6" s="121"/>
      <c r="O6" s="65" t="s">
        <v>68</v>
      </c>
      <c r="P6" s="119"/>
      <c r="Q6" s="48">
        <v>2005</v>
      </c>
      <c r="R6" s="121"/>
      <c r="S6" s="65" t="s">
        <v>69</v>
      </c>
      <c r="T6" s="119"/>
      <c r="U6" s="48" t="s">
        <v>65</v>
      </c>
      <c r="V6" s="56"/>
      <c r="W6" s="113"/>
      <c r="X6" s="48" t="s">
        <v>64</v>
      </c>
      <c r="Y6" s="113"/>
      <c r="Z6" s="113"/>
      <c r="AA6" s="48" t="s">
        <v>63</v>
      </c>
      <c r="AB6" s="42"/>
      <c r="AC6" s="42"/>
      <c r="AD6" s="48" t="s">
        <v>62</v>
      </c>
      <c r="AE6" s="42"/>
      <c r="AF6" s="42"/>
      <c r="AG6" s="48" t="s">
        <v>60</v>
      </c>
      <c r="AH6" s="42"/>
      <c r="AI6" s="42"/>
      <c r="AJ6" s="586" t="s">
        <v>134</v>
      </c>
      <c r="AK6" s="587"/>
      <c r="AL6" s="588"/>
      <c r="AM6" s="586" t="s">
        <v>394</v>
      </c>
      <c r="AN6" s="587"/>
      <c r="AO6" s="588"/>
      <c r="AP6" s="586" t="s">
        <v>482</v>
      </c>
      <c r="AQ6" s="587"/>
      <c r="AR6" s="588"/>
    </row>
    <row r="7" spans="1:44">
      <c r="A7" s="8"/>
      <c r="B7" s="9"/>
      <c r="C7" s="10"/>
      <c r="D7" s="11"/>
      <c r="G7" s="49"/>
      <c r="H7" s="120"/>
      <c r="I7" s="49"/>
      <c r="J7" s="120"/>
      <c r="K7" s="49"/>
      <c r="L7" s="120"/>
      <c r="M7" s="49"/>
      <c r="N7" s="120"/>
      <c r="O7" s="49"/>
      <c r="P7" s="120"/>
      <c r="Q7" s="49"/>
      <c r="R7" s="120"/>
      <c r="S7" s="49"/>
      <c r="T7" s="120"/>
      <c r="U7" s="49"/>
      <c r="V7" s="114" t="s">
        <v>57</v>
      </c>
      <c r="W7" s="57"/>
      <c r="X7" s="49"/>
      <c r="Y7" s="114" t="s">
        <v>57</v>
      </c>
      <c r="Z7" s="57"/>
      <c r="AA7" s="49"/>
      <c r="AB7" s="41" t="s">
        <v>57</v>
      </c>
      <c r="AC7" s="41"/>
      <c r="AD7" s="49"/>
      <c r="AE7" s="41" t="s">
        <v>57</v>
      </c>
      <c r="AF7" s="41"/>
      <c r="AG7" s="49"/>
      <c r="AH7" s="41" t="s">
        <v>57</v>
      </c>
      <c r="AI7" s="41"/>
      <c r="AJ7" s="49"/>
      <c r="AK7" s="114" t="s">
        <v>57</v>
      </c>
      <c r="AL7" s="55"/>
      <c r="AM7" s="49"/>
      <c r="AN7" s="114" t="s">
        <v>57</v>
      </c>
      <c r="AO7" s="55"/>
      <c r="AP7" s="49"/>
      <c r="AQ7" s="114" t="s">
        <v>57</v>
      </c>
      <c r="AR7" s="365"/>
    </row>
    <row r="8" spans="1:44">
      <c r="A8" s="12" t="s">
        <v>0</v>
      </c>
      <c r="B8" s="13"/>
      <c r="C8" s="14"/>
      <c r="D8" s="15"/>
      <c r="G8" s="50" t="s">
        <v>57</v>
      </c>
      <c r="H8" s="114" t="s">
        <v>57</v>
      </c>
      <c r="I8" s="50" t="s">
        <v>57</v>
      </c>
      <c r="J8" s="114" t="s">
        <v>57</v>
      </c>
      <c r="K8" s="50" t="s">
        <v>57</v>
      </c>
      <c r="L8" s="114" t="s">
        <v>57</v>
      </c>
      <c r="M8" s="50" t="s">
        <v>57</v>
      </c>
      <c r="N8" s="114" t="s">
        <v>57</v>
      </c>
      <c r="O8" s="50" t="s">
        <v>57</v>
      </c>
      <c r="P8" s="114" t="s">
        <v>57</v>
      </c>
      <c r="Q8" s="50" t="s">
        <v>57</v>
      </c>
      <c r="R8" s="114" t="s">
        <v>57</v>
      </c>
      <c r="S8" s="50" t="s">
        <v>57</v>
      </c>
      <c r="T8" s="114" t="s">
        <v>57</v>
      </c>
      <c r="U8" s="50" t="s">
        <v>57</v>
      </c>
      <c r="V8" s="114" t="s">
        <v>61</v>
      </c>
      <c r="W8" s="114" t="s">
        <v>57</v>
      </c>
      <c r="X8" s="50" t="s">
        <v>57</v>
      </c>
      <c r="Y8" s="114" t="s">
        <v>61</v>
      </c>
      <c r="Z8" s="114" t="s">
        <v>57</v>
      </c>
      <c r="AA8" s="50" t="s">
        <v>57</v>
      </c>
      <c r="AB8" s="114" t="s">
        <v>61</v>
      </c>
      <c r="AC8" s="114" t="s">
        <v>57</v>
      </c>
      <c r="AD8" s="50" t="s">
        <v>57</v>
      </c>
      <c r="AE8" s="114" t="s">
        <v>61</v>
      </c>
      <c r="AF8" s="114" t="s">
        <v>57</v>
      </c>
      <c r="AG8" s="50" t="s">
        <v>57</v>
      </c>
      <c r="AH8" s="114" t="s">
        <v>61</v>
      </c>
      <c r="AI8" s="114" t="s">
        <v>57</v>
      </c>
      <c r="AJ8" s="50" t="s">
        <v>57</v>
      </c>
      <c r="AK8" s="114" t="s">
        <v>61</v>
      </c>
      <c r="AL8" s="57" t="s">
        <v>57</v>
      </c>
      <c r="AM8" s="50" t="s">
        <v>57</v>
      </c>
      <c r="AN8" s="114" t="s">
        <v>61</v>
      </c>
      <c r="AO8" s="57" t="s">
        <v>57</v>
      </c>
      <c r="AP8" s="50" t="s">
        <v>57</v>
      </c>
      <c r="AQ8" s="114" t="s">
        <v>61</v>
      </c>
      <c r="AR8" s="366" t="s">
        <v>57</v>
      </c>
    </row>
    <row r="9" spans="1:44">
      <c r="A9" s="17" t="s">
        <v>2</v>
      </c>
      <c r="B9" s="18"/>
      <c r="C9" s="19"/>
      <c r="D9" s="20" t="s">
        <v>3</v>
      </c>
      <c r="E9" s="130" t="s">
        <v>56</v>
      </c>
      <c r="F9" s="130"/>
      <c r="G9" s="51" t="s">
        <v>58</v>
      </c>
      <c r="H9" s="115" t="s">
        <v>157</v>
      </c>
      <c r="I9" s="51" t="s">
        <v>58</v>
      </c>
      <c r="J9" s="115" t="s">
        <v>157</v>
      </c>
      <c r="K9" s="51" t="s">
        <v>58</v>
      </c>
      <c r="L9" s="115" t="s">
        <v>157</v>
      </c>
      <c r="M9" s="51" t="s">
        <v>58</v>
      </c>
      <c r="N9" s="115" t="s">
        <v>157</v>
      </c>
      <c r="O9" s="51" t="s">
        <v>58</v>
      </c>
      <c r="P9" s="115" t="s">
        <v>157</v>
      </c>
      <c r="Q9" s="51" t="s">
        <v>58</v>
      </c>
      <c r="R9" s="115" t="s">
        <v>157</v>
      </c>
      <c r="S9" s="51" t="s">
        <v>58</v>
      </c>
      <c r="T9" s="115" t="s">
        <v>157</v>
      </c>
      <c r="U9" s="51" t="s">
        <v>58</v>
      </c>
      <c r="V9" s="115" t="s">
        <v>59</v>
      </c>
      <c r="W9" s="115" t="s">
        <v>157</v>
      </c>
      <c r="X9" s="51" t="s">
        <v>58</v>
      </c>
      <c r="Y9" s="115" t="s">
        <v>59</v>
      </c>
      <c r="Z9" s="115" t="s">
        <v>157</v>
      </c>
      <c r="AA9" s="51" t="s">
        <v>58</v>
      </c>
      <c r="AB9" s="115" t="s">
        <v>59</v>
      </c>
      <c r="AC9" s="115" t="s">
        <v>157</v>
      </c>
      <c r="AD9" s="51" t="s">
        <v>58</v>
      </c>
      <c r="AE9" s="115" t="s">
        <v>59</v>
      </c>
      <c r="AF9" s="115" t="s">
        <v>157</v>
      </c>
      <c r="AG9" s="51" t="s">
        <v>58</v>
      </c>
      <c r="AH9" s="115" t="s">
        <v>59</v>
      </c>
      <c r="AI9" s="115" t="s">
        <v>157</v>
      </c>
      <c r="AJ9" s="51" t="s">
        <v>58</v>
      </c>
      <c r="AK9" s="115" t="s">
        <v>59</v>
      </c>
      <c r="AL9" s="58" t="s">
        <v>157</v>
      </c>
      <c r="AM9" s="51" t="s">
        <v>58</v>
      </c>
      <c r="AN9" s="115" t="s">
        <v>59</v>
      </c>
      <c r="AO9" s="58" t="s">
        <v>157</v>
      </c>
      <c r="AP9" s="51" t="s">
        <v>58</v>
      </c>
      <c r="AQ9" s="115" t="s">
        <v>59</v>
      </c>
      <c r="AR9" s="367" t="s">
        <v>157</v>
      </c>
    </row>
    <row r="10" spans="1:44">
      <c r="B10" s="3" t="s">
        <v>6</v>
      </c>
      <c r="G10" s="47"/>
      <c r="H10" s="112"/>
      <c r="I10" s="47"/>
      <c r="J10" s="112"/>
      <c r="K10" s="47"/>
      <c r="L10" s="112"/>
      <c r="M10" s="47"/>
      <c r="N10" s="112"/>
      <c r="O10" s="47"/>
      <c r="P10" s="112"/>
      <c r="Q10" s="47"/>
      <c r="R10" s="112"/>
      <c r="S10" s="47"/>
      <c r="T10" s="112"/>
      <c r="U10" s="47"/>
      <c r="V10" s="112"/>
      <c r="W10" s="112"/>
      <c r="X10" s="47"/>
      <c r="Y10" s="112"/>
      <c r="Z10" s="112"/>
      <c r="AA10" s="47"/>
      <c r="AD10" s="47"/>
      <c r="AG10" s="47"/>
      <c r="AJ10" s="47"/>
      <c r="AK10" s="112"/>
      <c r="AL10" s="55"/>
      <c r="AM10" s="47"/>
      <c r="AN10" s="112"/>
      <c r="AO10" s="55"/>
      <c r="AP10" s="47"/>
      <c r="AQ10" s="112"/>
      <c r="AR10" s="365"/>
    </row>
    <row r="11" spans="1:44">
      <c r="A11" s="22">
        <v>1</v>
      </c>
      <c r="B11" s="23" t="s">
        <v>7</v>
      </c>
      <c r="C11" s="23"/>
      <c r="D11" s="23"/>
      <c r="E11" s="145">
        <f>ROR!F35</f>
        <v>0.95433199999999996</v>
      </c>
      <c r="F11" s="145"/>
      <c r="G11" s="52">
        <f>ROUND(G36/$E11,0)</f>
        <v>0</v>
      </c>
      <c r="H11" s="116">
        <f>ROUND((H21-H13)/$E11,0)</f>
        <v>-60123</v>
      </c>
      <c r="I11" s="52">
        <f>ROUND(I36/$E11,0)</f>
        <v>-994</v>
      </c>
      <c r="J11" s="116">
        <f>ROUND((J21-J13)/$E11,0)</f>
        <v>-111895</v>
      </c>
      <c r="K11" s="52">
        <f>ROUND(K36/$E11,0)-1</f>
        <v>-1778</v>
      </c>
      <c r="L11" s="116">
        <f>ROUND((L21-L13)/$E11,0)+1</f>
        <v>-115499</v>
      </c>
      <c r="M11" s="52">
        <f>ROUND(M36/$E11,0)+1</f>
        <v>-2125</v>
      </c>
      <c r="N11" s="116">
        <f>ROUND((N21-N13)/$E11,0)+0</f>
        <v>-101771</v>
      </c>
      <c r="O11" s="52">
        <f>ROUND(O36/$E11,0)</f>
        <v>0</v>
      </c>
      <c r="P11" s="116">
        <f>ROUND((P21-P13)/$E11,0)-1</f>
        <v>-119845</v>
      </c>
      <c r="Q11" s="52">
        <f>ROUND(Q36/$E11,0)</f>
        <v>-2978</v>
      </c>
      <c r="R11" s="116">
        <f>ROUND((R21-R13)/$E11,0)-1</f>
        <v>-136756</v>
      </c>
      <c r="S11" s="52">
        <f>ROUND(S36/$E11,0)</f>
        <v>0</v>
      </c>
      <c r="T11" s="116">
        <f>ROUND((T21-T13)/$E11,0)+1</f>
        <v>-156970</v>
      </c>
      <c r="U11" s="52">
        <f>ROUND(U36/$E11,0)</f>
        <v>-4019</v>
      </c>
      <c r="V11" s="116">
        <f>ROUND(V41/$E11,0)+1</f>
        <v>-88</v>
      </c>
      <c r="W11" s="116">
        <f>ROUND((W21-W13)/$E11,0)</f>
        <v>-163424</v>
      </c>
      <c r="X11" s="52">
        <f>ROUND(X36/$E11,0)</f>
        <v>-4591</v>
      </c>
      <c r="Y11" s="116">
        <f>ROUND(Y41/$E11,0)+1</f>
        <v>-452</v>
      </c>
      <c r="Z11" s="116">
        <f>ROUND((Z21-Z13)/$E11,0)-1</f>
        <v>-154427</v>
      </c>
      <c r="AA11" s="52">
        <f>ROUND(AA36/$E11,0)+0</f>
        <v>-7101</v>
      </c>
      <c r="AB11" s="44">
        <f>ROUND(AB41/$E11,0)+1</f>
        <v>-743</v>
      </c>
      <c r="AC11" s="116">
        <f>ROUND((AC21-AC13)/$E11,0)-1</f>
        <v>-126787</v>
      </c>
      <c r="AD11" s="52">
        <f>ROUND(AD36/$E11,0)-0</f>
        <v>-8819</v>
      </c>
      <c r="AE11" s="44">
        <f>ROUND(AE41/$E11,0)-0</f>
        <v>-518</v>
      </c>
      <c r="AF11" s="116">
        <f>ROUND((AF21-AF13)/$E11,0)-1</f>
        <v>-82759</v>
      </c>
      <c r="AG11" s="52">
        <f>ROUND(AG36/$E11,0)+0</f>
        <v>-9381</v>
      </c>
      <c r="AH11" s="44">
        <f>ROUND(AH41/$E11,0)-0</f>
        <v>-518</v>
      </c>
      <c r="AI11" s="116">
        <f>ROUND((AI21-AI13)/$E11,0)+1</f>
        <v>-88061</v>
      </c>
      <c r="AJ11" s="52">
        <f>ROUND(AJ36/$E11,0)</f>
        <v>-6226</v>
      </c>
      <c r="AK11" s="116">
        <f>ROUND(AK41/$E11,0)+1</f>
        <v>-191</v>
      </c>
      <c r="AL11" s="59">
        <f>ROUND((AL21-AL13)/$E11,0)</f>
        <v>-78385</v>
      </c>
      <c r="AM11" s="52">
        <f>ROUND(AM36/$E11,0)</f>
        <v>0</v>
      </c>
      <c r="AN11" s="116">
        <f>ROUND(AN41/$E11,0)</f>
        <v>0</v>
      </c>
      <c r="AO11" s="59">
        <f>ROUND((AO21-AO13)/$E11,0)</f>
        <v>-80476</v>
      </c>
      <c r="AP11" s="52">
        <f>ROUND(AP36/$E11,0)</f>
        <v>0</v>
      </c>
      <c r="AQ11" s="116">
        <f>ROUND(AQ41/$E11,0)</f>
        <v>0</v>
      </c>
      <c r="AR11" s="324">
        <f>ROUND((AR21-AR13)/$E11,0)+1</f>
        <v>-88215</v>
      </c>
    </row>
    <row r="12" spans="1:44">
      <c r="A12" s="22">
        <v>2</v>
      </c>
      <c r="B12" s="24" t="s">
        <v>8</v>
      </c>
      <c r="D12" s="24"/>
      <c r="E12" s="145"/>
      <c r="F12" s="145"/>
      <c r="G12" s="52"/>
      <c r="H12" s="116"/>
      <c r="I12" s="52"/>
      <c r="J12" s="116"/>
      <c r="K12" s="52"/>
      <c r="L12" s="116"/>
      <c r="M12" s="52"/>
      <c r="N12" s="116"/>
      <c r="O12" s="52"/>
      <c r="P12" s="116"/>
      <c r="Q12" s="52"/>
      <c r="R12" s="116"/>
      <c r="S12" s="52"/>
      <c r="T12" s="116"/>
      <c r="U12" s="52"/>
      <c r="V12" s="116"/>
      <c r="W12" s="116"/>
      <c r="X12" s="52"/>
      <c r="Y12" s="116"/>
      <c r="Z12" s="116"/>
      <c r="AA12" s="52"/>
      <c r="AB12" s="44"/>
      <c r="AC12" s="116"/>
      <c r="AD12" s="52"/>
      <c r="AE12" s="44"/>
      <c r="AF12" s="116"/>
      <c r="AG12" s="52"/>
      <c r="AH12" s="44"/>
      <c r="AI12" s="116"/>
      <c r="AJ12" s="52"/>
      <c r="AK12" s="116"/>
      <c r="AL12" s="59"/>
      <c r="AM12" s="52"/>
      <c r="AN12" s="116"/>
      <c r="AO12" s="59"/>
      <c r="AP12" s="52"/>
      <c r="AQ12" s="116"/>
      <c r="AR12" s="324"/>
    </row>
    <row r="13" spans="1:44">
      <c r="A13" s="22">
        <v>3</v>
      </c>
      <c r="B13" s="24" t="s">
        <v>9</v>
      </c>
      <c r="D13" s="24"/>
      <c r="E13" s="145"/>
      <c r="F13" s="145"/>
      <c r="G13" s="53"/>
      <c r="H13" s="45">
        <f>-H61</f>
        <v>-242</v>
      </c>
      <c r="I13" s="53"/>
      <c r="J13" s="45">
        <f>-J61</f>
        <v>-244</v>
      </c>
      <c r="K13" s="53"/>
      <c r="L13" s="45">
        <f>-L61</f>
        <v>-144</v>
      </c>
      <c r="M13" s="53"/>
      <c r="N13" s="45">
        <f>-N61</f>
        <v>0</v>
      </c>
      <c r="O13" s="53"/>
      <c r="P13" s="45">
        <f>-P61</f>
        <v>0</v>
      </c>
      <c r="Q13" s="53"/>
      <c r="R13" s="45">
        <f>-R61</f>
        <v>-28334</v>
      </c>
      <c r="S13" s="53"/>
      <c r="T13" s="45">
        <v>0</v>
      </c>
      <c r="U13" s="53"/>
      <c r="V13" s="45"/>
      <c r="W13" s="45">
        <f>-W61</f>
        <v>-66686</v>
      </c>
      <c r="X13" s="53"/>
      <c r="Y13" s="116"/>
      <c r="Z13" s="45">
        <f>-Z61</f>
        <v>-153018</v>
      </c>
      <c r="AA13" s="53"/>
      <c r="AB13" s="45"/>
      <c r="AC13" s="45">
        <f>-AC61</f>
        <v>-83992</v>
      </c>
      <c r="AD13" s="53"/>
      <c r="AE13" s="45"/>
      <c r="AF13" s="45">
        <f>-AF61</f>
        <v>-115193</v>
      </c>
      <c r="AG13" s="53"/>
      <c r="AH13" s="45"/>
      <c r="AI13" s="45">
        <f>-AI61</f>
        <v>-98794</v>
      </c>
      <c r="AJ13" s="53"/>
      <c r="AK13" s="45"/>
      <c r="AL13" s="60">
        <f>-AL61</f>
        <v>-67822</v>
      </c>
      <c r="AM13" s="53"/>
      <c r="AN13" s="45"/>
      <c r="AO13" s="60">
        <f>-AO61</f>
        <v>0</v>
      </c>
      <c r="AP13" s="53"/>
      <c r="AQ13" s="45"/>
      <c r="AR13" s="323">
        <f>-AR61</f>
        <v>0</v>
      </c>
    </row>
    <row r="14" spans="1:44">
      <c r="A14" s="22">
        <v>4</v>
      </c>
      <c r="B14" s="3" t="s">
        <v>10</v>
      </c>
      <c r="C14" s="24"/>
      <c r="D14" s="24"/>
      <c r="E14" s="145"/>
      <c r="F14" s="145"/>
      <c r="G14" s="52">
        <f t="shared" ref="G14:P14" si="0">SUM(G11:G13)</f>
        <v>0</v>
      </c>
      <c r="H14" s="116">
        <f>SUM(H11:H13)</f>
        <v>-60365</v>
      </c>
      <c r="I14" s="52">
        <f t="shared" si="0"/>
        <v>-994</v>
      </c>
      <c r="J14" s="116">
        <f>SUM(J11:J13)</f>
        <v>-112139</v>
      </c>
      <c r="K14" s="52">
        <f t="shared" si="0"/>
        <v>-1778</v>
      </c>
      <c r="L14" s="116">
        <f t="shared" si="0"/>
        <v>-115643</v>
      </c>
      <c r="M14" s="52">
        <f t="shared" si="0"/>
        <v>-2125</v>
      </c>
      <c r="N14" s="116">
        <f t="shared" si="0"/>
        <v>-101771</v>
      </c>
      <c r="O14" s="52">
        <f t="shared" si="0"/>
        <v>0</v>
      </c>
      <c r="P14" s="116">
        <f t="shared" si="0"/>
        <v>-119845</v>
      </c>
      <c r="Q14" s="52">
        <f t="shared" ref="Q14:AI14" si="1">SUM(Q11:Q13)</f>
        <v>-2978</v>
      </c>
      <c r="R14" s="116">
        <f t="shared" si="1"/>
        <v>-165090</v>
      </c>
      <c r="S14" s="52">
        <f t="shared" si="1"/>
        <v>0</v>
      </c>
      <c r="T14" s="116">
        <f t="shared" si="1"/>
        <v>-156970</v>
      </c>
      <c r="U14" s="52">
        <f t="shared" si="1"/>
        <v>-4019</v>
      </c>
      <c r="V14" s="116">
        <f t="shared" si="1"/>
        <v>-88</v>
      </c>
      <c r="W14" s="116">
        <f t="shared" si="1"/>
        <v>-230110</v>
      </c>
      <c r="X14" s="52">
        <f t="shared" si="1"/>
        <v>-4591</v>
      </c>
      <c r="Y14" s="117">
        <f t="shared" si="1"/>
        <v>-452</v>
      </c>
      <c r="Z14" s="116">
        <f t="shared" si="1"/>
        <v>-307445</v>
      </c>
      <c r="AA14" s="52">
        <f t="shared" si="1"/>
        <v>-7101</v>
      </c>
      <c r="AB14" s="44">
        <f t="shared" si="1"/>
        <v>-743</v>
      </c>
      <c r="AC14" s="116">
        <f t="shared" si="1"/>
        <v>-210779</v>
      </c>
      <c r="AD14" s="52">
        <f t="shared" si="1"/>
        <v>-8819</v>
      </c>
      <c r="AE14" s="44">
        <f t="shared" si="1"/>
        <v>-518</v>
      </c>
      <c r="AF14" s="116">
        <f t="shared" si="1"/>
        <v>-197952</v>
      </c>
      <c r="AG14" s="52">
        <f t="shared" si="1"/>
        <v>-9381</v>
      </c>
      <c r="AH14" s="44">
        <f t="shared" si="1"/>
        <v>-518</v>
      </c>
      <c r="AI14" s="116">
        <f t="shared" si="1"/>
        <v>-186855</v>
      </c>
      <c r="AJ14" s="52">
        <f t="shared" ref="AJ14:AO14" si="2">SUM(AJ11:AJ13)</f>
        <v>-6226</v>
      </c>
      <c r="AK14" s="116">
        <f t="shared" si="2"/>
        <v>-191</v>
      </c>
      <c r="AL14" s="59">
        <f t="shared" si="2"/>
        <v>-146207</v>
      </c>
      <c r="AM14" s="52">
        <f t="shared" si="2"/>
        <v>0</v>
      </c>
      <c r="AN14" s="116">
        <f t="shared" si="2"/>
        <v>0</v>
      </c>
      <c r="AO14" s="59">
        <f t="shared" si="2"/>
        <v>-80476</v>
      </c>
      <c r="AP14" s="52">
        <f t="shared" ref="AP14:AR14" si="3">SUM(AP11:AP13)</f>
        <v>0</v>
      </c>
      <c r="AQ14" s="116">
        <f t="shared" si="3"/>
        <v>0</v>
      </c>
      <c r="AR14" s="324">
        <f t="shared" si="3"/>
        <v>-88215</v>
      </c>
    </row>
    <row r="15" spans="1:44">
      <c r="C15" s="24"/>
      <c r="D15" s="24"/>
      <c r="E15" s="145"/>
      <c r="F15" s="145"/>
      <c r="G15" s="52"/>
      <c r="H15" s="116"/>
      <c r="I15" s="52"/>
      <c r="J15" s="116"/>
      <c r="K15" s="52"/>
      <c r="L15" s="116"/>
      <c r="M15" s="52"/>
      <c r="N15" s="116"/>
      <c r="O15" s="52"/>
      <c r="P15" s="116"/>
      <c r="Q15" s="52"/>
      <c r="R15" s="116"/>
      <c r="S15" s="52"/>
      <c r="T15" s="116"/>
      <c r="U15" s="52"/>
      <c r="V15" s="116"/>
      <c r="W15" s="116"/>
      <c r="X15" s="52"/>
      <c r="Y15" s="116"/>
      <c r="Z15" s="116"/>
      <c r="AA15" s="52"/>
      <c r="AB15" s="44"/>
      <c r="AC15" s="116"/>
      <c r="AD15" s="52"/>
      <c r="AE15" s="44"/>
      <c r="AF15" s="116"/>
      <c r="AG15" s="52"/>
      <c r="AH15" s="44"/>
      <c r="AI15" s="116"/>
      <c r="AJ15" s="52"/>
      <c r="AK15" s="116"/>
      <c r="AL15" s="59"/>
      <c r="AM15" s="52"/>
      <c r="AN15" s="116"/>
      <c r="AO15" s="59"/>
      <c r="AP15" s="52"/>
      <c r="AQ15" s="116"/>
      <c r="AR15" s="324"/>
    </row>
    <row r="16" spans="1:44">
      <c r="B16" s="3" t="s">
        <v>11</v>
      </c>
      <c r="C16" s="24"/>
      <c r="D16" s="24"/>
      <c r="E16" s="145"/>
      <c r="F16" s="145"/>
      <c r="G16" s="52"/>
      <c r="H16" s="116"/>
      <c r="I16" s="52"/>
      <c r="J16" s="116"/>
      <c r="K16" s="52"/>
      <c r="L16" s="116"/>
      <c r="M16" s="52"/>
      <c r="N16" s="116"/>
      <c r="O16" s="52"/>
      <c r="P16" s="116"/>
      <c r="Q16" s="52"/>
      <c r="R16" s="116"/>
      <c r="S16" s="52"/>
      <c r="T16" s="116"/>
      <c r="U16" s="52"/>
      <c r="V16" s="116"/>
      <c r="W16" s="116"/>
      <c r="X16" s="52"/>
      <c r="Y16" s="116"/>
      <c r="Z16" s="116"/>
      <c r="AA16" s="52"/>
      <c r="AB16" s="44"/>
      <c r="AC16" s="116"/>
      <c r="AD16" s="52"/>
      <c r="AE16" s="44"/>
      <c r="AF16" s="116"/>
      <c r="AG16" s="52"/>
      <c r="AH16" s="44"/>
      <c r="AI16" s="116"/>
      <c r="AJ16" s="52"/>
      <c r="AK16" s="116"/>
      <c r="AL16" s="59"/>
      <c r="AM16" s="52"/>
      <c r="AN16" s="116"/>
      <c r="AO16" s="59"/>
      <c r="AP16" s="52"/>
      <c r="AQ16" s="116"/>
      <c r="AR16" s="324"/>
    </row>
    <row r="17" spans="1:44">
      <c r="B17" s="24" t="s">
        <v>51</v>
      </c>
      <c r="D17" s="24"/>
      <c r="E17" s="145"/>
      <c r="F17" s="145"/>
      <c r="G17" s="52"/>
      <c r="H17" s="116"/>
      <c r="I17" s="52"/>
      <c r="J17" s="116"/>
      <c r="K17" s="52"/>
      <c r="L17" s="116"/>
      <c r="M17" s="52"/>
      <c r="N17" s="116"/>
      <c r="O17" s="52"/>
      <c r="P17" s="116"/>
      <c r="Q17" s="52"/>
      <c r="R17" s="116"/>
      <c r="S17" s="52"/>
      <c r="T17" s="116"/>
      <c r="U17" s="52"/>
      <c r="V17" s="116"/>
      <c r="W17" s="116"/>
      <c r="X17" s="52"/>
      <c r="Y17" s="116"/>
      <c r="Z17" s="116"/>
      <c r="AA17" s="52"/>
      <c r="AB17" s="44"/>
      <c r="AC17" s="116"/>
      <c r="AD17" s="52"/>
      <c r="AE17" s="44"/>
      <c r="AF17" s="116"/>
      <c r="AG17" s="52"/>
      <c r="AH17" s="44"/>
      <c r="AI17" s="116"/>
      <c r="AJ17" s="52"/>
      <c r="AK17" s="116"/>
      <c r="AL17" s="59"/>
      <c r="AM17" s="52"/>
      <c r="AN17" s="116"/>
      <c r="AO17" s="59"/>
      <c r="AP17" s="52"/>
      <c r="AQ17" s="116"/>
      <c r="AR17" s="324"/>
    </row>
    <row r="18" spans="1:44">
      <c r="A18" s="22">
        <v>5</v>
      </c>
      <c r="C18" s="24" t="s">
        <v>12</v>
      </c>
      <c r="D18" s="24"/>
      <c r="E18" s="145"/>
      <c r="F18" s="145"/>
      <c r="G18" s="52"/>
      <c r="H18" s="116">
        <f>-'Cost Trends'!F19</f>
        <v>-59659</v>
      </c>
      <c r="I18" s="52"/>
      <c r="J18" s="116">
        <f>-'Cost Trends'!G19</f>
        <v>-106139</v>
      </c>
      <c r="K18" s="52"/>
      <c r="L18" s="116">
        <f>-'Cost Trends'!H19</f>
        <v>-109325</v>
      </c>
      <c r="M18" s="52"/>
      <c r="N18" s="116">
        <f>-'Cost Trends'!I19</f>
        <v>-96222</v>
      </c>
      <c r="O18" s="52"/>
      <c r="P18" s="116">
        <f>-'Cost Trends'!J19</f>
        <v>-114371</v>
      </c>
      <c r="Q18" s="52"/>
      <c r="R18" s="116">
        <f>-'Cost Trends'!K19</f>
        <v>-167251</v>
      </c>
      <c r="S18" s="52"/>
      <c r="T18" s="116">
        <f>-'Cost Trends'!L19</f>
        <v>-149802</v>
      </c>
      <c r="U18" s="52"/>
      <c r="V18" s="116"/>
      <c r="W18" s="116">
        <f>-'Cost Trends'!M19</f>
        <v>-222364</v>
      </c>
      <c r="X18" s="52"/>
      <c r="Y18" s="116"/>
      <c r="Z18" s="116">
        <f>-'Cost Trends'!N19</f>
        <v>-310276</v>
      </c>
      <c r="AA18" s="52"/>
      <c r="AB18" s="44"/>
      <c r="AC18" s="116">
        <f>-'Cost Trends'!O19</f>
        <v>-194267</v>
      </c>
      <c r="AD18" s="52"/>
      <c r="AE18" s="44"/>
      <c r="AF18" s="116">
        <f>-'Cost Trends'!P19</f>
        <v>-197494</v>
      </c>
      <c r="AG18" s="52"/>
      <c r="AH18" s="44"/>
      <c r="AI18" s="116">
        <f>-'Cost Trends'!Q19</f>
        <v>-188167</v>
      </c>
      <c r="AJ18" s="52"/>
      <c r="AK18" s="116"/>
      <c r="AL18" s="59">
        <f>-'Cost Trends'!R19</f>
        <v>-139073</v>
      </c>
      <c r="AM18" s="52"/>
      <c r="AN18" s="116"/>
      <c r="AO18" s="59">
        <f>-'Cost Trends'!S19</f>
        <v>-76801</v>
      </c>
      <c r="AP18" s="52"/>
      <c r="AQ18" s="116"/>
      <c r="AR18" s="324">
        <f>-'Cost Trends'!T19</f>
        <v>-84187</v>
      </c>
    </row>
    <row r="19" spans="1:44">
      <c r="A19" s="22">
        <v>6</v>
      </c>
      <c r="C19" s="24" t="s">
        <v>13</v>
      </c>
      <c r="D19" s="24"/>
      <c r="E19" s="145"/>
      <c r="F19" s="145"/>
      <c r="G19" s="52"/>
      <c r="H19" s="116">
        <f>-'Cost Trends'!F20+H63</f>
        <v>2078</v>
      </c>
      <c r="I19" s="52"/>
      <c r="J19" s="116">
        <f>-'Cost Trends'!G20+J63</f>
        <v>-756</v>
      </c>
      <c r="K19" s="52"/>
      <c r="L19" s="116">
        <f>-'Cost Trends'!H20+L63</f>
        <v>-916</v>
      </c>
      <c r="M19" s="52"/>
      <c r="N19" s="116">
        <f>-'Cost Trends'!I20+N63</f>
        <v>-901</v>
      </c>
      <c r="O19" s="52"/>
      <c r="P19" s="116">
        <f>-'Cost Trends'!J20+P63</f>
        <v>0</v>
      </c>
      <c r="Q19" s="52"/>
      <c r="R19" s="116">
        <f>-'Cost Trends'!K20+R63</f>
        <v>0</v>
      </c>
      <c r="S19" s="52"/>
      <c r="T19" s="116">
        <f>-'Cost Trends'!L20+T63</f>
        <v>0</v>
      </c>
      <c r="U19" s="52"/>
      <c r="V19" s="116"/>
      <c r="W19" s="116">
        <f>-'Cost Trends'!M20+W63</f>
        <v>0</v>
      </c>
      <c r="X19" s="52"/>
      <c r="Y19" s="116"/>
      <c r="Z19" s="116">
        <f>-'Cost Trends'!N20+Z63</f>
        <v>9886</v>
      </c>
      <c r="AA19" s="52"/>
      <c r="AB19" s="44"/>
      <c r="AC19" s="116">
        <f>-'Cost Trends'!O20+AC63</f>
        <v>-1</v>
      </c>
      <c r="AD19" s="52"/>
      <c r="AE19" s="44"/>
      <c r="AF19" s="116">
        <f>-'Cost Trends'!P20+AF63</f>
        <v>0</v>
      </c>
      <c r="AG19" s="52"/>
      <c r="AH19" s="44"/>
      <c r="AI19" s="116">
        <f>-'Cost Trends'!Q20+AI63</f>
        <v>967</v>
      </c>
      <c r="AJ19" s="52"/>
      <c r="AK19" s="116"/>
      <c r="AL19" s="59">
        <f>-'Cost Trends'!R20+AL63</f>
        <v>798</v>
      </c>
      <c r="AM19" s="52"/>
      <c r="AN19" s="116"/>
      <c r="AO19" s="59">
        <f>-'Cost Trends'!S20+AO63</f>
        <v>0</v>
      </c>
      <c r="AP19" s="52"/>
      <c r="AQ19" s="116"/>
      <c r="AR19" s="324">
        <f>-'Cost Trends'!T20+AR63</f>
        <v>0</v>
      </c>
    </row>
    <row r="20" spans="1:44">
      <c r="A20" s="22">
        <v>7</v>
      </c>
      <c r="C20" s="24" t="s">
        <v>14</v>
      </c>
      <c r="D20" s="24"/>
      <c r="E20" s="145"/>
      <c r="F20" s="145"/>
      <c r="G20" s="53"/>
      <c r="H20" s="116">
        <f>-'Cost Trends'!F21</f>
        <v>-38</v>
      </c>
      <c r="I20" s="53"/>
      <c r="J20" s="116">
        <f>-'Cost Trends'!G21</f>
        <v>-134</v>
      </c>
      <c r="K20" s="53"/>
      <c r="L20" s="116">
        <f>-'Cost Trends'!H21</f>
        <v>-128</v>
      </c>
      <c r="M20" s="53"/>
      <c r="N20" s="116">
        <f>-'Cost Trends'!I21</f>
        <v>0</v>
      </c>
      <c r="O20" s="53"/>
      <c r="P20" s="116">
        <f>-'Cost Trends'!J21</f>
        <v>0</v>
      </c>
      <c r="Q20" s="53"/>
      <c r="R20" s="116">
        <f>-'Cost Trends'!K21</f>
        <v>8407</v>
      </c>
      <c r="S20" s="53"/>
      <c r="T20" s="116">
        <f>-'Cost Trends'!L21</f>
        <v>0</v>
      </c>
      <c r="U20" s="53"/>
      <c r="V20" s="45"/>
      <c r="W20" s="116">
        <f>-'Cost Trends'!M21</f>
        <v>-283</v>
      </c>
      <c r="X20" s="53"/>
      <c r="Y20" s="116"/>
      <c r="Z20" s="116">
        <f>-'Cost Trends'!N21</f>
        <v>-2</v>
      </c>
      <c r="AA20" s="53"/>
      <c r="AB20" s="45"/>
      <c r="AC20" s="116">
        <f>-'Cost Trends'!O21</f>
        <v>-10720</v>
      </c>
      <c r="AD20" s="53"/>
      <c r="AE20" s="45"/>
      <c r="AF20" s="116">
        <f>-'Cost Trends'!P21</f>
        <v>3322</v>
      </c>
      <c r="AG20" s="53"/>
      <c r="AH20" s="45"/>
      <c r="AI20" s="116">
        <f>-'Cost Trends'!Q21</f>
        <v>4366</v>
      </c>
      <c r="AJ20" s="53"/>
      <c r="AK20" s="45"/>
      <c r="AL20" s="59">
        <f>-'Cost Trends'!R21</f>
        <v>-4352</v>
      </c>
      <c r="AM20" s="53"/>
      <c r="AN20" s="45"/>
      <c r="AO20" s="59">
        <f>-'Cost Trends'!S21</f>
        <v>0</v>
      </c>
      <c r="AP20" s="53"/>
      <c r="AQ20" s="45"/>
      <c r="AR20" s="324">
        <f>-'Cost Trends'!T21</f>
        <v>0</v>
      </c>
    </row>
    <row r="21" spans="1:44">
      <c r="A21" s="22">
        <v>8</v>
      </c>
      <c r="B21" s="24" t="s">
        <v>15</v>
      </c>
      <c r="C21" s="24"/>
      <c r="E21" s="145"/>
      <c r="F21" s="145"/>
      <c r="G21" s="52">
        <f t="shared" ref="G21:P21" si="4">SUM(G18:G20)</f>
        <v>0</v>
      </c>
      <c r="H21" s="118">
        <f>SUM(H18:H20)</f>
        <v>-57619</v>
      </c>
      <c r="I21" s="52">
        <f t="shared" si="4"/>
        <v>0</v>
      </c>
      <c r="J21" s="118">
        <f>SUM(J18:J20)</f>
        <v>-107029</v>
      </c>
      <c r="K21" s="52">
        <f t="shared" si="4"/>
        <v>0</v>
      </c>
      <c r="L21" s="118">
        <f t="shared" si="4"/>
        <v>-110369</v>
      </c>
      <c r="M21" s="52">
        <f t="shared" si="4"/>
        <v>0</v>
      </c>
      <c r="N21" s="118">
        <f t="shared" si="4"/>
        <v>-97123</v>
      </c>
      <c r="O21" s="52">
        <f t="shared" si="4"/>
        <v>0</v>
      </c>
      <c r="P21" s="118">
        <f t="shared" si="4"/>
        <v>-114371</v>
      </c>
      <c r="Q21" s="52">
        <f t="shared" ref="Q21:AI21" si="5">SUM(Q18:Q20)</f>
        <v>0</v>
      </c>
      <c r="R21" s="118">
        <f t="shared" si="5"/>
        <v>-158844</v>
      </c>
      <c r="S21" s="52">
        <f t="shared" si="5"/>
        <v>0</v>
      </c>
      <c r="T21" s="118">
        <f t="shared" si="5"/>
        <v>-149802</v>
      </c>
      <c r="U21" s="52">
        <f t="shared" si="5"/>
        <v>0</v>
      </c>
      <c r="V21" s="116">
        <f t="shared" si="5"/>
        <v>0</v>
      </c>
      <c r="W21" s="118">
        <f t="shared" si="5"/>
        <v>-222647</v>
      </c>
      <c r="X21" s="52">
        <f t="shared" si="5"/>
        <v>0</v>
      </c>
      <c r="Y21" s="117">
        <f t="shared" si="5"/>
        <v>0</v>
      </c>
      <c r="Z21" s="118">
        <f t="shared" si="5"/>
        <v>-300392</v>
      </c>
      <c r="AA21" s="52">
        <f t="shared" si="5"/>
        <v>0</v>
      </c>
      <c r="AB21" s="44">
        <f t="shared" si="5"/>
        <v>0</v>
      </c>
      <c r="AC21" s="118">
        <f t="shared" si="5"/>
        <v>-204988</v>
      </c>
      <c r="AD21" s="52">
        <f t="shared" si="5"/>
        <v>0</v>
      </c>
      <c r="AE21" s="44">
        <f t="shared" si="5"/>
        <v>0</v>
      </c>
      <c r="AF21" s="118">
        <f t="shared" si="5"/>
        <v>-194172</v>
      </c>
      <c r="AG21" s="52">
        <f t="shared" si="5"/>
        <v>0</v>
      </c>
      <c r="AH21" s="44">
        <f t="shared" si="5"/>
        <v>0</v>
      </c>
      <c r="AI21" s="118">
        <f t="shared" si="5"/>
        <v>-182834</v>
      </c>
      <c r="AJ21" s="52">
        <f t="shared" ref="AJ21:AO21" si="6">SUM(AJ18:AJ20)</f>
        <v>0</v>
      </c>
      <c r="AK21" s="116">
        <f t="shared" si="6"/>
        <v>0</v>
      </c>
      <c r="AL21" s="118">
        <f t="shared" si="6"/>
        <v>-142627</v>
      </c>
      <c r="AM21" s="52">
        <f t="shared" si="6"/>
        <v>0</v>
      </c>
      <c r="AN21" s="116">
        <f t="shared" si="6"/>
        <v>0</v>
      </c>
      <c r="AO21" s="118">
        <f t="shared" si="6"/>
        <v>-76801</v>
      </c>
      <c r="AP21" s="52">
        <f t="shared" ref="AP21:AR21" si="7">SUM(AP18:AP20)</f>
        <v>0</v>
      </c>
      <c r="AQ21" s="116">
        <f t="shared" si="7"/>
        <v>0</v>
      </c>
      <c r="AR21" s="325">
        <f t="shared" si="7"/>
        <v>-84187</v>
      </c>
    </row>
    <row r="22" spans="1:44">
      <c r="B22" s="24"/>
      <c r="C22" s="24"/>
      <c r="E22" s="145"/>
      <c r="F22" s="145"/>
      <c r="G22" s="52"/>
      <c r="H22" s="116"/>
      <c r="I22" s="52"/>
      <c r="J22" s="116"/>
      <c r="K22" s="52"/>
      <c r="L22" s="116"/>
      <c r="M22" s="52"/>
      <c r="N22" s="116"/>
      <c r="O22" s="52"/>
      <c r="P22" s="116"/>
      <c r="Q22" s="52"/>
      <c r="R22" s="116"/>
      <c r="S22" s="52"/>
      <c r="T22" s="116"/>
      <c r="U22" s="52"/>
      <c r="V22" s="116"/>
      <c r="W22" s="116"/>
      <c r="X22" s="52"/>
      <c r="Y22" s="116"/>
      <c r="Z22" s="116"/>
      <c r="AA22" s="52"/>
      <c r="AB22" s="44"/>
      <c r="AC22" s="116"/>
      <c r="AD22" s="52"/>
      <c r="AE22" s="44"/>
      <c r="AF22" s="116"/>
      <c r="AG22" s="52"/>
      <c r="AH22" s="44"/>
      <c r="AI22" s="116"/>
      <c r="AJ22" s="52"/>
      <c r="AK22" s="116"/>
      <c r="AL22" s="59"/>
      <c r="AM22" s="52"/>
      <c r="AN22" s="116"/>
      <c r="AO22" s="59"/>
      <c r="AP22" s="52"/>
      <c r="AQ22" s="116"/>
      <c r="AR22" s="324"/>
    </row>
    <row r="23" spans="1:44">
      <c r="B23" s="24" t="s">
        <v>16</v>
      </c>
      <c r="D23" s="24"/>
      <c r="E23" s="145"/>
      <c r="F23" s="145"/>
      <c r="G23" s="52"/>
      <c r="H23" s="116"/>
      <c r="I23" s="52"/>
      <c r="J23" s="116"/>
      <c r="K23" s="52"/>
      <c r="L23" s="116"/>
      <c r="M23" s="52"/>
      <c r="N23" s="116"/>
      <c r="O23" s="52"/>
      <c r="P23" s="116"/>
      <c r="Q23" s="52"/>
      <c r="R23" s="116"/>
      <c r="S23" s="52"/>
      <c r="T23" s="116"/>
      <c r="U23" s="52"/>
      <c r="V23" s="116"/>
      <c r="W23" s="116"/>
      <c r="X23" s="52"/>
      <c r="Y23" s="116"/>
      <c r="Z23" s="116"/>
      <c r="AA23" s="52"/>
      <c r="AB23" s="44"/>
      <c r="AC23" s="116"/>
      <c r="AD23" s="52"/>
      <c r="AE23" s="44"/>
      <c r="AF23" s="116"/>
      <c r="AG23" s="52"/>
      <c r="AH23" s="44"/>
      <c r="AI23" s="116"/>
      <c r="AJ23" s="52"/>
      <c r="AK23" s="116"/>
      <c r="AL23" s="59"/>
      <c r="AM23" s="52"/>
      <c r="AN23" s="116"/>
      <c r="AO23" s="59"/>
      <c r="AP23" s="52"/>
      <c r="AQ23" s="116"/>
      <c r="AR23" s="324"/>
    </row>
    <row r="24" spans="1:44">
      <c r="A24" s="22">
        <v>9</v>
      </c>
      <c r="C24" s="24" t="s">
        <v>17</v>
      </c>
      <c r="D24" s="24"/>
      <c r="E24" s="145"/>
      <c r="F24" s="145"/>
      <c r="G24" s="52"/>
      <c r="H24" s="116"/>
      <c r="I24" s="52"/>
      <c r="J24" s="116"/>
      <c r="K24" s="52"/>
      <c r="L24" s="116"/>
      <c r="M24" s="52"/>
      <c r="N24" s="116"/>
      <c r="O24" s="52"/>
      <c r="P24" s="116"/>
      <c r="Q24" s="52"/>
      <c r="R24" s="116"/>
      <c r="S24" s="52"/>
      <c r="T24" s="116"/>
      <c r="U24" s="52"/>
      <c r="V24" s="116"/>
      <c r="W24" s="116"/>
      <c r="X24" s="52"/>
      <c r="Y24" s="116"/>
      <c r="Z24" s="116"/>
      <c r="AA24" s="52"/>
      <c r="AB24" s="44"/>
      <c r="AC24" s="116"/>
      <c r="AD24" s="52"/>
      <c r="AE24" s="44"/>
      <c r="AF24" s="116"/>
      <c r="AG24" s="52"/>
      <c r="AH24" s="44"/>
      <c r="AI24" s="116"/>
      <c r="AJ24" s="52"/>
      <c r="AK24" s="116"/>
      <c r="AL24" s="59"/>
      <c r="AM24" s="52"/>
      <c r="AN24" s="116"/>
      <c r="AO24" s="59"/>
      <c r="AP24" s="52"/>
      <c r="AQ24" s="116"/>
      <c r="AR24" s="324"/>
    </row>
    <row r="25" spans="1:44">
      <c r="A25" s="22">
        <v>10</v>
      </c>
      <c r="C25" s="24" t="s">
        <v>47</v>
      </c>
      <c r="D25" s="24"/>
      <c r="E25" s="145"/>
      <c r="F25" s="145"/>
      <c r="G25" s="52"/>
      <c r="H25" s="116"/>
      <c r="I25" s="52"/>
      <c r="J25" s="116"/>
      <c r="K25" s="52"/>
      <c r="L25" s="116"/>
      <c r="M25" s="52"/>
      <c r="N25" s="116"/>
      <c r="O25" s="52"/>
      <c r="P25" s="116"/>
      <c r="Q25" s="52"/>
      <c r="R25" s="116"/>
      <c r="S25" s="52"/>
      <c r="T25" s="116"/>
      <c r="U25" s="52"/>
      <c r="V25" s="116"/>
      <c r="W25" s="116"/>
      <c r="X25" s="52"/>
      <c r="Y25" s="116"/>
      <c r="Z25" s="116"/>
      <c r="AA25" s="52"/>
      <c r="AB25" s="44"/>
      <c r="AC25" s="116"/>
      <c r="AD25" s="52"/>
      <c r="AE25" s="44"/>
      <c r="AF25" s="116"/>
      <c r="AG25" s="52"/>
      <c r="AH25" s="44"/>
      <c r="AI25" s="116"/>
      <c r="AJ25" s="52"/>
      <c r="AK25" s="116"/>
      <c r="AL25" s="59"/>
      <c r="AM25" s="52"/>
      <c r="AN25" s="116"/>
      <c r="AO25" s="59"/>
      <c r="AP25" s="52"/>
      <c r="AQ25" s="116"/>
      <c r="AR25" s="324"/>
    </row>
    <row r="26" spans="1:44">
      <c r="A26" s="22">
        <v>11</v>
      </c>
      <c r="C26" s="24" t="s">
        <v>4</v>
      </c>
      <c r="D26" s="24"/>
      <c r="E26" s="145"/>
      <c r="F26" s="145"/>
      <c r="G26" s="53"/>
      <c r="H26" s="45"/>
      <c r="I26" s="53"/>
      <c r="J26" s="45"/>
      <c r="K26" s="53"/>
      <c r="L26" s="45"/>
      <c r="M26" s="53"/>
      <c r="N26" s="45"/>
      <c r="O26" s="53"/>
      <c r="P26" s="45"/>
      <c r="Q26" s="53"/>
      <c r="R26" s="45"/>
      <c r="S26" s="53"/>
      <c r="T26" s="45"/>
      <c r="U26" s="53"/>
      <c r="V26" s="45"/>
      <c r="W26" s="45"/>
      <c r="X26" s="53"/>
      <c r="Y26" s="116"/>
      <c r="Z26" s="45"/>
      <c r="AA26" s="53"/>
      <c r="AB26" s="45"/>
      <c r="AC26" s="45"/>
      <c r="AD26" s="53"/>
      <c r="AE26" s="45"/>
      <c r="AF26" s="45"/>
      <c r="AG26" s="53"/>
      <c r="AH26" s="45"/>
      <c r="AI26" s="45"/>
      <c r="AJ26" s="53"/>
      <c r="AK26" s="45"/>
      <c r="AL26" s="60"/>
      <c r="AM26" s="53"/>
      <c r="AN26" s="45"/>
      <c r="AO26" s="60"/>
      <c r="AP26" s="53"/>
      <c r="AQ26" s="45"/>
      <c r="AR26" s="323"/>
    </row>
    <row r="27" spans="1:44">
      <c r="A27" s="22">
        <v>12</v>
      </c>
      <c r="B27" s="24" t="s">
        <v>18</v>
      </c>
      <c r="C27" s="24"/>
      <c r="E27" s="145"/>
      <c r="F27" s="145"/>
      <c r="G27" s="52">
        <f t="shared" ref="G27:P27" si="8">SUM(G24:G26)</f>
        <v>0</v>
      </c>
      <c r="H27" s="116">
        <f>SUM(H24:H26)</f>
        <v>0</v>
      </c>
      <c r="I27" s="52">
        <f t="shared" si="8"/>
        <v>0</v>
      </c>
      <c r="J27" s="116">
        <f>SUM(J24:J26)</f>
        <v>0</v>
      </c>
      <c r="K27" s="52">
        <f t="shared" si="8"/>
        <v>0</v>
      </c>
      <c r="L27" s="116">
        <f t="shared" si="8"/>
        <v>0</v>
      </c>
      <c r="M27" s="52">
        <f t="shared" si="8"/>
        <v>0</v>
      </c>
      <c r="N27" s="116">
        <f t="shared" si="8"/>
        <v>0</v>
      </c>
      <c r="O27" s="52">
        <f t="shared" si="8"/>
        <v>0</v>
      </c>
      <c r="P27" s="116">
        <f t="shared" si="8"/>
        <v>0</v>
      </c>
      <c r="Q27" s="52">
        <f t="shared" ref="Q27:AI27" si="9">SUM(Q24:Q26)</f>
        <v>0</v>
      </c>
      <c r="R27" s="116">
        <f t="shared" si="9"/>
        <v>0</v>
      </c>
      <c r="S27" s="52">
        <f t="shared" si="9"/>
        <v>0</v>
      </c>
      <c r="T27" s="116">
        <f t="shared" si="9"/>
        <v>0</v>
      </c>
      <c r="U27" s="52">
        <f t="shared" si="9"/>
        <v>0</v>
      </c>
      <c r="V27" s="116">
        <f t="shared" si="9"/>
        <v>0</v>
      </c>
      <c r="W27" s="116">
        <f t="shared" si="9"/>
        <v>0</v>
      </c>
      <c r="X27" s="52">
        <f t="shared" si="9"/>
        <v>0</v>
      </c>
      <c r="Y27" s="117">
        <f t="shared" si="9"/>
        <v>0</v>
      </c>
      <c r="Z27" s="116">
        <f t="shared" si="9"/>
        <v>0</v>
      </c>
      <c r="AA27" s="52">
        <f t="shared" si="9"/>
        <v>0</v>
      </c>
      <c r="AB27" s="44">
        <f t="shared" si="9"/>
        <v>0</v>
      </c>
      <c r="AC27" s="116">
        <f t="shared" si="9"/>
        <v>0</v>
      </c>
      <c r="AD27" s="52">
        <f t="shared" si="9"/>
        <v>0</v>
      </c>
      <c r="AE27" s="44">
        <f t="shared" si="9"/>
        <v>0</v>
      </c>
      <c r="AF27" s="116">
        <f t="shared" si="9"/>
        <v>0</v>
      </c>
      <c r="AG27" s="52">
        <f t="shared" si="9"/>
        <v>0</v>
      </c>
      <c r="AH27" s="44">
        <f t="shared" si="9"/>
        <v>0</v>
      </c>
      <c r="AI27" s="116">
        <f t="shared" si="9"/>
        <v>0</v>
      </c>
      <c r="AJ27" s="52">
        <f t="shared" ref="AJ27:AO27" si="10">SUM(AJ24:AJ26)</f>
        <v>0</v>
      </c>
      <c r="AK27" s="116">
        <f t="shared" si="10"/>
        <v>0</v>
      </c>
      <c r="AL27" s="59">
        <f t="shared" si="10"/>
        <v>0</v>
      </c>
      <c r="AM27" s="52">
        <f t="shared" si="10"/>
        <v>0</v>
      </c>
      <c r="AN27" s="116">
        <f t="shared" si="10"/>
        <v>0</v>
      </c>
      <c r="AO27" s="59">
        <f t="shared" si="10"/>
        <v>0</v>
      </c>
      <c r="AP27" s="52">
        <f t="shared" ref="AP27:AR27" si="11">SUM(AP24:AP26)</f>
        <v>0</v>
      </c>
      <c r="AQ27" s="116">
        <f t="shared" si="11"/>
        <v>0</v>
      </c>
      <c r="AR27" s="324">
        <f t="shared" si="11"/>
        <v>0</v>
      </c>
    </row>
    <row r="28" spans="1:44">
      <c r="B28" s="24"/>
      <c r="C28" s="24"/>
      <c r="E28" s="145"/>
      <c r="F28" s="145"/>
      <c r="G28" s="52"/>
      <c r="H28" s="116"/>
      <c r="I28" s="52"/>
      <c r="J28" s="116"/>
      <c r="K28" s="52"/>
      <c r="L28" s="116"/>
      <c r="M28" s="52"/>
      <c r="N28" s="116"/>
      <c r="O28" s="52"/>
      <c r="P28" s="116"/>
      <c r="Q28" s="52"/>
      <c r="R28" s="116"/>
      <c r="S28" s="52"/>
      <c r="T28" s="116"/>
      <c r="U28" s="52"/>
      <c r="V28" s="116"/>
      <c r="W28" s="116"/>
      <c r="X28" s="52"/>
      <c r="Y28" s="116"/>
      <c r="Z28" s="116"/>
      <c r="AA28" s="52"/>
      <c r="AB28" s="44"/>
      <c r="AC28" s="116"/>
      <c r="AD28" s="52"/>
      <c r="AE28" s="44"/>
      <c r="AF28" s="116"/>
      <c r="AG28" s="52"/>
      <c r="AH28" s="44"/>
      <c r="AI28" s="116"/>
      <c r="AJ28" s="52"/>
      <c r="AK28" s="116"/>
      <c r="AL28" s="59"/>
      <c r="AM28" s="52"/>
      <c r="AN28" s="116"/>
      <c r="AO28" s="59"/>
      <c r="AP28" s="52"/>
      <c r="AQ28" s="116"/>
      <c r="AR28" s="324"/>
    </row>
    <row r="29" spans="1:44">
      <c r="B29" s="24" t="s">
        <v>19</v>
      </c>
      <c r="D29" s="24"/>
      <c r="E29" s="145"/>
      <c r="F29" s="145"/>
      <c r="G29" s="52"/>
      <c r="H29" s="116"/>
      <c r="I29" s="52"/>
      <c r="J29" s="116"/>
      <c r="K29" s="52"/>
      <c r="L29" s="116"/>
      <c r="M29" s="52"/>
      <c r="N29" s="116"/>
      <c r="O29" s="52"/>
      <c r="P29" s="116"/>
      <c r="Q29" s="52"/>
      <c r="R29" s="116"/>
      <c r="S29" s="52"/>
      <c r="T29" s="116"/>
      <c r="U29" s="52"/>
      <c r="V29" s="116"/>
      <c r="W29" s="116"/>
      <c r="X29" s="52"/>
      <c r="Y29" s="116"/>
      <c r="Z29" s="116"/>
      <c r="AA29" s="52"/>
      <c r="AB29" s="44"/>
      <c r="AC29" s="116"/>
      <c r="AD29" s="52"/>
      <c r="AE29" s="44"/>
      <c r="AF29" s="116"/>
      <c r="AG29" s="52"/>
      <c r="AH29" s="44"/>
      <c r="AI29" s="116"/>
      <c r="AJ29" s="52"/>
      <c r="AK29" s="116"/>
      <c r="AL29" s="59"/>
      <c r="AM29" s="52"/>
      <c r="AN29" s="116"/>
      <c r="AO29" s="59"/>
      <c r="AP29" s="52"/>
      <c r="AQ29" s="116"/>
      <c r="AR29" s="324"/>
    </row>
    <row r="30" spans="1:44">
      <c r="A30" s="22">
        <v>13</v>
      </c>
      <c r="C30" s="24" t="s">
        <v>17</v>
      </c>
      <c r="D30" s="24"/>
      <c r="E30" s="145"/>
      <c r="F30" s="145"/>
      <c r="G30" s="52"/>
      <c r="H30" s="116"/>
      <c r="I30" s="52"/>
      <c r="J30" s="116"/>
      <c r="K30" s="52"/>
      <c r="L30" s="116"/>
      <c r="M30" s="52"/>
      <c r="N30" s="116"/>
      <c r="O30" s="52"/>
      <c r="P30" s="116"/>
      <c r="Q30" s="52"/>
      <c r="R30" s="116"/>
      <c r="S30" s="52"/>
      <c r="T30" s="116"/>
      <c r="U30" s="52"/>
      <c r="V30" s="116"/>
      <c r="W30" s="116"/>
      <c r="X30" s="52"/>
      <c r="Y30" s="116"/>
      <c r="Z30" s="116"/>
      <c r="AA30" s="52"/>
      <c r="AB30" s="44"/>
      <c r="AC30" s="116"/>
      <c r="AD30" s="52"/>
      <c r="AE30" s="44"/>
      <c r="AF30" s="116"/>
      <c r="AG30" s="52"/>
      <c r="AH30" s="44"/>
      <c r="AI30" s="116"/>
      <c r="AJ30" s="52"/>
      <c r="AK30" s="116"/>
      <c r="AL30" s="59"/>
      <c r="AM30" s="52"/>
      <c r="AN30" s="116"/>
      <c r="AO30" s="59"/>
      <c r="AP30" s="52"/>
      <c r="AQ30" s="116"/>
      <c r="AR30" s="324"/>
    </row>
    <row r="31" spans="1:44">
      <c r="A31" s="22">
        <v>14</v>
      </c>
      <c r="C31" s="24" t="s">
        <v>47</v>
      </c>
      <c r="D31" s="24"/>
      <c r="E31" s="145"/>
      <c r="F31" s="145"/>
      <c r="G31" s="52"/>
      <c r="H31" s="116"/>
      <c r="I31" s="52"/>
      <c r="J31" s="116"/>
      <c r="K31" s="52"/>
      <c r="L31" s="116"/>
      <c r="M31" s="52"/>
      <c r="N31" s="116"/>
      <c r="O31" s="52"/>
      <c r="P31" s="116"/>
      <c r="Q31" s="52"/>
      <c r="R31" s="116"/>
      <c r="S31" s="52"/>
      <c r="T31" s="116"/>
      <c r="U31" s="52"/>
      <c r="V31" s="116"/>
      <c r="W31" s="116"/>
      <c r="X31" s="52"/>
      <c r="Y31" s="116"/>
      <c r="Z31" s="116"/>
      <c r="AA31" s="52"/>
      <c r="AB31" s="44"/>
      <c r="AC31" s="116"/>
      <c r="AD31" s="52"/>
      <c r="AE31" s="44"/>
      <c r="AF31" s="116"/>
      <c r="AG31" s="52"/>
      <c r="AH31" s="44"/>
      <c r="AI31" s="116"/>
      <c r="AJ31" s="52"/>
      <c r="AK31" s="116"/>
      <c r="AL31" s="59"/>
      <c r="AM31" s="52"/>
      <c r="AN31" s="116"/>
      <c r="AO31" s="59"/>
      <c r="AP31" s="52"/>
      <c r="AQ31" s="116"/>
      <c r="AR31" s="324"/>
    </row>
    <row r="32" spans="1:44">
      <c r="A32" s="22">
        <v>15</v>
      </c>
      <c r="C32" s="24" t="s">
        <v>4</v>
      </c>
      <c r="D32" s="24"/>
      <c r="E32" s="145">
        <f>ROR!F31</f>
        <v>3.8314000000000001E-2</v>
      </c>
      <c r="F32" s="145"/>
      <c r="G32" s="53">
        <f>ROUND(G11*$E32,0)</f>
        <v>0</v>
      </c>
      <c r="H32" s="45">
        <f>ROUND(H11*$E32,0)</f>
        <v>-2304</v>
      </c>
      <c r="I32" s="53">
        <f t="shared" ref="I32:P32" si="12">ROUND(I11*$E32,0)</f>
        <v>-38</v>
      </c>
      <c r="J32" s="45">
        <f t="shared" si="12"/>
        <v>-4287</v>
      </c>
      <c r="K32" s="53">
        <f t="shared" si="12"/>
        <v>-68</v>
      </c>
      <c r="L32" s="45">
        <f t="shared" si="12"/>
        <v>-4425</v>
      </c>
      <c r="M32" s="53">
        <f t="shared" si="12"/>
        <v>-81</v>
      </c>
      <c r="N32" s="45">
        <f t="shared" si="12"/>
        <v>-3899</v>
      </c>
      <c r="O32" s="53">
        <f t="shared" si="12"/>
        <v>0</v>
      </c>
      <c r="P32" s="45">
        <f t="shared" si="12"/>
        <v>-4592</v>
      </c>
      <c r="Q32" s="53">
        <f t="shared" ref="Q32:AI32" si="13">ROUND(Q11*$E32,0)</f>
        <v>-114</v>
      </c>
      <c r="R32" s="45">
        <f t="shared" si="13"/>
        <v>-5240</v>
      </c>
      <c r="S32" s="53">
        <f t="shared" si="13"/>
        <v>0</v>
      </c>
      <c r="T32" s="45">
        <f t="shared" si="13"/>
        <v>-6014</v>
      </c>
      <c r="U32" s="53">
        <f t="shared" si="13"/>
        <v>-154</v>
      </c>
      <c r="V32" s="45">
        <f t="shared" si="13"/>
        <v>-3</v>
      </c>
      <c r="W32" s="45">
        <f t="shared" si="13"/>
        <v>-6261</v>
      </c>
      <c r="X32" s="53">
        <f t="shared" si="13"/>
        <v>-176</v>
      </c>
      <c r="Y32" s="116">
        <f t="shared" si="13"/>
        <v>-17</v>
      </c>
      <c r="Z32" s="45">
        <f t="shared" si="13"/>
        <v>-5917</v>
      </c>
      <c r="AA32" s="53">
        <f t="shared" si="13"/>
        <v>-272</v>
      </c>
      <c r="AB32" s="45">
        <f t="shared" si="13"/>
        <v>-28</v>
      </c>
      <c r="AC32" s="45">
        <f t="shared" si="13"/>
        <v>-4858</v>
      </c>
      <c r="AD32" s="53">
        <f t="shared" si="13"/>
        <v>-338</v>
      </c>
      <c r="AE32" s="45">
        <f t="shared" si="13"/>
        <v>-20</v>
      </c>
      <c r="AF32" s="45">
        <f t="shared" si="13"/>
        <v>-3171</v>
      </c>
      <c r="AG32" s="53">
        <f t="shared" si="13"/>
        <v>-359</v>
      </c>
      <c r="AH32" s="45">
        <f t="shared" si="13"/>
        <v>-20</v>
      </c>
      <c r="AI32" s="45">
        <f t="shared" si="13"/>
        <v>-3374</v>
      </c>
      <c r="AJ32" s="53">
        <f t="shared" ref="AJ32:AO32" si="14">ROUND(AJ11*$E32,0)</f>
        <v>-239</v>
      </c>
      <c r="AK32" s="45">
        <f t="shared" si="14"/>
        <v>-7</v>
      </c>
      <c r="AL32" s="60">
        <f t="shared" si="14"/>
        <v>-3003</v>
      </c>
      <c r="AM32" s="53">
        <f t="shared" si="14"/>
        <v>0</v>
      </c>
      <c r="AN32" s="45">
        <f t="shared" si="14"/>
        <v>0</v>
      </c>
      <c r="AO32" s="60">
        <f t="shared" si="14"/>
        <v>-3083</v>
      </c>
      <c r="AP32" s="53">
        <f t="shared" ref="AP32:AR32" si="15">ROUND(AP11*$E32,0)</f>
        <v>0</v>
      </c>
      <c r="AQ32" s="45">
        <f t="shared" si="15"/>
        <v>0</v>
      </c>
      <c r="AR32" s="323">
        <f t="shared" si="15"/>
        <v>-3380</v>
      </c>
    </row>
    <row r="33" spans="1:44">
      <c r="A33" s="22">
        <v>16</v>
      </c>
      <c r="B33" s="24" t="s">
        <v>20</v>
      </c>
      <c r="C33" s="24"/>
      <c r="E33" s="145"/>
      <c r="F33" s="145"/>
      <c r="G33" s="52">
        <f t="shared" ref="G33:P33" si="16">SUM(G30:G32)</f>
        <v>0</v>
      </c>
      <c r="H33" s="116">
        <f>SUM(H30:H32)</f>
        <v>-2304</v>
      </c>
      <c r="I33" s="52">
        <f t="shared" si="16"/>
        <v>-38</v>
      </c>
      <c r="J33" s="116">
        <f>SUM(J30:J32)</f>
        <v>-4287</v>
      </c>
      <c r="K33" s="52">
        <f t="shared" si="16"/>
        <v>-68</v>
      </c>
      <c r="L33" s="116">
        <f t="shared" si="16"/>
        <v>-4425</v>
      </c>
      <c r="M33" s="52">
        <f t="shared" si="16"/>
        <v>-81</v>
      </c>
      <c r="N33" s="116">
        <f t="shared" si="16"/>
        <v>-3899</v>
      </c>
      <c r="O33" s="52">
        <f t="shared" si="16"/>
        <v>0</v>
      </c>
      <c r="P33" s="116">
        <f t="shared" si="16"/>
        <v>-4592</v>
      </c>
      <c r="Q33" s="52">
        <f t="shared" ref="Q33:AI33" si="17">SUM(Q30:Q32)</f>
        <v>-114</v>
      </c>
      <c r="R33" s="116">
        <f t="shared" si="17"/>
        <v>-5240</v>
      </c>
      <c r="S33" s="52">
        <f t="shared" si="17"/>
        <v>0</v>
      </c>
      <c r="T33" s="116">
        <f t="shared" si="17"/>
        <v>-6014</v>
      </c>
      <c r="U33" s="52">
        <f t="shared" si="17"/>
        <v>-154</v>
      </c>
      <c r="V33" s="116">
        <f t="shared" si="17"/>
        <v>-3</v>
      </c>
      <c r="W33" s="116">
        <f t="shared" si="17"/>
        <v>-6261</v>
      </c>
      <c r="X33" s="52">
        <f t="shared" si="17"/>
        <v>-176</v>
      </c>
      <c r="Y33" s="117">
        <f t="shared" si="17"/>
        <v>-17</v>
      </c>
      <c r="Z33" s="116">
        <f t="shared" si="17"/>
        <v>-5917</v>
      </c>
      <c r="AA33" s="52">
        <f t="shared" si="17"/>
        <v>-272</v>
      </c>
      <c r="AB33" s="44">
        <f t="shared" si="17"/>
        <v>-28</v>
      </c>
      <c r="AC33" s="116">
        <f t="shared" si="17"/>
        <v>-4858</v>
      </c>
      <c r="AD33" s="52">
        <f t="shared" si="17"/>
        <v>-338</v>
      </c>
      <c r="AE33" s="44">
        <f t="shared" si="17"/>
        <v>-20</v>
      </c>
      <c r="AF33" s="116">
        <f t="shared" si="17"/>
        <v>-3171</v>
      </c>
      <c r="AG33" s="52">
        <f t="shared" si="17"/>
        <v>-359</v>
      </c>
      <c r="AH33" s="44">
        <f t="shared" si="17"/>
        <v>-20</v>
      </c>
      <c r="AI33" s="116">
        <f t="shared" si="17"/>
        <v>-3374</v>
      </c>
      <c r="AJ33" s="52">
        <f t="shared" ref="AJ33:AO33" si="18">SUM(AJ30:AJ32)</f>
        <v>-239</v>
      </c>
      <c r="AK33" s="116">
        <f t="shared" si="18"/>
        <v>-7</v>
      </c>
      <c r="AL33" s="59">
        <f t="shared" si="18"/>
        <v>-3003</v>
      </c>
      <c r="AM33" s="52">
        <f t="shared" si="18"/>
        <v>0</v>
      </c>
      <c r="AN33" s="116">
        <f t="shared" si="18"/>
        <v>0</v>
      </c>
      <c r="AO33" s="59">
        <f t="shared" si="18"/>
        <v>-3083</v>
      </c>
      <c r="AP33" s="52">
        <f t="shared" ref="AP33:AR33" si="19">SUM(AP30:AP32)</f>
        <v>0</v>
      </c>
      <c r="AQ33" s="116">
        <f t="shared" si="19"/>
        <v>0</v>
      </c>
      <c r="AR33" s="324">
        <f t="shared" si="19"/>
        <v>-3380</v>
      </c>
    </row>
    <row r="34" spans="1:44">
      <c r="C34" s="24"/>
      <c r="D34" s="24"/>
      <c r="E34" s="145"/>
      <c r="F34" s="145"/>
      <c r="G34" s="52"/>
      <c r="H34" s="116"/>
      <c r="I34" s="52"/>
      <c r="J34" s="116"/>
      <c r="K34" s="52"/>
      <c r="L34" s="116"/>
      <c r="M34" s="52"/>
      <c r="N34" s="116"/>
      <c r="O34" s="52"/>
      <c r="P34" s="116"/>
      <c r="Q34" s="52"/>
      <c r="R34" s="116"/>
      <c r="S34" s="52"/>
      <c r="T34" s="116"/>
      <c r="U34" s="52"/>
      <c r="V34" s="116"/>
      <c r="W34" s="116"/>
      <c r="X34" s="52"/>
      <c r="Y34" s="116"/>
      <c r="Z34" s="116"/>
      <c r="AA34" s="52"/>
      <c r="AB34" s="44"/>
      <c r="AC34" s="116"/>
      <c r="AD34" s="52"/>
      <c r="AE34" s="44"/>
      <c r="AF34" s="116"/>
      <c r="AG34" s="52"/>
      <c r="AH34" s="44"/>
      <c r="AI34" s="116"/>
      <c r="AJ34" s="52"/>
      <c r="AK34" s="116"/>
      <c r="AL34" s="59"/>
      <c r="AM34" s="52"/>
      <c r="AN34" s="116"/>
      <c r="AO34" s="59"/>
      <c r="AP34" s="52"/>
      <c r="AQ34" s="116"/>
      <c r="AR34" s="324"/>
    </row>
    <row r="35" spans="1:44">
      <c r="A35" s="22">
        <v>17</v>
      </c>
      <c r="B35" s="3" t="s">
        <v>21</v>
      </c>
      <c r="C35" s="24"/>
      <c r="D35" s="24"/>
      <c r="E35" s="145">
        <f>ROR!F27</f>
        <v>5.3540000000000003E-3</v>
      </c>
      <c r="F35" s="145"/>
      <c r="G35" s="52">
        <f>ROUND(G11*$E35,0)</f>
        <v>0</v>
      </c>
      <c r="H35" s="116">
        <f>ROUND(H11*$E35,0)</f>
        <v>-322</v>
      </c>
      <c r="I35" s="52">
        <f t="shared" ref="I35:P35" si="20">ROUND(I11*$E35,0)</f>
        <v>-5</v>
      </c>
      <c r="J35" s="116">
        <f t="shared" si="20"/>
        <v>-599</v>
      </c>
      <c r="K35" s="52">
        <f t="shared" si="20"/>
        <v>-10</v>
      </c>
      <c r="L35" s="116">
        <f t="shared" si="20"/>
        <v>-618</v>
      </c>
      <c r="M35" s="52">
        <f t="shared" si="20"/>
        <v>-11</v>
      </c>
      <c r="N35" s="116">
        <f t="shared" si="20"/>
        <v>-545</v>
      </c>
      <c r="O35" s="52">
        <f t="shared" si="20"/>
        <v>0</v>
      </c>
      <c r="P35" s="116">
        <f t="shared" si="20"/>
        <v>-642</v>
      </c>
      <c r="Q35" s="52">
        <f t="shared" ref="Q35:AI35" si="21">ROUND(Q11*$E35,0)</f>
        <v>-16</v>
      </c>
      <c r="R35" s="116">
        <f t="shared" si="21"/>
        <v>-732</v>
      </c>
      <c r="S35" s="52">
        <f t="shared" si="21"/>
        <v>0</v>
      </c>
      <c r="T35" s="116">
        <f t="shared" si="21"/>
        <v>-840</v>
      </c>
      <c r="U35" s="52">
        <f t="shared" si="21"/>
        <v>-22</v>
      </c>
      <c r="V35" s="116">
        <f t="shared" si="21"/>
        <v>0</v>
      </c>
      <c r="W35" s="116">
        <f t="shared" si="21"/>
        <v>-875</v>
      </c>
      <c r="X35" s="52">
        <f t="shared" si="21"/>
        <v>-25</v>
      </c>
      <c r="Y35" s="116">
        <f t="shared" si="21"/>
        <v>-2</v>
      </c>
      <c r="Z35" s="116">
        <f t="shared" si="21"/>
        <v>-827</v>
      </c>
      <c r="AA35" s="52">
        <f t="shared" si="21"/>
        <v>-38</v>
      </c>
      <c r="AB35" s="44">
        <f t="shared" si="21"/>
        <v>-4</v>
      </c>
      <c r="AC35" s="116">
        <f t="shared" si="21"/>
        <v>-679</v>
      </c>
      <c r="AD35" s="52">
        <f t="shared" si="21"/>
        <v>-47</v>
      </c>
      <c r="AE35" s="44">
        <f t="shared" si="21"/>
        <v>-3</v>
      </c>
      <c r="AF35" s="116">
        <f t="shared" si="21"/>
        <v>-443</v>
      </c>
      <c r="AG35" s="52">
        <f t="shared" si="21"/>
        <v>-50</v>
      </c>
      <c r="AH35" s="44">
        <f t="shared" si="21"/>
        <v>-3</v>
      </c>
      <c r="AI35" s="116">
        <f t="shared" si="21"/>
        <v>-471</v>
      </c>
      <c r="AJ35" s="52">
        <f t="shared" ref="AJ35:AO35" si="22">ROUND(AJ11*$E35,0)</f>
        <v>-33</v>
      </c>
      <c r="AK35" s="116">
        <f t="shared" si="22"/>
        <v>-1</v>
      </c>
      <c r="AL35" s="59">
        <f t="shared" si="22"/>
        <v>-420</v>
      </c>
      <c r="AM35" s="52">
        <f t="shared" si="22"/>
        <v>0</v>
      </c>
      <c r="AN35" s="116">
        <f t="shared" si="22"/>
        <v>0</v>
      </c>
      <c r="AO35" s="59">
        <f t="shared" si="22"/>
        <v>-431</v>
      </c>
      <c r="AP35" s="52">
        <f t="shared" ref="AP35:AR35" si="23">ROUND(AP11*$E35,0)</f>
        <v>0</v>
      </c>
      <c r="AQ35" s="116">
        <f t="shared" si="23"/>
        <v>0</v>
      </c>
      <c r="AR35" s="324">
        <f t="shared" si="23"/>
        <v>-472</v>
      </c>
    </row>
    <row r="36" spans="1:44">
      <c r="A36" s="22">
        <v>18</v>
      </c>
      <c r="B36" s="3" t="s">
        <v>22</v>
      </c>
      <c r="C36" s="24"/>
      <c r="D36" s="24"/>
      <c r="E36" s="145"/>
      <c r="F36" s="145"/>
      <c r="G36" s="52">
        <v>0</v>
      </c>
      <c r="H36" s="116"/>
      <c r="I36" s="52">
        <v>-949</v>
      </c>
      <c r="J36" s="116"/>
      <c r="K36" s="52">
        <v>-1696</v>
      </c>
      <c r="L36" s="116"/>
      <c r="M36" s="52">
        <v>-2029</v>
      </c>
      <c r="N36" s="116"/>
      <c r="O36" s="52">
        <v>0</v>
      </c>
      <c r="P36" s="116"/>
      <c r="Q36" s="52">
        <v>-2842</v>
      </c>
      <c r="R36" s="116"/>
      <c r="S36" s="52">
        <v>0</v>
      </c>
      <c r="T36" s="116"/>
      <c r="U36" s="52">
        <v>-3835</v>
      </c>
      <c r="V36" s="116"/>
      <c r="W36" s="116"/>
      <c r="X36" s="52">
        <v>-4381</v>
      </c>
      <c r="Y36" s="116"/>
      <c r="Z36" s="116"/>
      <c r="AA36" s="52">
        <v>-6777</v>
      </c>
      <c r="AB36" s="44"/>
      <c r="AC36" s="116"/>
      <c r="AD36" s="52">
        <v>-8416</v>
      </c>
      <c r="AE36" s="44"/>
      <c r="AF36" s="116"/>
      <c r="AG36" s="52">
        <v>-8953</v>
      </c>
      <c r="AH36" s="44"/>
      <c r="AI36" s="116"/>
      <c r="AJ36" s="52">
        <f>-6212+270</f>
        <v>-5942</v>
      </c>
      <c r="AK36" s="116"/>
      <c r="AL36" s="59"/>
      <c r="AM36" s="52">
        <v>0</v>
      </c>
      <c r="AN36" s="116"/>
      <c r="AO36" s="59"/>
      <c r="AP36" s="52">
        <v>0</v>
      </c>
      <c r="AQ36" s="116"/>
      <c r="AR36" s="324"/>
    </row>
    <row r="37" spans="1:44">
      <c r="A37" s="22">
        <v>19</v>
      </c>
      <c r="B37" s="3" t="s">
        <v>23</v>
      </c>
      <c r="C37" s="24"/>
      <c r="D37" s="24"/>
      <c r="E37" s="145"/>
      <c r="F37" s="145"/>
      <c r="G37" s="52"/>
      <c r="H37" s="116"/>
      <c r="I37" s="52"/>
      <c r="J37" s="116"/>
      <c r="K37" s="52"/>
      <c r="L37" s="116"/>
      <c r="M37" s="52"/>
      <c r="N37" s="116"/>
      <c r="O37" s="52"/>
      <c r="P37" s="116"/>
      <c r="Q37" s="52"/>
      <c r="R37" s="116"/>
      <c r="S37" s="52"/>
      <c r="T37" s="116"/>
      <c r="U37" s="52"/>
      <c r="V37" s="116"/>
      <c r="W37" s="116"/>
      <c r="X37" s="52"/>
      <c r="Y37" s="116"/>
      <c r="Z37" s="116"/>
      <c r="AA37" s="52"/>
      <c r="AB37" s="44"/>
      <c r="AC37" s="116"/>
      <c r="AD37" s="52"/>
      <c r="AE37" s="44"/>
      <c r="AF37" s="116"/>
      <c r="AG37" s="52"/>
      <c r="AH37" s="44"/>
      <c r="AI37" s="116"/>
      <c r="AJ37" s="52"/>
      <c r="AK37" s="116"/>
      <c r="AL37" s="59"/>
      <c r="AM37" s="52"/>
      <c r="AN37" s="116"/>
      <c r="AO37" s="59"/>
      <c r="AP37" s="52"/>
      <c r="AQ37" s="116"/>
      <c r="AR37" s="324"/>
    </row>
    <row r="38" spans="1:44">
      <c r="C38" s="24"/>
      <c r="D38" s="24"/>
      <c r="E38" s="145"/>
      <c r="F38" s="145"/>
      <c r="G38" s="52"/>
      <c r="H38" s="116"/>
      <c r="I38" s="52"/>
      <c r="J38" s="116"/>
      <c r="K38" s="52"/>
      <c r="L38" s="116"/>
      <c r="M38" s="52"/>
      <c r="N38" s="116"/>
      <c r="O38" s="52"/>
      <c r="P38" s="116"/>
      <c r="Q38" s="52"/>
      <c r="R38" s="116"/>
      <c r="S38" s="52"/>
      <c r="T38" s="116"/>
      <c r="U38" s="52"/>
      <c r="V38" s="116"/>
      <c r="W38" s="116"/>
      <c r="X38" s="52"/>
      <c r="Y38" s="116"/>
      <c r="Z38" s="116"/>
      <c r="AA38" s="52"/>
      <c r="AB38" s="44"/>
      <c r="AC38" s="116"/>
      <c r="AD38" s="52"/>
      <c r="AE38" s="44"/>
      <c r="AF38" s="116"/>
      <c r="AG38" s="52"/>
      <c r="AH38" s="44"/>
      <c r="AI38" s="116"/>
      <c r="AJ38" s="52"/>
      <c r="AK38" s="116"/>
      <c r="AL38" s="59"/>
      <c r="AM38" s="52"/>
      <c r="AN38" s="116"/>
      <c r="AO38" s="59"/>
      <c r="AP38" s="52"/>
      <c r="AQ38" s="116"/>
      <c r="AR38" s="324"/>
    </row>
    <row r="39" spans="1:44">
      <c r="B39" s="3" t="s">
        <v>24</v>
      </c>
      <c r="C39" s="24"/>
      <c r="D39" s="24"/>
      <c r="E39" s="145"/>
      <c r="F39" s="145"/>
      <c r="G39" s="52"/>
      <c r="H39" s="116"/>
      <c r="I39" s="52"/>
      <c r="J39" s="116"/>
      <c r="K39" s="52"/>
      <c r="L39" s="116"/>
      <c r="M39" s="52"/>
      <c r="N39" s="116"/>
      <c r="O39" s="52"/>
      <c r="P39" s="116"/>
      <c r="Q39" s="52"/>
      <c r="R39" s="116"/>
      <c r="S39" s="52"/>
      <c r="T39" s="116"/>
      <c r="U39" s="52"/>
      <c r="V39" s="116"/>
      <c r="W39" s="116"/>
      <c r="X39" s="52"/>
      <c r="Y39" s="116"/>
      <c r="Z39" s="116"/>
      <c r="AA39" s="52"/>
      <c r="AB39" s="44"/>
      <c r="AC39" s="116"/>
      <c r="AD39" s="52"/>
      <c r="AE39" s="44"/>
      <c r="AF39" s="116"/>
      <c r="AG39" s="52"/>
      <c r="AH39" s="44"/>
      <c r="AI39" s="116"/>
      <c r="AJ39" s="52"/>
      <c r="AK39" s="116"/>
      <c r="AL39" s="59"/>
      <c r="AM39" s="52"/>
      <c r="AN39" s="116"/>
      <c r="AO39" s="59"/>
      <c r="AP39" s="52"/>
      <c r="AQ39" s="116"/>
      <c r="AR39" s="324"/>
    </row>
    <row r="40" spans="1:44">
      <c r="A40" s="22">
        <v>20</v>
      </c>
      <c r="C40" s="24" t="s">
        <v>17</v>
      </c>
      <c r="D40" s="24"/>
      <c r="E40" s="145">
        <f>ROR!F29</f>
        <v>2E-3</v>
      </c>
      <c r="F40" s="145"/>
      <c r="G40" s="52">
        <f>ROUND(G11*$E40,0)</f>
        <v>0</v>
      </c>
      <c r="H40" s="116">
        <f>ROUND(H11*$E40,0)</f>
        <v>-120</v>
      </c>
      <c r="I40" s="52">
        <f t="shared" ref="I40:P40" si="24">ROUND(I11*$E40,0)</f>
        <v>-2</v>
      </c>
      <c r="J40" s="116">
        <f t="shared" si="24"/>
        <v>-224</v>
      </c>
      <c r="K40" s="52">
        <f t="shared" si="24"/>
        <v>-4</v>
      </c>
      <c r="L40" s="116">
        <f t="shared" si="24"/>
        <v>-231</v>
      </c>
      <c r="M40" s="52">
        <f t="shared" si="24"/>
        <v>-4</v>
      </c>
      <c r="N40" s="116">
        <f t="shared" si="24"/>
        <v>-204</v>
      </c>
      <c r="O40" s="52">
        <f t="shared" si="24"/>
        <v>0</v>
      </c>
      <c r="P40" s="116">
        <f t="shared" si="24"/>
        <v>-240</v>
      </c>
      <c r="Q40" s="52">
        <f t="shared" ref="Q40:AI40" si="25">ROUND(Q11*$E40,0)</f>
        <v>-6</v>
      </c>
      <c r="R40" s="116">
        <f t="shared" si="25"/>
        <v>-274</v>
      </c>
      <c r="S40" s="52">
        <f t="shared" si="25"/>
        <v>0</v>
      </c>
      <c r="T40" s="116">
        <f t="shared" si="25"/>
        <v>-314</v>
      </c>
      <c r="U40" s="52">
        <f t="shared" si="25"/>
        <v>-8</v>
      </c>
      <c r="V40" s="116">
        <f t="shared" si="25"/>
        <v>0</v>
      </c>
      <c r="W40" s="116">
        <f t="shared" si="25"/>
        <v>-327</v>
      </c>
      <c r="X40" s="52">
        <f t="shared" si="25"/>
        <v>-9</v>
      </c>
      <c r="Y40" s="116">
        <f t="shared" si="25"/>
        <v>-1</v>
      </c>
      <c r="Z40" s="116">
        <f t="shared" si="25"/>
        <v>-309</v>
      </c>
      <c r="AA40" s="52">
        <f t="shared" si="25"/>
        <v>-14</v>
      </c>
      <c r="AB40" s="44">
        <f t="shared" si="25"/>
        <v>-1</v>
      </c>
      <c r="AC40" s="116">
        <f t="shared" si="25"/>
        <v>-254</v>
      </c>
      <c r="AD40" s="52">
        <f t="shared" si="25"/>
        <v>-18</v>
      </c>
      <c r="AE40" s="44">
        <f t="shared" si="25"/>
        <v>-1</v>
      </c>
      <c r="AF40" s="116">
        <f t="shared" si="25"/>
        <v>-166</v>
      </c>
      <c r="AG40" s="52">
        <f t="shared" si="25"/>
        <v>-19</v>
      </c>
      <c r="AH40" s="44">
        <f t="shared" si="25"/>
        <v>-1</v>
      </c>
      <c r="AI40" s="116">
        <f t="shared" si="25"/>
        <v>-176</v>
      </c>
      <c r="AJ40" s="52">
        <f t="shared" ref="AJ40:AO40" si="26">ROUND(AJ11*$E40,0)</f>
        <v>-12</v>
      </c>
      <c r="AK40" s="116">
        <f t="shared" si="26"/>
        <v>0</v>
      </c>
      <c r="AL40" s="59">
        <f t="shared" si="26"/>
        <v>-157</v>
      </c>
      <c r="AM40" s="52">
        <f t="shared" si="26"/>
        <v>0</v>
      </c>
      <c r="AN40" s="116">
        <f t="shared" si="26"/>
        <v>0</v>
      </c>
      <c r="AO40" s="59">
        <f t="shared" si="26"/>
        <v>-161</v>
      </c>
      <c r="AP40" s="52">
        <f t="shared" ref="AP40:AR40" si="27">ROUND(AP11*$E40,0)</f>
        <v>0</v>
      </c>
      <c r="AQ40" s="116">
        <f t="shared" si="27"/>
        <v>0</v>
      </c>
      <c r="AR40" s="324">
        <f t="shared" si="27"/>
        <v>-176</v>
      </c>
    </row>
    <row r="41" spans="1:44">
      <c r="A41" s="22">
        <v>21</v>
      </c>
      <c r="C41" s="24" t="s">
        <v>47</v>
      </c>
      <c r="D41" s="24"/>
      <c r="G41" s="52"/>
      <c r="H41" s="116"/>
      <c r="I41" s="52"/>
      <c r="J41" s="116"/>
      <c r="K41" s="52"/>
      <c r="L41" s="116"/>
      <c r="M41" s="52"/>
      <c r="N41" s="116"/>
      <c r="O41" s="52"/>
      <c r="P41" s="116"/>
      <c r="Q41" s="52"/>
      <c r="R41" s="116"/>
      <c r="S41" s="52"/>
      <c r="T41" s="116"/>
      <c r="U41" s="52"/>
      <c r="V41" s="116">
        <v>-85</v>
      </c>
      <c r="W41" s="116"/>
      <c r="X41" s="52"/>
      <c r="Y41" s="116">
        <v>-432</v>
      </c>
      <c r="Z41" s="116"/>
      <c r="AA41" s="52"/>
      <c r="AB41" s="44">
        <v>-710</v>
      </c>
      <c r="AC41" s="116"/>
      <c r="AD41" s="52"/>
      <c r="AE41" s="44">
        <v>-494</v>
      </c>
      <c r="AF41" s="116"/>
      <c r="AG41" s="52"/>
      <c r="AH41" s="44">
        <v>-494</v>
      </c>
      <c r="AI41" s="116"/>
      <c r="AJ41" s="52"/>
      <c r="AK41" s="116">
        <f>-184+1</f>
        <v>-183</v>
      </c>
      <c r="AL41" s="59"/>
      <c r="AM41" s="52"/>
      <c r="AN41" s="116">
        <v>0</v>
      </c>
      <c r="AO41" s="59"/>
      <c r="AP41" s="52"/>
      <c r="AQ41" s="116">
        <v>0</v>
      </c>
      <c r="AR41" s="324"/>
    </row>
    <row r="42" spans="1:44">
      <c r="A42" s="22">
        <v>22</v>
      </c>
      <c r="C42" s="1" t="s">
        <v>52</v>
      </c>
      <c r="D42" s="24"/>
      <c r="G42" s="52"/>
      <c r="H42" s="116"/>
      <c r="I42" s="52"/>
      <c r="J42" s="116"/>
      <c r="K42" s="52"/>
      <c r="L42" s="116"/>
      <c r="M42" s="52"/>
      <c r="N42" s="116"/>
      <c r="O42" s="52"/>
      <c r="P42" s="116"/>
      <c r="Q42" s="52"/>
      <c r="R42" s="116"/>
      <c r="S42" s="52"/>
      <c r="T42" s="116"/>
      <c r="U42" s="52"/>
      <c r="V42" s="116"/>
      <c r="W42" s="116"/>
      <c r="X42" s="52"/>
      <c r="Y42" s="116"/>
      <c r="Z42" s="116"/>
      <c r="AA42" s="52"/>
      <c r="AB42" s="44"/>
      <c r="AC42" s="116"/>
      <c r="AD42" s="52"/>
      <c r="AE42" s="44"/>
      <c r="AF42" s="116"/>
      <c r="AG42" s="52"/>
      <c r="AH42" s="44"/>
      <c r="AI42" s="116"/>
      <c r="AJ42" s="52"/>
      <c r="AK42" s="116"/>
      <c r="AL42" s="59"/>
      <c r="AM42" s="52"/>
      <c r="AN42" s="116"/>
      <c r="AO42" s="59"/>
      <c r="AP42" s="52"/>
      <c r="AQ42" s="116"/>
      <c r="AR42" s="324"/>
    </row>
    <row r="43" spans="1:44">
      <c r="A43" s="22">
        <v>23</v>
      </c>
      <c r="C43" s="24" t="s">
        <v>4</v>
      </c>
      <c r="D43" s="24"/>
      <c r="G43" s="53"/>
      <c r="H43" s="45"/>
      <c r="I43" s="53"/>
      <c r="J43" s="45"/>
      <c r="K43" s="53"/>
      <c r="L43" s="45"/>
      <c r="M43" s="53"/>
      <c r="N43" s="45"/>
      <c r="O43" s="53"/>
      <c r="P43" s="45"/>
      <c r="Q43" s="53"/>
      <c r="R43" s="45"/>
      <c r="S43" s="53"/>
      <c r="T43" s="45"/>
      <c r="U43" s="53"/>
      <c r="V43" s="45"/>
      <c r="W43" s="45"/>
      <c r="X43" s="53"/>
      <c r="Y43" s="116"/>
      <c r="Z43" s="45"/>
      <c r="AA43" s="53"/>
      <c r="AB43" s="45"/>
      <c r="AC43" s="45"/>
      <c r="AD43" s="53"/>
      <c r="AE43" s="45"/>
      <c r="AF43" s="45"/>
      <c r="AG43" s="53"/>
      <c r="AH43" s="45"/>
      <c r="AI43" s="45"/>
      <c r="AJ43" s="53"/>
      <c r="AK43" s="45"/>
      <c r="AL43" s="60"/>
      <c r="AM43" s="53"/>
      <c r="AN43" s="45"/>
      <c r="AO43" s="60"/>
      <c r="AP43" s="53"/>
      <c r="AQ43" s="45"/>
      <c r="AR43" s="323"/>
    </row>
    <row r="44" spans="1:44">
      <c r="A44" s="22">
        <v>24</v>
      </c>
      <c r="B44" s="24" t="s">
        <v>25</v>
      </c>
      <c r="C44" s="24"/>
      <c r="G44" s="54">
        <f t="shared" ref="G44:P44" si="28">SUM(G40:G43)</f>
        <v>0</v>
      </c>
      <c r="H44" s="46">
        <f>SUM(H40:H43)</f>
        <v>-120</v>
      </c>
      <c r="I44" s="54">
        <f t="shared" si="28"/>
        <v>-2</v>
      </c>
      <c r="J44" s="46">
        <f>SUM(J40:J43)</f>
        <v>-224</v>
      </c>
      <c r="K44" s="54">
        <f t="shared" si="28"/>
        <v>-4</v>
      </c>
      <c r="L44" s="46">
        <f t="shared" si="28"/>
        <v>-231</v>
      </c>
      <c r="M44" s="54">
        <f t="shared" si="28"/>
        <v>-4</v>
      </c>
      <c r="N44" s="46">
        <f t="shared" si="28"/>
        <v>-204</v>
      </c>
      <c r="O44" s="54">
        <f t="shared" si="28"/>
        <v>0</v>
      </c>
      <c r="P44" s="46">
        <f t="shared" si="28"/>
        <v>-240</v>
      </c>
      <c r="Q44" s="54">
        <f t="shared" ref="Q44:AI44" si="29">SUM(Q40:Q43)</f>
        <v>-6</v>
      </c>
      <c r="R44" s="46">
        <f t="shared" si="29"/>
        <v>-274</v>
      </c>
      <c r="S44" s="54">
        <f t="shared" si="29"/>
        <v>0</v>
      </c>
      <c r="T44" s="46">
        <f t="shared" si="29"/>
        <v>-314</v>
      </c>
      <c r="U44" s="54">
        <f t="shared" si="29"/>
        <v>-8</v>
      </c>
      <c r="V44" s="46">
        <f t="shared" si="29"/>
        <v>-85</v>
      </c>
      <c r="W44" s="46">
        <f t="shared" si="29"/>
        <v>-327</v>
      </c>
      <c r="X44" s="54">
        <f t="shared" si="29"/>
        <v>-9</v>
      </c>
      <c r="Y44" s="117">
        <f t="shared" si="29"/>
        <v>-433</v>
      </c>
      <c r="Z44" s="46">
        <f t="shared" si="29"/>
        <v>-309</v>
      </c>
      <c r="AA44" s="54">
        <f t="shared" si="29"/>
        <v>-14</v>
      </c>
      <c r="AB44" s="46">
        <f t="shared" si="29"/>
        <v>-711</v>
      </c>
      <c r="AC44" s="46">
        <f t="shared" si="29"/>
        <v>-254</v>
      </c>
      <c r="AD44" s="54">
        <f t="shared" si="29"/>
        <v>-18</v>
      </c>
      <c r="AE44" s="46">
        <f t="shared" si="29"/>
        <v>-495</v>
      </c>
      <c r="AF44" s="46">
        <f t="shared" si="29"/>
        <v>-166</v>
      </c>
      <c r="AG44" s="54">
        <f t="shared" si="29"/>
        <v>-19</v>
      </c>
      <c r="AH44" s="46">
        <f t="shared" si="29"/>
        <v>-495</v>
      </c>
      <c r="AI44" s="46">
        <f t="shared" si="29"/>
        <v>-176</v>
      </c>
      <c r="AJ44" s="54">
        <f t="shared" ref="AJ44:AO44" si="30">SUM(AJ40:AJ43)</f>
        <v>-12</v>
      </c>
      <c r="AK44" s="46">
        <f t="shared" si="30"/>
        <v>-183</v>
      </c>
      <c r="AL44" s="61">
        <f t="shared" si="30"/>
        <v>-157</v>
      </c>
      <c r="AM44" s="54">
        <f t="shared" si="30"/>
        <v>0</v>
      </c>
      <c r="AN44" s="46">
        <f t="shared" si="30"/>
        <v>0</v>
      </c>
      <c r="AO44" s="61">
        <f t="shared" si="30"/>
        <v>-161</v>
      </c>
      <c r="AP44" s="54">
        <f t="shared" ref="AP44:AR44" si="31">SUM(AP40:AP43)</f>
        <v>0</v>
      </c>
      <c r="AQ44" s="46">
        <f t="shared" si="31"/>
        <v>0</v>
      </c>
      <c r="AR44" s="368">
        <f t="shared" si="31"/>
        <v>-176</v>
      </c>
    </row>
    <row r="45" spans="1:44">
      <c r="A45" s="22">
        <v>25</v>
      </c>
      <c r="B45" s="3" t="s">
        <v>26</v>
      </c>
      <c r="C45" s="24"/>
      <c r="D45" s="24"/>
      <c r="G45" s="54">
        <f t="shared" ref="G45:P45" si="32">G21+G27+G33+G35+G36+G37+G44</f>
        <v>0</v>
      </c>
      <c r="H45" s="46">
        <f>H21+H27+H33+H35+H36+H37+H44</f>
        <v>-60365</v>
      </c>
      <c r="I45" s="54">
        <f t="shared" si="32"/>
        <v>-994</v>
      </c>
      <c r="J45" s="46">
        <f>J21+J27+J33+J35+J36+J37+J44</f>
        <v>-112139</v>
      </c>
      <c r="K45" s="54">
        <f t="shared" si="32"/>
        <v>-1778</v>
      </c>
      <c r="L45" s="46">
        <f t="shared" si="32"/>
        <v>-115643</v>
      </c>
      <c r="M45" s="54">
        <f t="shared" si="32"/>
        <v>-2125</v>
      </c>
      <c r="N45" s="46">
        <f t="shared" si="32"/>
        <v>-101771</v>
      </c>
      <c r="O45" s="54">
        <f t="shared" si="32"/>
        <v>0</v>
      </c>
      <c r="P45" s="46">
        <f t="shared" si="32"/>
        <v>-119845</v>
      </c>
      <c r="Q45" s="54">
        <f t="shared" ref="Q45:AI45" si="33">Q21+Q27+Q33+Q35+Q36+Q37+Q44</f>
        <v>-2978</v>
      </c>
      <c r="R45" s="46">
        <f t="shared" si="33"/>
        <v>-165090</v>
      </c>
      <c r="S45" s="54">
        <f t="shared" si="33"/>
        <v>0</v>
      </c>
      <c r="T45" s="46">
        <f t="shared" si="33"/>
        <v>-156970</v>
      </c>
      <c r="U45" s="54">
        <f t="shared" si="33"/>
        <v>-4019</v>
      </c>
      <c r="V45" s="46">
        <f t="shared" si="33"/>
        <v>-88</v>
      </c>
      <c r="W45" s="46">
        <f t="shared" si="33"/>
        <v>-230110</v>
      </c>
      <c r="X45" s="54">
        <f t="shared" si="33"/>
        <v>-4591</v>
      </c>
      <c r="Y45" s="117">
        <f t="shared" si="33"/>
        <v>-452</v>
      </c>
      <c r="Z45" s="46">
        <f t="shared" si="33"/>
        <v>-307445</v>
      </c>
      <c r="AA45" s="54">
        <f t="shared" si="33"/>
        <v>-7101</v>
      </c>
      <c r="AB45" s="46">
        <f t="shared" si="33"/>
        <v>-743</v>
      </c>
      <c r="AC45" s="46">
        <f t="shared" si="33"/>
        <v>-210779</v>
      </c>
      <c r="AD45" s="54">
        <f t="shared" si="33"/>
        <v>-8819</v>
      </c>
      <c r="AE45" s="46">
        <f t="shared" si="33"/>
        <v>-518</v>
      </c>
      <c r="AF45" s="46">
        <f t="shared" si="33"/>
        <v>-197952</v>
      </c>
      <c r="AG45" s="54">
        <f t="shared" si="33"/>
        <v>-9381</v>
      </c>
      <c r="AH45" s="46">
        <f t="shared" si="33"/>
        <v>-518</v>
      </c>
      <c r="AI45" s="46">
        <f t="shared" si="33"/>
        <v>-186855</v>
      </c>
      <c r="AJ45" s="54">
        <f t="shared" ref="AJ45:AO45" si="34">AJ21+AJ27+AJ33+AJ35+AJ36+AJ37+AJ44</f>
        <v>-6226</v>
      </c>
      <c r="AK45" s="46">
        <f t="shared" si="34"/>
        <v>-191</v>
      </c>
      <c r="AL45" s="61">
        <f t="shared" si="34"/>
        <v>-146207</v>
      </c>
      <c r="AM45" s="54">
        <f t="shared" si="34"/>
        <v>0</v>
      </c>
      <c r="AN45" s="46">
        <f t="shared" si="34"/>
        <v>0</v>
      </c>
      <c r="AO45" s="61">
        <f t="shared" si="34"/>
        <v>-80476</v>
      </c>
      <c r="AP45" s="54">
        <f t="shared" ref="AP45:AR45" si="35">AP21+AP27+AP33+AP35+AP36+AP37+AP44</f>
        <v>0</v>
      </c>
      <c r="AQ45" s="46">
        <f t="shared" si="35"/>
        <v>0</v>
      </c>
      <c r="AR45" s="368">
        <f t="shared" si="35"/>
        <v>-88215</v>
      </c>
    </row>
    <row r="46" spans="1:44">
      <c r="C46" s="24"/>
      <c r="D46" s="24"/>
      <c r="G46" s="52"/>
      <c r="H46" s="116"/>
      <c r="I46" s="52"/>
      <c r="J46" s="116"/>
      <c r="K46" s="52"/>
      <c r="L46" s="116"/>
      <c r="M46" s="52"/>
      <c r="N46" s="116"/>
      <c r="O46" s="52"/>
      <c r="P46" s="116"/>
      <c r="Q46" s="52"/>
      <c r="R46" s="116"/>
      <c r="S46" s="52"/>
      <c r="T46" s="116"/>
      <c r="U46" s="52"/>
      <c r="V46" s="116"/>
      <c r="W46" s="116"/>
      <c r="X46" s="52"/>
      <c r="Y46" s="117"/>
      <c r="Z46" s="116"/>
      <c r="AA46" s="52"/>
      <c r="AB46" s="44"/>
      <c r="AC46" s="116"/>
      <c r="AD46" s="52"/>
      <c r="AE46" s="44"/>
      <c r="AF46" s="116"/>
      <c r="AG46" s="52"/>
      <c r="AH46" s="44"/>
      <c r="AI46" s="116"/>
      <c r="AJ46" s="52"/>
      <c r="AK46" s="116"/>
      <c r="AL46" s="59"/>
      <c r="AM46" s="52"/>
      <c r="AN46" s="116"/>
      <c r="AO46" s="59"/>
      <c r="AP46" s="52"/>
      <c r="AQ46" s="116"/>
      <c r="AR46" s="324"/>
    </row>
    <row r="47" spans="1:44">
      <c r="A47" s="22">
        <v>26</v>
      </c>
      <c r="B47" s="3" t="s">
        <v>27</v>
      </c>
      <c r="C47" s="24"/>
      <c r="D47" s="24"/>
      <c r="G47" s="52">
        <f>G14-G45</f>
        <v>0</v>
      </c>
      <c r="H47" s="116">
        <f>H14-H45</f>
        <v>0</v>
      </c>
      <c r="I47" s="52">
        <f t="shared" ref="I47:P47" si="36">I14-I45</f>
        <v>0</v>
      </c>
      <c r="J47" s="116">
        <f t="shared" si="36"/>
        <v>0</v>
      </c>
      <c r="K47" s="52">
        <f t="shared" si="36"/>
        <v>0</v>
      </c>
      <c r="L47" s="116">
        <f t="shared" si="36"/>
        <v>0</v>
      </c>
      <c r="M47" s="52">
        <f t="shared" si="36"/>
        <v>0</v>
      </c>
      <c r="N47" s="116">
        <f t="shared" si="36"/>
        <v>0</v>
      </c>
      <c r="O47" s="52">
        <f t="shared" si="36"/>
        <v>0</v>
      </c>
      <c r="P47" s="116">
        <f t="shared" si="36"/>
        <v>0</v>
      </c>
      <c r="Q47" s="52">
        <f t="shared" ref="Q47:AI47" si="37">Q14-Q45</f>
        <v>0</v>
      </c>
      <c r="R47" s="116">
        <f t="shared" si="37"/>
        <v>0</v>
      </c>
      <c r="S47" s="52">
        <f t="shared" si="37"/>
        <v>0</v>
      </c>
      <c r="T47" s="116">
        <f t="shared" si="37"/>
        <v>0</v>
      </c>
      <c r="U47" s="52">
        <f t="shared" si="37"/>
        <v>0</v>
      </c>
      <c r="V47" s="116">
        <f t="shared" si="37"/>
        <v>0</v>
      </c>
      <c r="W47" s="116">
        <f t="shared" si="37"/>
        <v>0</v>
      </c>
      <c r="X47" s="52">
        <f t="shared" si="37"/>
        <v>0</v>
      </c>
      <c r="Y47" s="116">
        <f t="shared" si="37"/>
        <v>0</v>
      </c>
      <c r="Z47" s="116">
        <f t="shared" si="37"/>
        <v>0</v>
      </c>
      <c r="AA47" s="52">
        <f t="shared" si="37"/>
        <v>0</v>
      </c>
      <c r="AB47" s="44">
        <f t="shared" si="37"/>
        <v>0</v>
      </c>
      <c r="AC47" s="116">
        <f t="shared" si="37"/>
        <v>0</v>
      </c>
      <c r="AD47" s="52">
        <f t="shared" si="37"/>
        <v>0</v>
      </c>
      <c r="AE47" s="44">
        <f t="shared" si="37"/>
        <v>0</v>
      </c>
      <c r="AF47" s="116">
        <f t="shared" si="37"/>
        <v>0</v>
      </c>
      <c r="AG47" s="52">
        <f t="shared" si="37"/>
        <v>0</v>
      </c>
      <c r="AH47" s="44">
        <f t="shared" si="37"/>
        <v>0</v>
      </c>
      <c r="AI47" s="116">
        <f t="shared" si="37"/>
        <v>0</v>
      </c>
      <c r="AJ47" s="52">
        <f t="shared" ref="AJ47:AO47" si="38">AJ14-AJ45</f>
        <v>0</v>
      </c>
      <c r="AK47" s="116">
        <f t="shared" si="38"/>
        <v>0</v>
      </c>
      <c r="AL47" s="59">
        <f t="shared" si="38"/>
        <v>0</v>
      </c>
      <c r="AM47" s="52">
        <f t="shared" si="38"/>
        <v>0</v>
      </c>
      <c r="AN47" s="116">
        <f t="shared" si="38"/>
        <v>0</v>
      </c>
      <c r="AO47" s="59">
        <f t="shared" si="38"/>
        <v>0</v>
      </c>
      <c r="AP47" s="52">
        <f t="shared" ref="AP47:AR47" si="39">AP14-AP45</f>
        <v>0</v>
      </c>
      <c r="AQ47" s="116">
        <f t="shared" si="39"/>
        <v>0</v>
      </c>
      <c r="AR47" s="324">
        <f t="shared" si="39"/>
        <v>0</v>
      </c>
    </row>
    <row r="48" spans="1:44">
      <c r="C48" s="24"/>
      <c r="D48" s="24"/>
      <c r="G48" s="52"/>
      <c r="H48" s="116"/>
      <c r="I48" s="52"/>
      <c r="J48" s="116"/>
      <c r="K48" s="52"/>
      <c r="L48" s="116"/>
      <c r="M48" s="52"/>
      <c r="N48" s="116"/>
      <c r="O48" s="52"/>
      <c r="P48" s="116"/>
      <c r="Q48" s="52"/>
      <c r="R48" s="116"/>
      <c r="S48" s="52"/>
      <c r="T48" s="116"/>
      <c r="U48" s="52"/>
      <c r="V48" s="116"/>
      <c r="W48" s="116"/>
      <c r="X48" s="52"/>
      <c r="Y48" s="116"/>
      <c r="Z48" s="116"/>
      <c r="AA48" s="52"/>
      <c r="AB48" s="44"/>
      <c r="AC48" s="116"/>
      <c r="AD48" s="52"/>
      <c r="AE48" s="44"/>
      <c r="AF48" s="116"/>
      <c r="AG48" s="52"/>
      <c r="AH48" s="44"/>
      <c r="AI48" s="116"/>
      <c r="AJ48" s="52"/>
      <c r="AK48" s="116"/>
      <c r="AL48" s="59"/>
      <c r="AM48" s="52"/>
      <c r="AN48" s="116"/>
      <c r="AO48" s="59"/>
      <c r="AP48" s="52"/>
      <c r="AQ48" s="116"/>
      <c r="AR48" s="324"/>
    </row>
    <row r="49" spans="1:44">
      <c r="B49" s="3" t="s">
        <v>28</v>
      </c>
      <c r="C49" s="24"/>
      <c r="D49" s="24"/>
      <c r="G49" s="52"/>
      <c r="H49" s="116"/>
      <c r="I49" s="52"/>
      <c r="J49" s="116"/>
      <c r="K49" s="52"/>
      <c r="L49" s="116"/>
      <c r="M49" s="52"/>
      <c r="N49" s="116"/>
      <c r="O49" s="52"/>
      <c r="P49" s="116"/>
      <c r="Q49" s="52"/>
      <c r="R49" s="116"/>
      <c r="S49" s="52"/>
      <c r="T49" s="116"/>
      <c r="U49" s="52"/>
      <c r="V49" s="116"/>
      <c r="W49" s="116"/>
      <c r="X49" s="52"/>
      <c r="Y49" s="116"/>
      <c r="Z49" s="116"/>
      <c r="AA49" s="52"/>
      <c r="AB49" s="44"/>
      <c r="AC49" s="116"/>
      <c r="AD49" s="52"/>
      <c r="AE49" s="44"/>
      <c r="AF49" s="116"/>
      <c r="AG49" s="52"/>
      <c r="AH49" s="44"/>
      <c r="AI49" s="116"/>
      <c r="AJ49" s="52"/>
      <c r="AK49" s="116"/>
      <c r="AL49" s="59"/>
      <c r="AM49" s="52"/>
      <c r="AN49" s="116"/>
      <c r="AO49" s="59"/>
      <c r="AP49" s="52"/>
      <c r="AQ49" s="116"/>
      <c r="AR49" s="324"/>
    </row>
    <row r="50" spans="1:44">
      <c r="A50" s="22">
        <v>27</v>
      </c>
      <c r="B50" s="24" t="s">
        <v>29</v>
      </c>
      <c r="D50" s="24"/>
      <c r="G50" s="52"/>
      <c r="H50" s="116"/>
      <c r="I50" s="52"/>
      <c r="J50" s="116"/>
      <c r="K50" s="52"/>
      <c r="L50" s="116"/>
      <c r="M50" s="52"/>
      <c r="N50" s="116"/>
      <c r="O50" s="52"/>
      <c r="P50" s="116"/>
      <c r="Q50" s="52"/>
      <c r="R50" s="116"/>
      <c r="S50" s="52"/>
      <c r="T50" s="116"/>
      <c r="U50" s="52"/>
      <c r="V50" s="116"/>
      <c r="W50" s="116"/>
      <c r="X50" s="52"/>
      <c r="Y50" s="116"/>
      <c r="Z50" s="116"/>
      <c r="AA50" s="52"/>
      <c r="AB50" s="44"/>
      <c r="AC50" s="116"/>
      <c r="AD50" s="52"/>
      <c r="AE50" s="44"/>
      <c r="AF50" s="116"/>
      <c r="AG50" s="52"/>
      <c r="AH50" s="44"/>
      <c r="AI50" s="116"/>
      <c r="AJ50" s="52"/>
      <c r="AK50" s="116"/>
      <c r="AL50" s="59"/>
      <c r="AM50" s="52"/>
      <c r="AN50" s="116"/>
      <c r="AO50" s="59"/>
      <c r="AP50" s="52"/>
      <c r="AQ50" s="116"/>
      <c r="AR50" s="324"/>
    </row>
    <row r="51" spans="1:44">
      <c r="A51" s="22">
        <v>28</v>
      </c>
      <c r="B51" s="24" t="s">
        <v>46</v>
      </c>
      <c r="D51" s="24"/>
      <c r="G51" s="52"/>
      <c r="H51" s="116"/>
      <c r="I51" s="52"/>
      <c r="J51" s="116"/>
      <c r="K51" s="52"/>
      <c r="L51" s="116"/>
      <c r="M51" s="52"/>
      <c r="N51" s="116"/>
      <c r="O51" s="52"/>
      <c r="P51" s="116"/>
      <c r="Q51" s="52"/>
      <c r="R51" s="116"/>
      <c r="S51" s="52"/>
      <c r="T51" s="116"/>
      <c r="U51" s="52"/>
      <c r="V51" s="116"/>
      <c r="W51" s="116"/>
      <c r="X51" s="52"/>
      <c r="Y51" s="116"/>
      <c r="Z51" s="116"/>
      <c r="AA51" s="52"/>
      <c r="AB51" s="44"/>
      <c r="AC51" s="116"/>
      <c r="AD51" s="52"/>
      <c r="AE51" s="44"/>
      <c r="AF51" s="116"/>
      <c r="AG51" s="52"/>
      <c r="AH51" s="44"/>
      <c r="AI51" s="116"/>
      <c r="AJ51" s="52"/>
      <c r="AK51" s="116"/>
      <c r="AL51" s="59"/>
      <c r="AM51" s="52"/>
      <c r="AN51" s="116"/>
      <c r="AO51" s="59"/>
      <c r="AP51" s="52"/>
      <c r="AQ51" s="116"/>
      <c r="AR51" s="324"/>
    </row>
    <row r="52" spans="1:44">
      <c r="A52" s="22">
        <v>29</v>
      </c>
      <c r="B52" s="24" t="s">
        <v>30</v>
      </c>
      <c r="D52" s="24"/>
      <c r="G52" s="52"/>
      <c r="H52" s="116"/>
      <c r="I52" s="52"/>
      <c r="J52" s="116"/>
      <c r="K52" s="52"/>
      <c r="L52" s="116"/>
      <c r="M52" s="52"/>
      <c r="N52" s="116"/>
      <c r="O52" s="52"/>
      <c r="P52" s="116"/>
      <c r="Q52" s="52"/>
      <c r="R52" s="116"/>
      <c r="S52" s="52"/>
      <c r="T52" s="116"/>
      <c r="U52" s="52"/>
      <c r="V52" s="116"/>
      <c r="W52" s="116"/>
      <c r="X52" s="52"/>
      <c r="Y52" s="116"/>
      <c r="Z52" s="116"/>
      <c r="AA52" s="52"/>
      <c r="AB52" s="44"/>
      <c r="AC52" s="116"/>
      <c r="AD52" s="52"/>
      <c r="AE52" s="44"/>
      <c r="AF52" s="116"/>
      <c r="AG52" s="52"/>
      <c r="AH52" s="44"/>
      <c r="AI52" s="116"/>
      <c r="AJ52" s="52"/>
      <c r="AK52" s="116"/>
      <c r="AL52" s="59"/>
      <c r="AM52" s="52"/>
      <c r="AN52" s="116"/>
      <c r="AO52" s="59"/>
      <c r="AP52" s="52"/>
      <c r="AQ52" s="116"/>
      <c r="AR52" s="324"/>
    </row>
    <row r="53" spans="1:44">
      <c r="A53" s="22">
        <v>30</v>
      </c>
      <c r="B53" s="24" t="s">
        <v>31</v>
      </c>
      <c r="D53" s="24"/>
      <c r="G53" s="53"/>
      <c r="H53" s="45"/>
      <c r="I53" s="53"/>
      <c r="J53" s="45"/>
      <c r="K53" s="53"/>
      <c r="L53" s="45"/>
      <c r="M53" s="53"/>
      <c r="N53" s="45"/>
      <c r="O53" s="53"/>
      <c r="P53" s="45"/>
      <c r="Q53" s="53"/>
      <c r="R53" s="45"/>
      <c r="S53" s="53"/>
      <c r="T53" s="45"/>
      <c r="U53" s="53"/>
      <c r="V53" s="45"/>
      <c r="W53" s="45"/>
      <c r="X53" s="53"/>
      <c r="Y53" s="116"/>
      <c r="Z53" s="45"/>
      <c r="AA53" s="53"/>
      <c r="AB53" s="45"/>
      <c r="AC53" s="45"/>
      <c r="AD53" s="53"/>
      <c r="AE53" s="45"/>
      <c r="AF53" s="45"/>
      <c r="AG53" s="53"/>
      <c r="AH53" s="45"/>
      <c r="AI53" s="45"/>
      <c r="AJ53" s="53"/>
      <c r="AK53" s="45"/>
      <c r="AL53" s="60"/>
      <c r="AM53" s="53"/>
      <c r="AN53" s="45"/>
      <c r="AO53" s="60"/>
      <c r="AP53" s="53"/>
      <c r="AQ53" s="45"/>
      <c r="AR53" s="323"/>
    </row>
    <row r="54" spans="1:44">
      <c r="G54" s="52"/>
      <c r="H54" s="116"/>
      <c r="I54" s="52"/>
      <c r="J54" s="116"/>
      <c r="K54" s="52"/>
      <c r="L54" s="116"/>
      <c r="M54" s="52"/>
      <c r="N54" s="116"/>
      <c r="O54" s="52"/>
      <c r="P54" s="116"/>
      <c r="Q54" s="52"/>
      <c r="R54" s="116"/>
      <c r="S54" s="52"/>
      <c r="T54" s="116"/>
      <c r="U54" s="52"/>
      <c r="V54" s="116"/>
      <c r="W54" s="116"/>
      <c r="X54" s="52"/>
      <c r="Y54" s="117"/>
      <c r="Z54" s="116"/>
      <c r="AA54" s="52"/>
      <c r="AB54" s="44"/>
      <c r="AC54" s="116"/>
      <c r="AD54" s="52"/>
      <c r="AE54" s="44"/>
      <c r="AF54" s="116"/>
      <c r="AG54" s="52"/>
      <c r="AH54" s="44"/>
      <c r="AI54" s="116"/>
      <c r="AJ54" s="52"/>
      <c r="AK54" s="116"/>
      <c r="AL54" s="59"/>
      <c r="AM54" s="52"/>
      <c r="AN54" s="116"/>
      <c r="AO54" s="59"/>
      <c r="AP54" s="52"/>
      <c r="AQ54" s="116"/>
      <c r="AR54" s="324"/>
    </row>
    <row r="55" spans="1:44">
      <c r="A55" s="22">
        <v>31</v>
      </c>
      <c r="B55" s="23" t="s">
        <v>32</v>
      </c>
      <c r="C55" s="23"/>
      <c r="D55" s="23"/>
      <c r="G55" s="52">
        <f>G47-G50-G51-G52-G53</f>
        <v>0</v>
      </c>
      <c r="H55" s="116">
        <f>H47-H50-H51-H52-H53</f>
        <v>0</v>
      </c>
      <c r="I55" s="52">
        <f t="shared" ref="I55:P55" si="40">I47-I50-I51-I52-I53</f>
        <v>0</v>
      </c>
      <c r="J55" s="116">
        <f t="shared" si="40"/>
        <v>0</v>
      </c>
      <c r="K55" s="52">
        <f t="shared" si="40"/>
        <v>0</v>
      </c>
      <c r="L55" s="116">
        <f t="shared" si="40"/>
        <v>0</v>
      </c>
      <c r="M55" s="52">
        <f t="shared" si="40"/>
        <v>0</v>
      </c>
      <c r="N55" s="116">
        <f t="shared" si="40"/>
        <v>0</v>
      </c>
      <c r="O55" s="52">
        <f t="shared" si="40"/>
        <v>0</v>
      </c>
      <c r="P55" s="116">
        <f t="shared" si="40"/>
        <v>0</v>
      </c>
      <c r="Q55" s="52">
        <f t="shared" ref="Q55:AI55" si="41">Q47-Q50-Q51-Q52-Q53</f>
        <v>0</v>
      </c>
      <c r="R55" s="116">
        <f t="shared" si="41"/>
        <v>0</v>
      </c>
      <c r="S55" s="52">
        <f t="shared" si="41"/>
        <v>0</v>
      </c>
      <c r="T55" s="116">
        <f t="shared" si="41"/>
        <v>0</v>
      </c>
      <c r="U55" s="52">
        <f t="shared" si="41"/>
        <v>0</v>
      </c>
      <c r="V55" s="116">
        <f t="shared" si="41"/>
        <v>0</v>
      </c>
      <c r="W55" s="116">
        <f t="shared" si="41"/>
        <v>0</v>
      </c>
      <c r="X55" s="52">
        <f t="shared" si="41"/>
        <v>0</v>
      </c>
      <c r="Y55" s="116">
        <f t="shared" si="41"/>
        <v>0</v>
      </c>
      <c r="Z55" s="116">
        <f t="shared" si="41"/>
        <v>0</v>
      </c>
      <c r="AA55" s="52">
        <f t="shared" si="41"/>
        <v>0</v>
      </c>
      <c r="AB55" s="44">
        <f t="shared" si="41"/>
        <v>0</v>
      </c>
      <c r="AC55" s="116">
        <f t="shared" si="41"/>
        <v>0</v>
      </c>
      <c r="AD55" s="52">
        <f t="shared" si="41"/>
        <v>0</v>
      </c>
      <c r="AE55" s="44">
        <f t="shared" si="41"/>
        <v>0</v>
      </c>
      <c r="AF55" s="116">
        <f t="shared" si="41"/>
        <v>0</v>
      </c>
      <c r="AG55" s="52">
        <f t="shared" si="41"/>
        <v>0</v>
      </c>
      <c r="AH55" s="44">
        <f t="shared" si="41"/>
        <v>0</v>
      </c>
      <c r="AI55" s="116">
        <f t="shared" si="41"/>
        <v>0</v>
      </c>
      <c r="AJ55" s="52">
        <f t="shared" ref="AJ55:AO55" si="42">AJ47-AJ50-AJ51-AJ52-AJ53</f>
        <v>0</v>
      </c>
      <c r="AK55" s="116">
        <f t="shared" si="42"/>
        <v>0</v>
      </c>
      <c r="AL55" s="59">
        <f t="shared" si="42"/>
        <v>0</v>
      </c>
      <c r="AM55" s="52">
        <f t="shared" si="42"/>
        <v>0</v>
      </c>
      <c r="AN55" s="116">
        <f t="shared" si="42"/>
        <v>0</v>
      </c>
      <c r="AO55" s="59">
        <f t="shared" si="42"/>
        <v>0</v>
      </c>
      <c r="AP55" s="52">
        <f t="shared" ref="AP55:AR55" si="43">AP47-AP50-AP51-AP52-AP53</f>
        <v>0</v>
      </c>
      <c r="AQ55" s="116">
        <f t="shared" si="43"/>
        <v>0</v>
      </c>
      <c r="AR55" s="324">
        <f t="shared" si="43"/>
        <v>0</v>
      </c>
    </row>
    <row r="56" spans="1:44">
      <c r="G56" s="47"/>
      <c r="H56" s="112"/>
      <c r="I56" s="47"/>
      <c r="J56" s="112"/>
      <c r="K56" s="47"/>
      <c r="L56" s="112"/>
      <c r="M56" s="47"/>
      <c r="N56" s="112"/>
      <c r="O56" s="47"/>
      <c r="P56" s="112"/>
      <c r="Q56" s="47"/>
      <c r="R56" s="112"/>
      <c r="S56" s="47"/>
      <c r="T56" s="112"/>
      <c r="U56" s="47"/>
      <c r="V56" s="112"/>
      <c r="W56" s="112"/>
      <c r="X56" s="47"/>
      <c r="Y56" s="112"/>
      <c r="Z56" s="112"/>
      <c r="AA56" s="47"/>
      <c r="AC56" s="112"/>
      <c r="AD56" s="47"/>
      <c r="AF56" s="112"/>
      <c r="AG56" s="47"/>
      <c r="AI56" s="112"/>
      <c r="AJ56" s="47"/>
      <c r="AK56" s="112"/>
      <c r="AL56" s="112"/>
      <c r="AM56" s="47"/>
      <c r="AN56" s="112"/>
      <c r="AO56" s="112"/>
      <c r="AP56" s="47"/>
      <c r="AQ56" s="112"/>
      <c r="AR56" s="151"/>
    </row>
    <row r="57" spans="1:44">
      <c r="B57" s="28" t="s">
        <v>397</v>
      </c>
      <c r="C57" s="28"/>
      <c r="D57" s="28"/>
      <c r="K57" s="112"/>
      <c r="S57" s="112"/>
    </row>
    <row r="58" spans="1:44">
      <c r="B58" s="3" t="s">
        <v>70</v>
      </c>
      <c r="C58" s="3" t="s">
        <v>71</v>
      </c>
      <c r="K58" s="112"/>
      <c r="S58" s="112"/>
    </row>
    <row r="59" spans="1:44">
      <c r="B59" s="3" t="s">
        <v>395</v>
      </c>
      <c r="D59" s="3" t="s">
        <v>396</v>
      </c>
      <c r="K59" s="112"/>
      <c r="S59" s="112"/>
    </row>
    <row r="60" spans="1:44" ht="6" customHeight="1">
      <c r="K60" s="112"/>
      <c r="S60" s="112"/>
    </row>
    <row r="61" spans="1:44">
      <c r="D61" s="3" t="s">
        <v>158</v>
      </c>
      <c r="G61" s="101"/>
      <c r="H61" s="101">
        <v>242</v>
      </c>
      <c r="I61" s="101"/>
      <c r="J61" s="101">
        <v>244</v>
      </c>
      <c r="K61" s="101"/>
      <c r="L61" s="101">
        <v>144</v>
      </c>
      <c r="M61" s="101"/>
      <c r="N61" s="101">
        <v>0</v>
      </c>
      <c r="O61" s="101"/>
      <c r="P61" s="101">
        <v>0</v>
      </c>
      <c r="Q61" s="101"/>
      <c r="R61" s="101">
        <f>27855+479</f>
        <v>28334</v>
      </c>
      <c r="S61" s="101"/>
      <c r="T61" s="101">
        <f>36725+0</f>
        <v>36725</v>
      </c>
      <c r="U61" s="101"/>
      <c r="V61" s="101"/>
      <c r="W61" s="101">
        <f>66526+160</f>
        <v>66686</v>
      </c>
      <c r="X61" s="101"/>
      <c r="Y61" s="101"/>
      <c r="Z61" s="101">
        <f>149894+3124</f>
        <v>153018</v>
      </c>
      <c r="AA61" s="101"/>
      <c r="AB61" s="101"/>
      <c r="AC61" s="101">
        <f>78622+5370</f>
        <v>83992</v>
      </c>
      <c r="AD61" s="101"/>
      <c r="AE61" s="101"/>
      <c r="AF61" s="101">
        <f>109009+6184</f>
        <v>115193</v>
      </c>
      <c r="AG61" s="101"/>
      <c r="AH61" s="101"/>
      <c r="AI61" s="101">
        <f>94024+4770</f>
        <v>98794</v>
      </c>
      <c r="AJ61" s="101"/>
      <c r="AK61" s="101"/>
      <c r="AL61" s="101">
        <f>63689+4133</f>
        <v>67822</v>
      </c>
      <c r="AM61" s="101"/>
      <c r="AN61" s="101"/>
      <c r="AO61" s="101">
        <v>0</v>
      </c>
      <c r="AP61" s="101"/>
      <c r="AQ61" s="101"/>
      <c r="AR61" s="247">
        <v>0</v>
      </c>
    </row>
    <row r="62" spans="1:44">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247"/>
    </row>
    <row r="63" spans="1:44">
      <c r="D63" s="3" t="s">
        <v>159</v>
      </c>
      <c r="G63" s="101"/>
      <c r="H63" s="101">
        <f>125+38</f>
        <v>163</v>
      </c>
      <c r="I63" s="101"/>
      <c r="J63" s="101">
        <f>134+98</f>
        <v>232</v>
      </c>
      <c r="K63" s="101"/>
      <c r="L63" s="101">
        <f>131+128+2</f>
        <v>261</v>
      </c>
      <c r="M63" s="101"/>
      <c r="N63" s="101">
        <f>142+141+2</f>
        <v>285</v>
      </c>
      <c r="O63" s="101"/>
      <c r="P63" s="101">
        <f>148+181+48-8</f>
        <v>369</v>
      </c>
      <c r="Q63" s="101"/>
      <c r="R63" s="101">
        <f>643+8</f>
        <v>651</v>
      </c>
      <c r="S63" s="101"/>
      <c r="T63" s="101">
        <v>653</v>
      </c>
      <c r="U63" s="101"/>
      <c r="V63" s="101"/>
      <c r="W63" s="101">
        <v>792</v>
      </c>
      <c r="X63" s="101"/>
      <c r="Y63" s="101"/>
      <c r="Z63" s="101">
        <v>783</v>
      </c>
      <c r="AA63" s="101"/>
      <c r="AB63" s="101"/>
      <c r="AC63" s="101">
        <v>802</v>
      </c>
      <c r="AD63" s="101"/>
      <c r="AE63" s="101"/>
      <c r="AF63" s="101">
        <f>801-1</f>
        <v>800</v>
      </c>
      <c r="AG63" s="101"/>
      <c r="AH63" s="101"/>
      <c r="AI63" s="101">
        <f>903+78</f>
        <v>981</v>
      </c>
      <c r="AJ63" s="101"/>
      <c r="AK63" s="101"/>
      <c r="AL63" s="101">
        <f>857+71</f>
        <v>928</v>
      </c>
      <c r="AM63" s="101"/>
      <c r="AN63" s="101"/>
      <c r="AO63" s="101">
        <v>891</v>
      </c>
      <c r="AP63" s="101"/>
      <c r="AQ63" s="101"/>
      <c r="AR63" s="247">
        <v>779</v>
      </c>
    </row>
    <row r="64" spans="1:44">
      <c r="K64" s="112"/>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247"/>
    </row>
    <row r="65" spans="4:44">
      <c r="D65" s="3" t="s">
        <v>160</v>
      </c>
      <c r="H65" s="122">
        <f>'Cost Trends'!F22+H21</f>
        <v>163</v>
      </c>
      <c r="J65" s="122">
        <f>'Cost Trends'!G22+J21</f>
        <v>232</v>
      </c>
      <c r="K65" s="112"/>
      <c r="L65" s="122">
        <f>'Cost Trends'!H22+L21</f>
        <v>261</v>
      </c>
      <c r="N65" s="122">
        <f>'Cost Trends'!I22+N21</f>
        <v>285</v>
      </c>
      <c r="P65" s="122">
        <f>'Cost Trends'!J22+P21</f>
        <v>369</v>
      </c>
      <c r="R65" s="122">
        <f>'Cost Trends'!K22+R21</f>
        <v>651</v>
      </c>
      <c r="T65" s="122">
        <f>'Cost Trends'!L22+T21</f>
        <v>653</v>
      </c>
      <c r="W65" s="122">
        <f>'Cost Trends'!M22+W21</f>
        <v>792</v>
      </c>
      <c r="Z65" s="122">
        <f>'Cost Trends'!N22+Z21</f>
        <v>783</v>
      </c>
      <c r="AC65" s="122">
        <f>'Cost Trends'!O22+AC21</f>
        <v>802</v>
      </c>
      <c r="AF65" s="122">
        <f>'Cost Trends'!P22+AF21</f>
        <v>800</v>
      </c>
      <c r="AI65" s="122">
        <f>'Cost Trends'!Q22+AI21</f>
        <v>981</v>
      </c>
      <c r="AL65" s="122">
        <f>'Cost Trends'!R22+AL21</f>
        <v>928</v>
      </c>
      <c r="AO65" s="122">
        <f>'Cost Trends'!S22+AO21</f>
        <v>891</v>
      </c>
      <c r="AR65" s="369">
        <f>'Cost Trends'!T22+AR21</f>
        <v>779</v>
      </c>
    </row>
  </sheetData>
  <mergeCells count="3">
    <mergeCell ref="AJ6:AL6"/>
    <mergeCell ref="AM6:AO6"/>
    <mergeCell ref="AP6:AR6"/>
  </mergeCells>
  <pageMargins left="0.32" right="0.4" top="0.3" bottom="0.36" header="0.3" footer="0.27"/>
  <pageSetup scale="70" orientation="landscape" r:id="rId1"/>
  <headerFooter>
    <oddFooter>&amp;C&amp;F / &amp;A&amp;RPage &amp;P</oddFooter>
  </headerFooter>
  <colBreaks count="1" manualBreakCount="1">
    <brk id="23"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T68"/>
  <sheetViews>
    <sheetView workbookViewId="0">
      <pane xSplit="6435" topLeftCell="L1" activePane="topRight"/>
      <selection activeCell="J18" sqref="J18"/>
      <selection pane="topRight" activeCell="J18" sqref="J18"/>
    </sheetView>
  </sheetViews>
  <sheetFormatPr defaultRowHeight="12.75"/>
  <cols>
    <col min="1" max="1" width="9" bestFit="1" customWidth="1"/>
    <col min="3" max="3" width="13.28515625" customWidth="1"/>
    <col min="5" max="7" width="11.28515625" bestFit="1" customWidth="1"/>
    <col min="8" max="9" width="10.85546875" bestFit="1" customWidth="1"/>
    <col min="10" max="11" width="11.28515625" bestFit="1" customWidth="1"/>
    <col min="12" max="13" width="10.85546875" bestFit="1" customWidth="1"/>
    <col min="14" max="16" width="11.28515625" bestFit="1" customWidth="1"/>
    <col min="17" max="17" width="11.5703125" bestFit="1" customWidth="1"/>
    <col min="18" max="18" width="11.85546875" customWidth="1"/>
    <col min="19" max="19" width="8.85546875" style="128"/>
  </cols>
  <sheetData>
    <row r="1" spans="1:19">
      <c r="A1" s="98" t="s">
        <v>135</v>
      </c>
      <c r="B1" s="98"/>
      <c r="C1" s="98"/>
      <c r="D1" s="98"/>
      <c r="E1" s="98"/>
      <c r="F1" s="98"/>
      <c r="G1" s="98"/>
      <c r="H1" s="98"/>
      <c r="I1" s="98"/>
      <c r="J1" s="98"/>
      <c r="K1" s="98"/>
      <c r="L1" s="98"/>
      <c r="M1" s="98"/>
      <c r="N1" s="98"/>
      <c r="O1" s="98"/>
      <c r="P1" s="98"/>
      <c r="Q1" s="98"/>
    </row>
    <row r="2" spans="1:19">
      <c r="A2" s="98" t="s">
        <v>146</v>
      </c>
      <c r="B2" s="98"/>
      <c r="C2" s="98"/>
      <c r="D2" s="98"/>
      <c r="E2" s="98"/>
      <c r="F2" s="98"/>
      <c r="G2" s="98"/>
      <c r="H2" s="98"/>
      <c r="I2" s="98"/>
      <c r="J2" s="98"/>
      <c r="K2" s="98"/>
      <c r="L2" s="98"/>
      <c r="M2" s="98"/>
      <c r="N2" s="98"/>
      <c r="O2" s="98"/>
      <c r="P2" s="98"/>
      <c r="Q2" s="98"/>
    </row>
    <row r="3" spans="1:19">
      <c r="A3" s="98" t="s">
        <v>483</v>
      </c>
      <c r="B3" s="98"/>
      <c r="C3" s="98"/>
      <c r="D3" s="98"/>
      <c r="E3" s="98"/>
      <c r="F3" s="98"/>
      <c r="G3" s="98"/>
      <c r="H3" s="98"/>
      <c r="I3" s="98"/>
      <c r="J3" s="98"/>
      <c r="K3" s="98"/>
      <c r="L3" s="98"/>
      <c r="M3" s="98"/>
      <c r="N3" s="98"/>
      <c r="O3" s="98"/>
      <c r="P3" s="98"/>
      <c r="Q3" s="98"/>
    </row>
    <row r="4" spans="1:19">
      <c r="A4" s="98" t="s">
        <v>136</v>
      </c>
      <c r="B4" s="98"/>
      <c r="C4" s="98"/>
      <c r="D4" s="98"/>
      <c r="E4" s="98"/>
      <c r="F4" s="98"/>
      <c r="G4" s="98"/>
      <c r="H4" s="98"/>
      <c r="I4" s="98"/>
      <c r="J4" s="98"/>
      <c r="K4" s="98"/>
      <c r="L4" s="98"/>
      <c r="M4" s="98"/>
      <c r="N4" s="98"/>
      <c r="O4" s="98"/>
      <c r="P4" s="98"/>
      <c r="Q4" s="98"/>
    </row>
    <row r="5" spans="1:19">
      <c r="A5" s="98"/>
      <c r="B5" s="98"/>
      <c r="C5" s="98"/>
      <c r="D5" s="98"/>
      <c r="E5" s="98"/>
      <c r="F5" s="98"/>
      <c r="G5" s="98"/>
      <c r="H5" s="98"/>
      <c r="I5" s="98"/>
      <c r="J5" s="98"/>
      <c r="K5" s="98"/>
      <c r="L5" s="98"/>
      <c r="M5" s="98"/>
      <c r="N5" s="98"/>
      <c r="O5" s="98"/>
      <c r="P5" s="98"/>
      <c r="Q5" s="98"/>
      <c r="S5" s="377" t="s">
        <v>498</v>
      </c>
    </row>
    <row r="6" spans="1:19">
      <c r="A6" s="98"/>
      <c r="B6" s="98"/>
      <c r="C6" s="98"/>
      <c r="D6" s="98"/>
      <c r="E6" s="99">
        <v>2000</v>
      </c>
      <c r="F6" s="99">
        <v>2001</v>
      </c>
      <c r="G6" s="99">
        <v>2002</v>
      </c>
      <c r="H6" s="99">
        <v>2003</v>
      </c>
      <c r="I6" s="99">
        <v>2004</v>
      </c>
      <c r="J6" s="99">
        <v>2005</v>
      </c>
      <c r="K6" s="99">
        <v>2006</v>
      </c>
      <c r="L6" s="99">
        <v>2007</v>
      </c>
      <c r="M6" s="99">
        <v>2008</v>
      </c>
      <c r="N6" s="99">
        <v>2009</v>
      </c>
      <c r="O6" s="99">
        <v>2010</v>
      </c>
      <c r="P6" s="99">
        <v>2011</v>
      </c>
      <c r="Q6" s="99">
        <v>2012</v>
      </c>
      <c r="R6" s="99">
        <v>2013</v>
      </c>
      <c r="S6" s="370">
        <v>2014</v>
      </c>
    </row>
    <row r="9" spans="1:19">
      <c r="A9" t="s">
        <v>147</v>
      </c>
    </row>
    <row r="10" spans="1:19">
      <c r="A10" s="22">
        <v>21</v>
      </c>
      <c r="B10" s="24" t="s">
        <v>47</v>
      </c>
      <c r="C10" s="24"/>
      <c r="D10" s="24"/>
      <c r="E10" s="32">
        <v>1027</v>
      </c>
      <c r="F10" s="32">
        <v>1187</v>
      </c>
      <c r="G10" s="32">
        <v>1460</v>
      </c>
      <c r="H10" s="32">
        <v>1522</v>
      </c>
      <c r="I10" s="32">
        <v>1349</v>
      </c>
      <c r="J10" s="32">
        <v>1343</v>
      </c>
      <c r="K10" s="32">
        <v>1282</v>
      </c>
      <c r="L10" s="32">
        <v>683</v>
      </c>
      <c r="M10" s="32">
        <v>1561</v>
      </c>
      <c r="N10" s="32">
        <v>2439</v>
      </c>
      <c r="O10" s="32">
        <v>2628</v>
      </c>
      <c r="P10" s="32">
        <v>2734</v>
      </c>
      <c r="Q10" s="32">
        <v>3276</v>
      </c>
      <c r="R10" s="243">
        <v>3868</v>
      </c>
      <c r="S10" s="243">
        <v>4389</v>
      </c>
    </row>
    <row r="11" spans="1:19">
      <c r="A11" s="22">
        <v>22</v>
      </c>
      <c r="B11" s="1" t="s">
        <v>52</v>
      </c>
      <c r="C11" s="1"/>
      <c r="D11" s="24"/>
      <c r="E11" s="32"/>
      <c r="F11" s="32"/>
      <c r="G11" s="32"/>
      <c r="H11" s="32"/>
      <c r="I11" s="32"/>
      <c r="J11" s="32"/>
      <c r="K11" s="32"/>
      <c r="L11" s="32"/>
      <c r="M11" s="32"/>
      <c r="N11" s="32"/>
      <c r="O11" s="32"/>
      <c r="P11" s="32">
        <v>-186</v>
      </c>
      <c r="Q11" s="32">
        <v>171</v>
      </c>
      <c r="R11" s="243">
        <v>91</v>
      </c>
      <c r="S11" s="243">
        <v>-91</v>
      </c>
    </row>
    <row r="12" spans="1:19">
      <c r="A12" s="70"/>
    </row>
    <row r="13" spans="1:19">
      <c r="A13" s="70"/>
      <c r="B13" s="70"/>
      <c r="E13" s="100"/>
      <c r="F13" s="100"/>
      <c r="G13" s="100"/>
      <c r="H13" s="100"/>
      <c r="I13" s="100"/>
      <c r="J13" s="100"/>
      <c r="K13" s="100"/>
      <c r="L13" s="100"/>
      <c r="M13" s="100"/>
      <c r="N13" s="100"/>
      <c r="O13" s="100"/>
      <c r="P13" s="100"/>
      <c r="Q13" s="100"/>
    </row>
    <row r="14" spans="1:19">
      <c r="A14" s="70" t="s">
        <v>148</v>
      </c>
      <c r="B14" s="70"/>
      <c r="E14" s="100">
        <v>565</v>
      </c>
      <c r="F14" s="100">
        <v>632</v>
      </c>
      <c r="G14" s="100">
        <v>811</v>
      </c>
      <c r="H14" s="100">
        <v>907</v>
      </c>
      <c r="I14" s="100">
        <f>291+478</f>
        <v>769</v>
      </c>
      <c r="J14" s="100">
        <f>827-54</f>
        <v>773</v>
      </c>
      <c r="K14" s="100">
        <v>903</v>
      </c>
      <c r="L14" s="100">
        <v>1014</v>
      </c>
      <c r="M14" s="100">
        <v>1151</v>
      </c>
      <c r="N14" s="100">
        <v>1220</v>
      </c>
      <c r="O14" s="100">
        <v>1478</v>
      </c>
      <c r="P14" s="100">
        <v>1642</v>
      </c>
      <c r="Q14" s="100">
        <v>1954</v>
      </c>
      <c r="R14" s="101">
        <f>2332+61</f>
        <v>2393</v>
      </c>
      <c r="S14" s="371">
        <f>2496+90</f>
        <v>2586</v>
      </c>
    </row>
    <row r="15" spans="1:19">
      <c r="A15" s="70" t="s">
        <v>149</v>
      </c>
      <c r="E15" s="101">
        <f>358+3</f>
        <v>361</v>
      </c>
      <c r="F15" s="101">
        <f>269+3</f>
        <v>272</v>
      </c>
      <c r="G15" s="101">
        <f>355+2</f>
        <v>357</v>
      </c>
      <c r="H15" s="101">
        <f>351+3</f>
        <v>354</v>
      </c>
      <c r="I15" s="101">
        <f>236+6</f>
        <v>242</v>
      </c>
      <c r="J15" s="101">
        <f>419+4</f>
        <v>423</v>
      </c>
      <c r="K15" s="101">
        <f>373+5+1</f>
        <v>379</v>
      </c>
      <c r="L15" s="101">
        <f>478+5</f>
        <v>483</v>
      </c>
      <c r="M15" s="101">
        <f>646+5</f>
        <v>651</v>
      </c>
      <c r="N15" s="101">
        <f>773+5</f>
        <v>778</v>
      </c>
      <c r="O15" s="101">
        <f>16+778+139</f>
        <v>933</v>
      </c>
      <c r="P15" s="101">
        <f>24+1066</f>
        <v>1090</v>
      </c>
      <c r="Q15" s="101">
        <f>1292+26</f>
        <v>1318</v>
      </c>
      <c r="R15" s="101">
        <v>1471</v>
      </c>
      <c r="S15" s="247">
        <v>1799</v>
      </c>
    </row>
    <row r="16" spans="1:19">
      <c r="A16" s="70" t="s">
        <v>150</v>
      </c>
      <c r="E16" s="101">
        <v>101</v>
      </c>
      <c r="F16" s="101">
        <v>116</v>
      </c>
      <c r="G16" s="101">
        <v>107</v>
      </c>
      <c r="H16" s="101">
        <v>102</v>
      </c>
      <c r="I16" s="101">
        <f>146+23</f>
        <v>169</v>
      </c>
      <c r="J16" s="101">
        <f>139+8</f>
        <v>147</v>
      </c>
      <c r="K16" s="101"/>
      <c r="L16" s="101">
        <v>1</v>
      </c>
      <c r="M16" s="101">
        <v>1</v>
      </c>
      <c r="N16" s="101">
        <v>1</v>
      </c>
      <c r="O16" s="101">
        <v>1</v>
      </c>
      <c r="P16" s="101">
        <v>2</v>
      </c>
      <c r="Q16" s="101">
        <v>4</v>
      </c>
      <c r="R16" s="101">
        <v>4</v>
      </c>
      <c r="S16" s="247">
        <v>4</v>
      </c>
    </row>
    <row r="17" spans="1:19">
      <c r="A17" s="70" t="s">
        <v>151</v>
      </c>
      <c r="E17" s="109">
        <f>SUM(E14:E16)</f>
        <v>1027</v>
      </c>
      <c r="F17" s="109">
        <f t="shared" ref="F17:Q17" si="0">SUM(F14:F16)</f>
        <v>1020</v>
      </c>
      <c r="G17" s="109">
        <f t="shared" si="0"/>
        <v>1275</v>
      </c>
      <c r="H17" s="109">
        <f t="shared" si="0"/>
        <v>1363</v>
      </c>
      <c r="I17" s="109">
        <f t="shared" si="0"/>
        <v>1180</v>
      </c>
      <c r="J17" s="109">
        <f t="shared" si="0"/>
        <v>1343</v>
      </c>
      <c r="K17" s="109">
        <f t="shared" si="0"/>
        <v>1282</v>
      </c>
      <c r="L17" s="109">
        <f t="shared" si="0"/>
        <v>1498</v>
      </c>
      <c r="M17" s="109">
        <f t="shared" si="0"/>
        <v>1803</v>
      </c>
      <c r="N17" s="109">
        <f t="shared" si="0"/>
        <v>1999</v>
      </c>
      <c r="O17" s="109">
        <f t="shared" si="0"/>
        <v>2412</v>
      </c>
      <c r="P17" s="109">
        <f t="shared" si="0"/>
        <v>2734</v>
      </c>
      <c r="Q17" s="109">
        <f t="shared" si="0"/>
        <v>3276</v>
      </c>
      <c r="R17" s="109">
        <f>SUM(R14:R16)</f>
        <v>3868</v>
      </c>
      <c r="S17" s="372">
        <f>SUM(S14:S16)</f>
        <v>4389</v>
      </c>
    </row>
    <row r="18" spans="1:19">
      <c r="A18" s="70"/>
      <c r="E18" s="102"/>
      <c r="F18" s="101"/>
      <c r="G18" s="101"/>
      <c r="H18" s="101"/>
      <c r="I18" s="101"/>
      <c r="J18" s="101"/>
      <c r="K18" s="101"/>
      <c r="L18" s="101"/>
      <c r="M18" s="101"/>
      <c r="N18" s="101"/>
      <c r="O18" s="101"/>
      <c r="P18" s="101"/>
      <c r="Q18" s="101"/>
      <c r="R18" s="101"/>
      <c r="S18" s="247"/>
    </row>
    <row r="19" spans="1:19">
      <c r="A19" s="70" t="s">
        <v>156</v>
      </c>
      <c r="B19" s="70"/>
      <c r="E19" s="108"/>
      <c r="F19" s="108">
        <v>167</v>
      </c>
      <c r="G19" s="108">
        <v>185</v>
      </c>
      <c r="H19" s="108">
        <v>159</v>
      </c>
      <c r="I19" s="108">
        <v>169</v>
      </c>
      <c r="J19" s="108">
        <v>0</v>
      </c>
      <c r="K19" s="108"/>
      <c r="L19" s="108"/>
      <c r="M19" s="108"/>
      <c r="N19" s="108"/>
      <c r="O19" s="108"/>
      <c r="P19" s="108"/>
      <c r="Q19" s="108"/>
      <c r="R19" s="108"/>
      <c r="S19" s="373"/>
    </row>
    <row r="20" spans="1:19">
      <c r="A20" s="70" t="s">
        <v>153</v>
      </c>
      <c r="B20" s="70"/>
      <c r="E20" s="108"/>
      <c r="F20" s="108"/>
      <c r="G20" s="108"/>
      <c r="H20" s="108"/>
      <c r="I20" s="108"/>
      <c r="J20" s="108"/>
      <c r="K20" s="108"/>
      <c r="L20" s="108"/>
      <c r="M20" s="108"/>
      <c r="N20" s="108"/>
      <c r="O20" s="108"/>
      <c r="P20" s="108">
        <v>-449</v>
      </c>
      <c r="Q20" s="108"/>
      <c r="R20" s="108"/>
      <c r="S20" s="373"/>
    </row>
    <row r="21" spans="1:19">
      <c r="A21" s="70" t="s">
        <v>154</v>
      </c>
      <c r="E21" s="101"/>
      <c r="F21" s="101"/>
      <c r="G21" s="101"/>
      <c r="H21" s="101"/>
      <c r="I21" s="101"/>
      <c r="J21" s="101"/>
      <c r="K21" s="101"/>
      <c r="L21" s="101">
        <v>-900</v>
      </c>
      <c r="M21" s="101">
        <v>-674</v>
      </c>
      <c r="N21" s="101">
        <v>-270</v>
      </c>
      <c r="O21" s="101">
        <v>-278</v>
      </c>
      <c r="P21" s="101">
        <v>-231</v>
      </c>
      <c r="Q21" s="101">
        <v>-13</v>
      </c>
      <c r="R21" s="247">
        <v>91</v>
      </c>
      <c r="S21" s="247">
        <v>-91</v>
      </c>
    </row>
    <row r="22" spans="1:19">
      <c r="A22" s="70" t="s">
        <v>155</v>
      </c>
      <c r="D22" s="70" t="s">
        <v>100</v>
      </c>
      <c r="L22">
        <v>85</v>
      </c>
      <c r="M22">
        <v>432</v>
      </c>
      <c r="N22">
        <v>710</v>
      </c>
      <c r="O22">
        <v>494</v>
      </c>
      <c r="P22">
        <v>494</v>
      </c>
      <c r="Q22">
        <v>184</v>
      </c>
      <c r="R22" s="128">
        <v>0</v>
      </c>
      <c r="S22" s="128">
        <v>0</v>
      </c>
    </row>
    <row r="25" spans="1:19">
      <c r="A25" s="70" t="s">
        <v>266</v>
      </c>
      <c r="E25" s="110">
        <f t="shared" ref="E25:P25" si="1">SUM(E19:E24)</f>
        <v>0</v>
      </c>
      <c r="F25" s="110">
        <f t="shared" si="1"/>
        <v>167</v>
      </c>
      <c r="G25" s="110">
        <f t="shared" si="1"/>
        <v>185</v>
      </c>
      <c r="H25" s="110">
        <f t="shared" si="1"/>
        <v>159</v>
      </c>
      <c r="I25" s="110">
        <f t="shared" si="1"/>
        <v>169</v>
      </c>
      <c r="J25" s="110">
        <f t="shared" si="1"/>
        <v>0</v>
      </c>
      <c r="K25" s="110">
        <f t="shared" si="1"/>
        <v>0</v>
      </c>
      <c r="L25" s="110">
        <f t="shared" si="1"/>
        <v>-815</v>
      </c>
      <c r="M25" s="110">
        <f t="shared" si="1"/>
        <v>-242</v>
      </c>
      <c r="N25" s="110">
        <f t="shared" si="1"/>
        <v>440</v>
      </c>
      <c r="O25" s="110">
        <f t="shared" si="1"/>
        <v>216</v>
      </c>
      <c r="P25" s="110">
        <f t="shared" si="1"/>
        <v>-186</v>
      </c>
      <c r="Q25" s="110">
        <f>SUM(Q19:Q24)</f>
        <v>171</v>
      </c>
      <c r="R25" s="110">
        <f>SUM(R19:R24)</f>
        <v>91</v>
      </c>
      <c r="S25" s="374">
        <f>SUM(S19:S24)</f>
        <v>-91</v>
      </c>
    </row>
    <row r="27" spans="1:19">
      <c r="B27" s="70" t="s">
        <v>137</v>
      </c>
      <c r="E27" s="100">
        <f>E17+E25</f>
        <v>1027</v>
      </c>
      <c r="F27" s="100">
        <f t="shared" ref="F27:Q27" si="2">F17+F25</f>
        <v>1187</v>
      </c>
      <c r="G27" s="100">
        <f t="shared" si="2"/>
        <v>1460</v>
      </c>
      <c r="H27" s="100">
        <f t="shared" si="2"/>
        <v>1522</v>
      </c>
      <c r="I27" s="100">
        <f t="shared" si="2"/>
        <v>1349</v>
      </c>
      <c r="J27" s="100">
        <f t="shared" si="2"/>
        <v>1343</v>
      </c>
      <c r="K27" s="100">
        <f t="shared" si="2"/>
        <v>1282</v>
      </c>
      <c r="L27" s="100">
        <f t="shared" si="2"/>
        <v>683</v>
      </c>
      <c r="M27" s="100">
        <f t="shared" si="2"/>
        <v>1561</v>
      </c>
      <c r="N27" s="100">
        <f t="shared" si="2"/>
        <v>2439</v>
      </c>
      <c r="O27" s="100">
        <f t="shared" si="2"/>
        <v>2628</v>
      </c>
      <c r="P27" s="100">
        <f t="shared" si="2"/>
        <v>2548</v>
      </c>
      <c r="Q27" s="100">
        <f t="shared" si="2"/>
        <v>3447</v>
      </c>
      <c r="R27" s="100">
        <f>R17+R25</f>
        <v>3959</v>
      </c>
      <c r="S27" s="371">
        <f>S17+S25</f>
        <v>4298</v>
      </c>
    </row>
    <row r="28" spans="1:19">
      <c r="E28" t="str">
        <f t="shared" ref="E28:Q28" si="3">IF(E27=E10+E11,"","check")</f>
        <v/>
      </c>
      <c r="F28" t="str">
        <f t="shared" si="3"/>
        <v/>
      </c>
      <c r="G28" t="str">
        <f t="shared" si="3"/>
        <v/>
      </c>
      <c r="H28" t="str">
        <f t="shared" si="3"/>
        <v/>
      </c>
      <c r="I28" t="str">
        <f t="shared" si="3"/>
        <v/>
      </c>
      <c r="J28" t="str">
        <f t="shared" si="3"/>
        <v/>
      </c>
      <c r="K28" t="str">
        <f t="shared" si="3"/>
        <v/>
      </c>
      <c r="L28" t="str">
        <f t="shared" si="3"/>
        <v/>
      </c>
      <c r="M28" t="str">
        <f t="shared" si="3"/>
        <v/>
      </c>
      <c r="N28" t="str">
        <f t="shared" si="3"/>
        <v/>
      </c>
      <c r="O28" t="str">
        <f t="shared" si="3"/>
        <v/>
      </c>
      <c r="P28" t="str">
        <f t="shared" si="3"/>
        <v/>
      </c>
      <c r="Q28" t="str">
        <f t="shared" si="3"/>
        <v/>
      </c>
      <c r="R28" t="str">
        <f>IF(R27=R10+R11,"","check")</f>
        <v/>
      </c>
      <c r="S28" s="128" t="str">
        <f>IF(S27=S10+S11,"","check")</f>
        <v/>
      </c>
    </row>
    <row r="29" spans="1:19">
      <c r="B29" t="s">
        <v>138</v>
      </c>
    </row>
    <row r="30" spans="1:19">
      <c r="E30" s="100">
        <f>E25-E22</f>
        <v>0</v>
      </c>
      <c r="F30" s="100">
        <f t="shared" ref="F30:Q30" si="4">F25-F22</f>
        <v>167</v>
      </c>
      <c r="G30" s="100">
        <f t="shared" si="4"/>
        <v>185</v>
      </c>
      <c r="H30" s="100">
        <f t="shared" si="4"/>
        <v>159</v>
      </c>
      <c r="I30" s="100">
        <f t="shared" si="4"/>
        <v>169</v>
      </c>
      <c r="J30" s="100">
        <f t="shared" si="4"/>
        <v>0</v>
      </c>
      <c r="K30" s="100">
        <f t="shared" si="4"/>
        <v>0</v>
      </c>
      <c r="L30" s="100">
        <f t="shared" si="4"/>
        <v>-900</v>
      </c>
      <c r="M30" s="100">
        <f t="shared" si="4"/>
        <v>-674</v>
      </c>
      <c r="N30" s="100">
        <f t="shared" si="4"/>
        <v>-270</v>
      </c>
      <c r="O30" s="100">
        <f t="shared" si="4"/>
        <v>-278</v>
      </c>
      <c r="P30" s="100">
        <f t="shared" si="4"/>
        <v>-680</v>
      </c>
      <c r="Q30" s="100">
        <f t="shared" si="4"/>
        <v>-13</v>
      </c>
      <c r="R30" s="100">
        <f>R25-R22</f>
        <v>91</v>
      </c>
      <c r="S30" s="371">
        <f>S25-S22</f>
        <v>-91</v>
      </c>
    </row>
    <row r="31" spans="1:19">
      <c r="E31" s="100"/>
      <c r="F31" s="100"/>
      <c r="G31" s="100"/>
      <c r="H31" s="100"/>
      <c r="I31" s="100"/>
      <c r="J31" s="100"/>
      <c r="K31" s="100"/>
      <c r="L31" s="100"/>
      <c r="M31" s="100"/>
      <c r="N31" s="100"/>
      <c r="O31" s="100"/>
      <c r="P31" s="100"/>
      <c r="Q31" s="100"/>
      <c r="R31" s="100"/>
      <c r="S31" s="371"/>
    </row>
    <row r="32" spans="1:19">
      <c r="E32" s="99">
        <v>2000</v>
      </c>
      <c r="F32" s="99">
        <v>2001</v>
      </c>
      <c r="G32" s="99">
        <v>2002</v>
      </c>
      <c r="H32" s="99">
        <v>2003</v>
      </c>
      <c r="I32" s="99">
        <v>2004</v>
      </c>
      <c r="J32" s="99">
        <v>2005</v>
      </c>
      <c r="K32" s="99">
        <v>2006</v>
      </c>
      <c r="L32" s="99">
        <v>2007</v>
      </c>
      <c r="M32" s="99">
        <v>2008</v>
      </c>
      <c r="N32" s="99">
        <v>2009</v>
      </c>
      <c r="O32" s="99">
        <v>2010</v>
      </c>
      <c r="P32" s="99">
        <v>2011</v>
      </c>
      <c r="Q32" s="99">
        <v>2012</v>
      </c>
      <c r="R32" s="99">
        <v>2013</v>
      </c>
      <c r="S32" s="370">
        <v>2013</v>
      </c>
    </row>
    <row r="33" spans="1:20">
      <c r="A33" s="22"/>
      <c r="B33" s="3" t="s">
        <v>40</v>
      </c>
      <c r="C33" s="3"/>
      <c r="D33" s="3"/>
      <c r="E33" s="32"/>
      <c r="F33" s="32"/>
      <c r="G33" s="32"/>
      <c r="H33" s="32"/>
      <c r="I33" s="32"/>
      <c r="J33" s="32"/>
      <c r="K33" s="32"/>
      <c r="L33" s="32"/>
      <c r="M33" s="32"/>
      <c r="N33" s="32"/>
      <c r="O33" s="32"/>
      <c r="P33" s="32"/>
      <c r="Q33" s="32"/>
      <c r="R33" s="32"/>
      <c r="S33" s="243"/>
    </row>
    <row r="34" spans="1:20">
      <c r="A34" s="22"/>
      <c r="B34" s="3" t="s">
        <v>41</v>
      </c>
      <c r="C34" s="3"/>
      <c r="D34" s="3"/>
      <c r="E34" s="32"/>
      <c r="F34" s="32"/>
      <c r="G34" s="32"/>
      <c r="H34" s="32"/>
      <c r="I34" s="32"/>
      <c r="J34" s="32"/>
      <c r="K34" s="32"/>
      <c r="L34" s="32"/>
      <c r="M34" s="32"/>
      <c r="N34" s="32"/>
      <c r="O34" s="32"/>
      <c r="P34" s="32"/>
      <c r="Q34" s="32"/>
      <c r="R34" s="32"/>
      <c r="S34" s="243"/>
    </row>
    <row r="35" spans="1:20">
      <c r="A35" s="22">
        <v>32</v>
      </c>
      <c r="B35" s="24"/>
      <c r="C35" s="24" t="s">
        <v>16</v>
      </c>
      <c r="D35" s="24"/>
      <c r="E35" s="36">
        <v>13695</v>
      </c>
      <c r="F35" s="36">
        <v>13533</v>
      </c>
      <c r="G35" s="36">
        <v>13439</v>
      </c>
      <c r="H35" s="36">
        <v>13712</v>
      </c>
      <c r="I35" s="36">
        <v>13632</v>
      </c>
      <c r="J35" s="36">
        <v>13708</v>
      </c>
      <c r="K35" s="36">
        <v>13854</v>
      </c>
      <c r="L35" s="36">
        <v>13758</v>
      </c>
      <c r="M35" s="36">
        <v>15260</v>
      </c>
      <c r="N35" s="36">
        <v>21798</v>
      </c>
      <c r="O35" s="36">
        <v>20047</v>
      </c>
      <c r="P35" s="36">
        <v>22008</v>
      </c>
      <c r="Q35" s="36">
        <v>24365</v>
      </c>
      <c r="R35" s="244">
        <v>24711</v>
      </c>
      <c r="S35" s="244">
        <v>25235</v>
      </c>
      <c r="T35" s="128"/>
    </row>
    <row r="36" spans="1:20">
      <c r="A36" s="22">
        <v>33</v>
      </c>
      <c r="B36" s="24"/>
      <c r="C36" s="24" t="s">
        <v>33</v>
      </c>
      <c r="D36" s="24"/>
      <c r="E36" s="32">
        <v>172997</v>
      </c>
      <c r="F36" s="32">
        <v>182083</v>
      </c>
      <c r="G36" s="32">
        <v>188021</v>
      </c>
      <c r="H36" s="32">
        <v>194231</v>
      </c>
      <c r="I36" s="32">
        <v>201198</v>
      </c>
      <c r="J36" s="32">
        <v>209825</v>
      </c>
      <c r="K36" s="32">
        <v>220332</v>
      </c>
      <c r="L36" s="32">
        <v>230137</v>
      </c>
      <c r="M36" s="32">
        <v>241177</v>
      </c>
      <c r="N36" s="32">
        <v>254579</v>
      </c>
      <c r="O36" s="32">
        <v>268306</v>
      </c>
      <c r="P36" s="32">
        <v>281279</v>
      </c>
      <c r="Q36" s="32">
        <v>296152</v>
      </c>
      <c r="R36" s="32">
        <v>313469</v>
      </c>
      <c r="S36" s="243">
        <v>337894</v>
      </c>
    </row>
    <row r="37" spans="1:20">
      <c r="A37" s="22">
        <v>34</v>
      </c>
      <c r="B37" s="24"/>
      <c r="C37" s="24" t="s">
        <v>34</v>
      </c>
      <c r="D37" s="24"/>
      <c r="E37" s="33">
        <v>14347</v>
      </c>
      <c r="F37" s="33">
        <v>15060</v>
      </c>
      <c r="G37" s="33">
        <v>15368</v>
      </c>
      <c r="H37" s="33">
        <v>16112</v>
      </c>
      <c r="I37" s="33">
        <v>16499</v>
      </c>
      <c r="J37" s="33">
        <v>17878</v>
      </c>
      <c r="K37" s="33">
        <v>20791</v>
      </c>
      <c r="L37" s="33">
        <v>21708</v>
      </c>
      <c r="M37" s="33">
        <v>24256</v>
      </c>
      <c r="N37" s="33">
        <v>27747</v>
      </c>
      <c r="O37" s="33">
        <v>33401</v>
      </c>
      <c r="P37" s="33">
        <v>38971</v>
      </c>
      <c r="Q37" s="33">
        <v>44809</v>
      </c>
      <c r="R37" s="33">
        <v>52223</v>
      </c>
      <c r="S37" s="245">
        <v>59169</v>
      </c>
    </row>
    <row r="38" spans="1:20">
      <c r="A38" s="22">
        <v>35</v>
      </c>
      <c r="B38" s="24" t="s">
        <v>35</v>
      </c>
      <c r="C38" s="24"/>
      <c r="D38" s="3"/>
      <c r="E38" s="32">
        <f>SUM(E35:E37)</f>
        <v>201039</v>
      </c>
      <c r="F38" s="32">
        <f t="shared" ref="F38:M38" si="5">SUM(F35:F37)</f>
        <v>210676</v>
      </c>
      <c r="G38" s="32">
        <f t="shared" si="5"/>
        <v>216828</v>
      </c>
      <c r="H38" s="32">
        <f t="shared" si="5"/>
        <v>224055</v>
      </c>
      <c r="I38" s="32">
        <f t="shared" si="5"/>
        <v>231329</v>
      </c>
      <c r="J38" s="32">
        <f t="shared" si="5"/>
        <v>241411</v>
      </c>
      <c r="K38" s="32">
        <f t="shared" si="5"/>
        <v>254977</v>
      </c>
      <c r="L38" s="32">
        <f t="shared" si="5"/>
        <v>265603</v>
      </c>
      <c r="M38" s="32">
        <f t="shared" si="5"/>
        <v>280693</v>
      </c>
      <c r="N38" s="32">
        <f t="shared" ref="N38:S38" si="6">SUM(N35:N37)</f>
        <v>304124</v>
      </c>
      <c r="O38" s="32">
        <f t="shared" si="6"/>
        <v>321754</v>
      </c>
      <c r="P38" s="32">
        <f t="shared" si="6"/>
        <v>342258</v>
      </c>
      <c r="Q38" s="32">
        <f t="shared" si="6"/>
        <v>365326</v>
      </c>
      <c r="R38" s="32">
        <f t="shared" si="6"/>
        <v>390403</v>
      </c>
      <c r="S38" s="243">
        <f t="shared" si="6"/>
        <v>422298</v>
      </c>
    </row>
    <row r="39" spans="1:20">
      <c r="A39" s="22"/>
      <c r="B39" s="24"/>
      <c r="C39" s="24"/>
      <c r="D39" s="3"/>
      <c r="E39" s="32"/>
      <c r="F39" s="32"/>
      <c r="G39" s="32"/>
      <c r="H39" s="32"/>
      <c r="I39" s="32"/>
      <c r="J39" s="32"/>
      <c r="K39" s="32"/>
      <c r="L39" s="32"/>
      <c r="M39" s="32"/>
      <c r="N39" s="32"/>
      <c r="O39" s="32"/>
      <c r="P39" s="32"/>
      <c r="Q39" s="32"/>
      <c r="R39" s="32"/>
      <c r="S39" s="243"/>
    </row>
    <row r="40" spans="1:20">
      <c r="A40" s="22"/>
      <c r="B40" s="24" t="s">
        <v>49</v>
      </c>
      <c r="C40" s="24"/>
      <c r="D40" s="24"/>
      <c r="E40" s="32"/>
      <c r="F40" s="32"/>
      <c r="G40" s="32"/>
      <c r="H40" s="32"/>
      <c r="I40" s="32"/>
      <c r="J40" s="32"/>
      <c r="K40" s="32"/>
      <c r="L40" s="32"/>
      <c r="M40" s="32"/>
      <c r="N40" s="32"/>
      <c r="O40" s="32"/>
      <c r="P40" s="32"/>
      <c r="Q40" s="32"/>
      <c r="R40" s="32"/>
      <c r="S40" s="243"/>
    </row>
    <row r="41" spans="1:20">
      <c r="A41" s="22">
        <v>36</v>
      </c>
      <c r="B41" s="24"/>
      <c r="C41" s="24" t="s">
        <v>16</v>
      </c>
      <c r="D41" s="24"/>
      <c r="E41" s="32">
        <v>6192</v>
      </c>
      <c r="F41" s="32">
        <v>6220</v>
      </c>
      <c r="G41" s="32">
        <v>6115</v>
      </c>
      <c r="H41" s="32">
        <v>6495</v>
      </c>
      <c r="I41" s="32">
        <v>6659</v>
      </c>
      <c r="J41" s="32">
        <v>6924</v>
      </c>
      <c r="K41" s="32">
        <v>7249</v>
      </c>
      <c r="L41" s="32">
        <v>7427</v>
      </c>
      <c r="M41" s="32">
        <v>7581</v>
      </c>
      <c r="N41" s="32">
        <v>7807</v>
      </c>
      <c r="O41" s="32">
        <v>7912</v>
      </c>
      <c r="P41" s="32">
        <v>8286</v>
      </c>
      <c r="Q41" s="32">
        <v>8677</v>
      </c>
      <c r="R41" s="32">
        <f>8920+168</f>
        <v>9088</v>
      </c>
      <c r="S41" s="243">
        <v>9521</v>
      </c>
    </row>
    <row r="42" spans="1:20">
      <c r="A42" s="22">
        <v>37</v>
      </c>
      <c r="B42" s="24"/>
      <c r="C42" s="24" t="s">
        <v>33</v>
      </c>
      <c r="D42" s="24"/>
      <c r="E42" s="32">
        <v>47423</v>
      </c>
      <c r="F42" s="32">
        <v>51645</v>
      </c>
      <c r="G42" s="32">
        <v>55845</v>
      </c>
      <c r="H42" s="32">
        <v>60239</v>
      </c>
      <c r="I42" s="32">
        <v>64817</v>
      </c>
      <c r="J42" s="32">
        <v>69428</v>
      </c>
      <c r="K42" s="32">
        <v>74019</v>
      </c>
      <c r="L42" s="32">
        <v>77997</v>
      </c>
      <c r="M42" s="32">
        <v>81405</v>
      </c>
      <c r="N42" s="32">
        <v>84021</v>
      </c>
      <c r="O42" s="32">
        <v>89620</v>
      </c>
      <c r="P42" s="32">
        <v>97489</v>
      </c>
      <c r="Q42" s="32">
        <v>102678</v>
      </c>
      <c r="R42" s="32">
        <v>108662</v>
      </c>
      <c r="S42" s="243">
        <v>114795</v>
      </c>
    </row>
    <row r="43" spans="1:20">
      <c r="A43" s="22">
        <v>38</v>
      </c>
      <c r="B43" s="24"/>
      <c r="C43" s="24" t="s">
        <v>34</v>
      </c>
      <c r="D43" s="24"/>
      <c r="E43" s="32">
        <v>5661</v>
      </c>
      <c r="F43" s="32">
        <v>5695</v>
      </c>
      <c r="G43" s="32">
        <v>6442</v>
      </c>
      <c r="H43" s="32">
        <v>7446</v>
      </c>
      <c r="I43" s="32">
        <v>6984</v>
      </c>
      <c r="J43" s="32">
        <v>7208</v>
      </c>
      <c r="K43" s="32">
        <v>7230</v>
      </c>
      <c r="L43" s="32">
        <v>7136</v>
      </c>
      <c r="M43" s="32">
        <v>8309</v>
      </c>
      <c r="N43" s="32">
        <v>8882</v>
      </c>
      <c r="O43" s="32">
        <v>10722</v>
      </c>
      <c r="P43" s="32">
        <v>10926</v>
      </c>
      <c r="Q43" s="32">
        <v>12186</v>
      </c>
      <c r="R43" s="32">
        <f>10772+113+28+3811</f>
        <v>14724</v>
      </c>
      <c r="S43" s="243">
        <v>17429</v>
      </c>
    </row>
    <row r="44" spans="1:20">
      <c r="A44" s="22">
        <v>39</v>
      </c>
      <c r="B44" s="24" t="s">
        <v>53</v>
      </c>
      <c r="C44" s="24"/>
      <c r="D44" s="3"/>
      <c r="E44" s="34">
        <f t="shared" ref="E44:M44" si="7">SUM(E41:E43)</f>
        <v>59276</v>
      </c>
      <c r="F44" s="34">
        <f t="shared" si="7"/>
        <v>63560</v>
      </c>
      <c r="G44" s="34">
        <f t="shared" si="7"/>
        <v>68402</v>
      </c>
      <c r="H44" s="34">
        <f t="shared" si="7"/>
        <v>74180</v>
      </c>
      <c r="I44" s="34">
        <f t="shared" si="7"/>
        <v>78460</v>
      </c>
      <c r="J44" s="34">
        <f t="shared" si="7"/>
        <v>83560</v>
      </c>
      <c r="K44" s="34">
        <f t="shared" si="7"/>
        <v>88498</v>
      </c>
      <c r="L44" s="34">
        <f t="shared" si="7"/>
        <v>92560</v>
      </c>
      <c r="M44" s="34">
        <f t="shared" si="7"/>
        <v>97295</v>
      </c>
      <c r="N44" s="34">
        <f t="shared" ref="N44:S44" si="8">SUM(N41:N43)</f>
        <v>100710</v>
      </c>
      <c r="O44" s="34">
        <f t="shared" si="8"/>
        <v>108254</v>
      </c>
      <c r="P44" s="34">
        <f t="shared" si="8"/>
        <v>116701</v>
      </c>
      <c r="Q44" s="34">
        <f t="shared" si="8"/>
        <v>123541</v>
      </c>
      <c r="R44" s="34">
        <f t="shared" si="8"/>
        <v>132474</v>
      </c>
      <c r="S44" s="375">
        <f t="shared" si="8"/>
        <v>141745</v>
      </c>
    </row>
    <row r="45" spans="1:20">
      <c r="A45" s="22">
        <v>40</v>
      </c>
      <c r="B45" s="24" t="s">
        <v>44</v>
      </c>
      <c r="C45" s="24"/>
      <c r="D45" s="24"/>
      <c r="E45" s="35">
        <f t="shared" ref="E45:M45" si="9">E38-E44</f>
        <v>141763</v>
      </c>
      <c r="F45" s="35">
        <f t="shared" si="9"/>
        <v>147116</v>
      </c>
      <c r="G45" s="35">
        <f t="shared" si="9"/>
        <v>148426</v>
      </c>
      <c r="H45" s="35">
        <f t="shared" si="9"/>
        <v>149875</v>
      </c>
      <c r="I45" s="35">
        <f t="shared" si="9"/>
        <v>152869</v>
      </c>
      <c r="J45" s="35">
        <f t="shared" si="9"/>
        <v>157851</v>
      </c>
      <c r="K45" s="35">
        <f t="shared" si="9"/>
        <v>166479</v>
      </c>
      <c r="L45" s="35">
        <f t="shared" si="9"/>
        <v>173043</v>
      </c>
      <c r="M45" s="35">
        <f t="shared" si="9"/>
        <v>183398</v>
      </c>
      <c r="N45" s="35">
        <f t="shared" ref="N45:S45" si="10">N38-N44</f>
        <v>203414</v>
      </c>
      <c r="O45" s="35">
        <f t="shared" si="10"/>
        <v>213500</v>
      </c>
      <c r="P45" s="35">
        <f t="shared" si="10"/>
        <v>225557</v>
      </c>
      <c r="Q45" s="35">
        <f t="shared" si="10"/>
        <v>241785</v>
      </c>
      <c r="R45" s="35">
        <f t="shared" si="10"/>
        <v>257929</v>
      </c>
      <c r="S45" s="246">
        <f t="shared" si="10"/>
        <v>280553</v>
      </c>
    </row>
    <row r="46" spans="1:20">
      <c r="A46" s="25">
        <v>41</v>
      </c>
      <c r="B46" s="26" t="s">
        <v>42</v>
      </c>
      <c r="C46" s="26"/>
      <c r="D46" s="26"/>
      <c r="E46" s="33">
        <v>-13136</v>
      </c>
      <c r="F46" s="33">
        <v>-14312</v>
      </c>
      <c r="G46" s="33">
        <v>-15831</v>
      </c>
      <c r="H46" s="33">
        <v>-22438</v>
      </c>
      <c r="I46" s="33">
        <v>-26715</v>
      </c>
      <c r="J46" s="33">
        <v>-23705</v>
      </c>
      <c r="K46" s="33">
        <v>-24592</v>
      </c>
      <c r="L46" s="33">
        <v>-26754</v>
      </c>
      <c r="M46" s="33">
        <v>-28892</v>
      </c>
      <c r="N46" s="33">
        <v>-30967</v>
      </c>
      <c r="O46" s="33">
        <v>-36762</v>
      </c>
      <c r="P46" s="33">
        <v>-42004</v>
      </c>
      <c r="Q46" s="33">
        <v>-46498</v>
      </c>
      <c r="R46" s="33">
        <f>-49832-338</f>
        <v>-50170</v>
      </c>
      <c r="S46" s="245">
        <v>-54652</v>
      </c>
    </row>
    <row r="47" spans="1:20">
      <c r="A47" s="25">
        <v>42</v>
      </c>
      <c r="B47" s="26" t="s">
        <v>50</v>
      </c>
      <c r="C47" s="26"/>
      <c r="D47" s="26"/>
      <c r="E47" s="35">
        <f t="shared" ref="E47:M47" si="11">E45+E46</f>
        <v>128627</v>
      </c>
      <c r="F47" s="35">
        <f t="shared" si="11"/>
        <v>132804</v>
      </c>
      <c r="G47" s="35">
        <f t="shared" si="11"/>
        <v>132595</v>
      </c>
      <c r="H47" s="35">
        <f t="shared" si="11"/>
        <v>127437</v>
      </c>
      <c r="I47" s="35">
        <f t="shared" si="11"/>
        <v>126154</v>
      </c>
      <c r="J47" s="35">
        <f t="shared" si="11"/>
        <v>134146</v>
      </c>
      <c r="K47" s="35">
        <f t="shared" si="11"/>
        <v>141887</v>
      </c>
      <c r="L47" s="35">
        <f t="shared" si="11"/>
        <v>146289</v>
      </c>
      <c r="M47" s="35">
        <f t="shared" si="11"/>
        <v>154506</v>
      </c>
      <c r="N47" s="35">
        <f t="shared" ref="N47:S47" si="12">N45+N46</f>
        <v>172447</v>
      </c>
      <c r="O47" s="35">
        <f t="shared" si="12"/>
        <v>176738</v>
      </c>
      <c r="P47" s="35">
        <f t="shared" si="12"/>
        <v>183553</v>
      </c>
      <c r="Q47" s="35">
        <f t="shared" si="12"/>
        <v>195287</v>
      </c>
      <c r="R47" s="35">
        <f t="shared" si="12"/>
        <v>207759</v>
      </c>
      <c r="S47" s="246">
        <f t="shared" si="12"/>
        <v>225901</v>
      </c>
    </row>
    <row r="48" spans="1:20">
      <c r="A48" s="22">
        <v>43</v>
      </c>
      <c r="B48" s="24" t="s">
        <v>36</v>
      </c>
      <c r="C48" s="24"/>
      <c r="D48" s="24"/>
      <c r="E48" s="32">
        <v>2810</v>
      </c>
      <c r="F48" s="32">
        <v>3190</v>
      </c>
      <c r="G48" s="32">
        <v>4191</v>
      </c>
      <c r="H48" s="32">
        <v>4568</v>
      </c>
      <c r="I48" s="32">
        <v>4807</v>
      </c>
      <c r="J48" s="32">
        <v>6936</v>
      </c>
      <c r="K48" s="32">
        <v>7628</v>
      </c>
      <c r="L48" s="32">
        <v>5607</v>
      </c>
      <c r="M48" s="32">
        <v>15327</v>
      </c>
      <c r="N48" s="32">
        <v>8440</v>
      </c>
      <c r="O48" s="32">
        <v>10226</v>
      </c>
      <c r="P48" s="32">
        <v>13753</v>
      </c>
      <c r="Q48" s="32">
        <v>13107</v>
      </c>
      <c r="R48" s="32">
        <f>4027+7675</f>
        <v>11702</v>
      </c>
      <c r="S48" s="243">
        <v>14762</v>
      </c>
    </row>
    <row r="49" spans="1:19">
      <c r="A49" s="25">
        <v>44</v>
      </c>
      <c r="B49" s="26" t="s">
        <v>37</v>
      </c>
      <c r="C49" s="26"/>
      <c r="D49" s="26"/>
      <c r="E49" s="35">
        <v>-517</v>
      </c>
      <c r="F49" s="35">
        <v>-470</v>
      </c>
      <c r="G49" s="35">
        <v>-424</v>
      </c>
      <c r="H49" s="35">
        <v>-378</v>
      </c>
      <c r="I49" s="35">
        <v>-243</v>
      </c>
      <c r="J49" s="35">
        <v>-286</v>
      </c>
      <c r="K49" s="35">
        <v>-153</v>
      </c>
      <c r="L49" s="35">
        <v>-197</v>
      </c>
      <c r="M49" s="35">
        <v>-152</v>
      </c>
      <c r="N49" s="35">
        <v>-109</v>
      </c>
      <c r="O49" s="35">
        <v>-44</v>
      </c>
      <c r="P49" s="35">
        <v>-14</v>
      </c>
      <c r="Q49" s="35">
        <v>0</v>
      </c>
      <c r="R49" s="35">
        <v>0</v>
      </c>
      <c r="S49" s="246">
        <v>0</v>
      </c>
    </row>
    <row r="50" spans="1:19">
      <c r="A50" s="25">
        <v>45</v>
      </c>
      <c r="B50" s="26" t="s">
        <v>54</v>
      </c>
      <c r="C50" s="26"/>
      <c r="D50" s="26"/>
      <c r="E50" s="35"/>
      <c r="F50" s="35"/>
      <c r="G50" s="35"/>
      <c r="H50" s="35"/>
      <c r="I50" s="35"/>
      <c r="J50" s="35"/>
      <c r="K50" s="35"/>
      <c r="L50" s="35"/>
      <c r="M50" s="35"/>
      <c r="N50" s="35"/>
      <c r="O50" s="35"/>
      <c r="P50" s="35">
        <v>-1012</v>
      </c>
      <c r="Q50" s="35">
        <v>-816</v>
      </c>
      <c r="R50" s="35">
        <f>-12-320</f>
        <v>-332</v>
      </c>
      <c r="S50" s="246">
        <v>-479</v>
      </c>
    </row>
    <row r="51" spans="1:19">
      <c r="A51" s="22">
        <v>46</v>
      </c>
      <c r="B51" s="24" t="s">
        <v>45</v>
      </c>
      <c r="C51" s="24"/>
      <c r="D51" s="24"/>
      <c r="E51" s="33">
        <v>0</v>
      </c>
      <c r="F51" s="33">
        <v>0</v>
      </c>
      <c r="G51" s="33">
        <v>0</v>
      </c>
      <c r="H51" s="33">
        <v>0</v>
      </c>
      <c r="I51" s="33">
        <v>0</v>
      </c>
      <c r="J51" s="33">
        <v>0</v>
      </c>
      <c r="K51" s="33">
        <v>0</v>
      </c>
      <c r="L51" s="33">
        <v>0</v>
      </c>
      <c r="M51" s="33">
        <v>0</v>
      </c>
      <c r="N51" s="33">
        <v>0</v>
      </c>
      <c r="O51" s="33">
        <v>0</v>
      </c>
      <c r="P51" s="33">
        <v>0</v>
      </c>
      <c r="Q51" s="33">
        <v>0</v>
      </c>
      <c r="R51" s="33">
        <v>5695</v>
      </c>
      <c r="S51" s="245">
        <v>10073</v>
      </c>
    </row>
    <row r="52" spans="1:19">
      <c r="A52" s="22"/>
      <c r="B52" s="3"/>
      <c r="C52" s="3"/>
      <c r="D52" s="3"/>
      <c r="E52" s="4"/>
      <c r="F52" s="4"/>
      <c r="G52" s="4"/>
      <c r="H52" s="4"/>
      <c r="I52" s="4"/>
      <c r="J52" s="4"/>
      <c r="K52" s="4"/>
      <c r="L52" s="4"/>
      <c r="M52" s="4"/>
      <c r="N52" s="4"/>
      <c r="O52" s="4"/>
      <c r="P52" s="4"/>
      <c r="Q52" s="4"/>
      <c r="R52" s="4"/>
      <c r="S52" s="29"/>
    </row>
    <row r="53" spans="1:19">
      <c r="A53" s="22"/>
      <c r="B53" s="3"/>
      <c r="C53" s="3"/>
      <c r="D53" s="3"/>
      <c r="E53" s="32"/>
      <c r="F53" s="32"/>
      <c r="G53" s="32"/>
      <c r="H53" s="32"/>
      <c r="I53" s="32"/>
      <c r="J53" s="32"/>
      <c r="K53" s="32"/>
      <c r="L53" s="32"/>
      <c r="M53" s="32"/>
      <c r="N53" s="32"/>
      <c r="O53" s="32"/>
      <c r="P53" s="32"/>
      <c r="Q53" s="32"/>
      <c r="R53" s="32"/>
      <c r="S53" s="243"/>
    </row>
    <row r="54" spans="1:19" ht="13.5" thickBot="1">
      <c r="A54" s="5">
        <v>47</v>
      </c>
      <c r="B54" s="37" t="s">
        <v>38</v>
      </c>
      <c r="C54" s="37"/>
      <c r="D54" s="37"/>
      <c r="E54" s="38">
        <f t="shared" ref="E54:M54" si="13">SUM(E47:E51)</f>
        <v>130920</v>
      </c>
      <c r="F54" s="38">
        <f t="shared" si="13"/>
        <v>135524</v>
      </c>
      <c r="G54" s="38">
        <f t="shared" si="13"/>
        <v>136362</v>
      </c>
      <c r="H54" s="38">
        <f t="shared" si="13"/>
        <v>131627</v>
      </c>
      <c r="I54" s="38">
        <f t="shared" si="13"/>
        <v>130718</v>
      </c>
      <c r="J54" s="38">
        <f t="shared" si="13"/>
        <v>140796</v>
      </c>
      <c r="K54" s="38">
        <f t="shared" si="13"/>
        <v>149362</v>
      </c>
      <c r="L54" s="38">
        <f t="shared" si="13"/>
        <v>151699</v>
      </c>
      <c r="M54" s="38">
        <f t="shared" si="13"/>
        <v>169681</v>
      </c>
      <c r="N54" s="38">
        <f t="shared" ref="N54:S54" si="14">SUM(N47:N51)</f>
        <v>180778</v>
      </c>
      <c r="O54" s="38">
        <f t="shared" si="14"/>
        <v>186920</v>
      </c>
      <c r="P54" s="38">
        <f t="shared" si="14"/>
        <v>196280</v>
      </c>
      <c r="Q54" s="38">
        <f t="shared" si="14"/>
        <v>207578</v>
      </c>
      <c r="R54" s="38">
        <f t="shared" si="14"/>
        <v>224824</v>
      </c>
      <c r="S54" s="376">
        <f t="shared" si="14"/>
        <v>250257</v>
      </c>
    </row>
    <row r="55" spans="1:19" ht="13.5" thickTop="1">
      <c r="A55" s="103"/>
      <c r="B55" s="104"/>
      <c r="C55" s="104"/>
      <c r="D55" s="104"/>
      <c r="E55" s="111"/>
      <c r="F55" s="105"/>
      <c r="G55" s="105"/>
      <c r="H55" s="105"/>
      <c r="I55" s="105"/>
      <c r="J55" s="105"/>
      <c r="K55" s="105"/>
      <c r="L55" s="105"/>
      <c r="M55" s="105"/>
      <c r="N55" s="105"/>
      <c r="O55" s="105"/>
      <c r="P55" s="105"/>
      <c r="Q55" s="105"/>
    </row>
    <row r="56" spans="1:19">
      <c r="E56" t="str">
        <f>IF('Cost Trends'!F91=E54,"","check total")</f>
        <v/>
      </c>
      <c r="F56" t="str">
        <f>IF('Cost Trends'!G91=F54,"","check total")</f>
        <v/>
      </c>
      <c r="G56" t="str">
        <f>IF('Cost Trends'!H91=G54,"","check total")</f>
        <v/>
      </c>
      <c r="H56" t="str">
        <f>IF('Cost Trends'!I91=H54,"","check total")</f>
        <v/>
      </c>
      <c r="I56" t="str">
        <f>IF('Cost Trends'!J91=I54,"","check total")</f>
        <v/>
      </c>
      <c r="J56" t="str">
        <f>IF('Cost Trends'!K91=J54,"","check total")</f>
        <v/>
      </c>
      <c r="K56" t="str">
        <f>IF('Cost Trends'!L91=K54,"","check total")</f>
        <v/>
      </c>
      <c r="L56" t="str">
        <f>IF('Cost Trends'!M91=L54,"","check total")</f>
        <v/>
      </c>
      <c r="M56" t="str">
        <f>IF('Cost Trends'!N91=M54,"","check total")</f>
        <v/>
      </c>
      <c r="N56" t="str">
        <f>IF('Cost Trends'!O91=N54,"","check total")</f>
        <v/>
      </c>
      <c r="O56" t="str">
        <f>IF('Cost Trends'!P91=O54,"","check total")</f>
        <v/>
      </c>
      <c r="P56" t="str">
        <f>IF('Cost Trends'!Q91=P54,"","check total")</f>
        <v/>
      </c>
      <c r="Q56" t="str">
        <f>IF('Cost Trends'!R91=Q54,"","check total")</f>
        <v/>
      </c>
    </row>
    <row r="58" spans="1:19">
      <c r="B58" s="106" t="s">
        <v>139</v>
      </c>
    </row>
    <row r="59" spans="1:19">
      <c r="A59" s="70" t="s">
        <v>141</v>
      </c>
      <c r="D59" s="107" t="s">
        <v>142</v>
      </c>
      <c r="E59" s="101">
        <v>181</v>
      </c>
      <c r="F59" s="101">
        <v>164</v>
      </c>
      <c r="G59" s="101">
        <v>148</v>
      </c>
      <c r="H59" s="101">
        <v>132</v>
      </c>
      <c r="I59" s="101">
        <v>85</v>
      </c>
      <c r="J59" s="101">
        <v>100</v>
      </c>
      <c r="K59" s="101">
        <v>53</v>
      </c>
      <c r="L59" s="101">
        <v>69</v>
      </c>
      <c r="M59" s="101">
        <v>53</v>
      </c>
      <c r="N59" s="101">
        <v>38</v>
      </c>
      <c r="O59" s="101">
        <v>0</v>
      </c>
      <c r="P59" s="101">
        <v>0</v>
      </c>
      <c r="Q59" s="101">
        <v>0</v>
      </c>
      <c r="R59" s="101">
        <v>0</v>
      </c>
      <c r="S59" s="247">
        <v>0</v>
      </c>
    </row>
    <row r="60" spans="1:19">
      <c r="A60" s="70" t="s">
        <v>152</v>
      </c>
      <c r="D60" s="107" t="s">
        <v>144</v>
      </c>
      <c r="E60" s="101">
        <v>3576</v>
      </c>
      <c r="F60" s="101">
        <v>3142</v>
      </c>
      <c r="G60" s="101">
        <v>2709</v>
      </c>
      <c r="H60" s="101">
        <v>2275</v>
      </c>
      <c r="I60" s="101">
        <v>1120</v>
      </c>
      <c r="J60" s="101">
        <v>1457</v>
      </c>
      <c r="K60" s="101">
        <v>1120</v>
      </c>
      <c r="L60" s="101">
        <v>784</v>
      </c>
      <c r="M60" s="101">
        <v>448</v>
      </c>
      <c r="N60" s="101">
        <v>0</v>
      </c>
      <c r="O60" s="101">
        <v>0</v>
      </c>
      <c r="P60" s="101">
        <v>0</v>
      </c>
      <c r="Q60" s="101">
        <v>0</v>
      </c>
      <c r="R60" s="101">
        <v>0</v>
      </c>
      <c r="S60" s="247">
        <v>0</v>
      </c>
    </row>
    <row r="61" spans="1:19">
      <c r="A61" s="70" t="s">
        <v>143</v>
      </c>
      <c r="D61" s="107" t="s">
        <v>144</v>
      </c>
      <c r="E61" s="101">
        <v>-15</v>
      </c>
      <c r="F61" s="101">
        <v>-2</v>
      </c>
      <c r="G61" s="101">
        <v>-2</v>
      </c>
      <c r="H61" s="101">
        <v>-14</v>
      </c>
      <c r="I61" s="101">
        <v>-1</v>
      </c>
      <c r="J61" s="101">
        <v>-28</v>
      </c>
      <c r="K61" s="101">
        <v>-75</v>
      </c>
      <c r="L61" s="101">
        <v>-64</v>
      </c>
      <c r="M61" s="101">
        <v>-49</v>
      </c>
      <c r="N61" s="101">
        <v>-38</v>
      </c>
      <c r="O61" s="101">
        <v>-31</v>
      </c>
      <c r="P61" s="101">
        <v>-22</v>
      </c>
      <c r="Q61" s="101">
        <v>-18</v>
      </c>
      <c r="R61" s="101">
        <v>-12</v>
      </c>
      <c r="S61" s="247">
        <v>-12</v>
      </c>
    </row>
    <row r="62" spans="1:19">
      <c r="A62" s="70" t="s">
        <v>145</v>
      </c>
      <c r="D62" s="107" t="s">
        <v>144</v>
      </c>
      <c r="E62" s="101"/>
      <c r="F62" s="101"/>
      <c r="G62" s="101"/>
      <c r="H62" s="101"/>
      <c r="I62" s="101"/>
      <c r="J62" s="101"/>
      <c r="K62" s="101"/>
      <c r="L62" s="101"/>
      <c r="M62" s="101"/>
      <c r="N62" s="101">
        <v>-1359</v>
      </c>
      <c r="O62" s="101">
        <v>-1132</v>
      </c>
      <c r="P62" s="101">
        <v>-990</v>
      </c>
      <c r="Q62" s="101">
        <v>-798</v>
      </c>
      <c r="R62" s="101">
        <v>-320</v>
      </c>
      <c r="S62" s="247">
        <v>-467</v>
      </c>
    </row>
    <row r="63" spans="1:19">
      <c r="A63" s="70"/>
    </row>
    <row r="64" spans="1:19">
      <c r="A64" s="70" t="s">
        <v>5</v>
      </c>
      <c r="E64" s="100">
        <f t="shared" ref="E64:R64" si="15">SUM(E59:E62)</f>
        <v>3742</v>
      </c>
      <c r="F64" s="100">
        <f t="shared" si="15"/>
        <v>3304</v>
      </c>
      <c r="G64" s="100">
        <f t="shared" si="15"/>
        <v>2855</v>
      </c>
      <c r="H64" s="100">
        <f t="shared" si="15"/>
        <v>2393</v>
      </c>
      <c r="I64" s="100">
        <f t="shared" si="15"/>
        <v>1204</v>
      </c>
      <c r="J64" s="100">
        <f t="shared" si="15"/>
        <v>1529</v>
      </c>
      <c r="K64" s="100">
        <f t="shared" si="15"/>
        <v>1098</v>
      </c>
      <c r="L64" s="100">
        <f t="shared" si="15"/>
        <v>789</v>
      </c>
      <c r="M64" s="100">
        <f t="shared" si="15"/>
        <v>452</v>
      </c>
      <c r="N64" s="100">
        <f t="shared" si="15"/>
        <v>-1359</v>
      </c>
      <c r="O64" s="100">
        <f t="shared" si="15"/>
        <v>-1163</v>
      </c>
      <c r="P64" s="100">
        <f t="shared" si="15"/>
        <v>-1012</v>
      </c>
      <c r="Q64" s="100">
        <f t="shared" si="15"/>
        <v>-816</v>
      </c>
      <c r="R64" s="100">
        <f t="shared" si="15"/>
        <v>-332</v>
      </c>
      <c r="S64" s="371">
        <f t="shared" ref="S64" si="16">SUM(S59:S62)</f>
        <v>-479</v>
      </c>
    </row>
    <row r="65" spans="1:19">
      <c r="A65" s="70"/>
      <c r="E65" s="100"/>
      <c r="F65" s="100"/>
      <c r="G65" s="100"/>
      <c r="H65" s="100"/>
      <c r="I65" s="100"/>
      <c r="J65" s="100"/>
      <c r="K65" s="100"/>
      <c r="L65" s="100"/>
      <c r="M65" s="100"/>
      <c r="N65" s="100"/>
      <c r="O65" s="100"/>
      <c r="P65" s="100"/>
      <c r="Q65" s="100"/>
    </row>
    <row r="66" spans="1:19">
      <c r="A66" s="70" t="s">
        <v>33</v>
      </c>
      <c r="E66" s="100">
        <f>SUM(E60:E62)</f>
        <v>3561</v>
      </c>
      <c r="F66" s="100">
        <f t="shared" ref="F66:O66" si="17">SUM(F60:F62)</f>
        <v>3140</v>
      </c>
      <c r="G66" s="100">
        <f t="shared" si="17"/>
        <v>2707</v>
      </c>
      <c r="H66" s="100">
        <f t="shared" si="17"/>
        <v>2261</v>
      </c>
      <c r="I66" s="100">
        <f t="shared" si="17"/>
        <v>1119</v>
      </c>
      <c r="J66" s="100">
        <f t="shared" si="17"/>
        <v>1429</v>
      </c>
      <c r="K66" s="100">
        <f t="shared" si="17"/>
        <v>1045</v>
      </c>
      <c r="L66" s="100">
        <f t="shared" si="17"/>
        <v>720</v>
      </c>
      <c r="M66" s="100">
        <f t="shared" si="17"/>
        <v>399</v>
      </c>
      <c r="N66" s="100">
        <f t="shared" si="17"/>
        <v>-1397</v>
      </c>
      <c r="O66" s="100">
        <f t="shared" si="17"/>
        <v>-1163</v>
      </c>
      <c r="P66" s="100"/>
      <c r="Q66" s="100"/>
    </row>
    <row r="67" spans="1:19">
      <c r="A67" s="70" t="s">
        <v>142</v>
      </c>
      <c r="E67" s="100">
        <f>E59</f>
        <v>181</v>
      </c>
      <c r="F67" s="100">
        <f t="shared" ref="F67:O67" si="18">F59</f>
        <v>164</v>
      </c>
      <c r="G67" s="100">
        <f t="shared" si="18"/>
        <v>148</v>
      </c>
      <c r="H67" s="100">
        <f t="shared" si="18"/>
        <v>132</v>
      </c>
      <c r="I67" s="100">
        <f t="shared" si="18"/>
        <v>85</v>
      </c>
      <c r="J67" s="100">
        <f t="shared" si="18"/>
        <v>100</v>
      </c>
      <c r="K67" s="100">
        <f t="shared" si="18"/>
        <v>53</v>
      </c>
      <c r="L67" s="100">
        <f t="shared" si="18"/>
        <v>69</v>
      </c>
      <c r="M67" s="100">
        <f t="shared" si="18"/>
        <v>53</v>
      </c>
      <c r="N67" s="100">
        <f t="shared" si="18"/>
        <v>38</v>
      </c>
      <c r="O67" s="100">
        <f t="shared" si="18"/>
        <v>0</v>
      </c>
      <c r="P67" s="100"/>
      <c r="Q67" s="100"/>
    </row>
    <row r="68" spans="1:19">
      <c r="A68" s="70" t="s">
        <v>140</v>
      </c>
      <c r="E68" s="100"/>
      <c r="F68" s="100"/>
      <c r="G68" s="100"/>
      <c r="H68" s="100"/>
      <c r="I68" s="100"/>
      <c r="J68" s="100"/>
      <c r="K68" s="100"/>
      <c r="L68" s="100"/>
      <c r="M68" s="100"/>
      <c r="N68" s="100"/>
      <c r="O68" s="100"/>
      <c r="P68" s="100">
        <f>SUM(P59:P62)</f>
        <v>-1012</v>
      </c>
      <c r="Q68" s="100">
        <f>SUM(Q59:Q62)</f>
        <v>-816</v>
      </c>
      <c r="R68" s="100">
        <f>SUM(R59:R62)</f>
        <v>-332</v>
      </c>
      <c r="S68" s="371">
        <f>SUM(S59:S62)</f>
        <v>-479</v>
      </c>
    </row>
  </sheetData>
  <pageMargins left="0.7" right="0.7" top="0.75" bottom="0.75" header="0.3" footer="0.55000000000000004"/>
  <pageSetup scale="67" orientation="landscape" r:id="rId1"/>
  <headerFooter>
    <oddFooter>&amp;C&amp;F / &amp;A&amp;RPage &amp;P</oddFooter>
  </headerFooter>
  <rowBreaks count="1" manualBreakCount="1">
    <brk id="3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3"/>
  <sheetViews>
    <sheetView view="pageLayout" zoomScaleNormal="100" zoomScaleSheetLayoutView="115" workbookViewId="0">
      <selection activeCell="B18" sqref="B18:F18"/>
    </sheetView>
  </sheetViews>
  <sheetFormatPr defaultRowHeight="12.75"/>
  <cols>
    <col min="4" max="6" width="9.28515625" bestFit="1" customWidth="1"/>
    <col min="8" max="8" width="2.140625" customWidth="1"/>
    <col min="9" max="9" width="2.28515625" customWidth="1"/>
  </cols>
  <sheetData>
    <row r="1" spans="1:9" ht="15">
      <c r="A1" s="152"/>
      <c r="B1" s="152"/>
      <c r="C1" s="152"/>
      <c r="D1" s="152"/>
      <c r="E1" s="152"/>
      <c r="F1" s="152"/>
      <c r="G1" s="152"/>
      <c r="H1" s="152"/>
      <c r="I1" s="152"/>
    </row>
    <row r="2" spans="1:9" ht="15.75" thickBot="1">
      <c r="A2" s="526"/>
      <c r="B2" s="526"/>
      <c r="C2" s="526"/>
      <c r="D2" s="526"/>
      <c r="E2" s="526"/>
      <c r="F2" s="526"/>
      <c r="G2" s="526"/>
      <c r="H2" s="152"/>
      <c r="I2" s="152"/>
    </row>
    <row r="3" spans="1:9" ht="15">
      <c r="A3" s="527" t="s">
        <v>501</v>
      </c>
      <c r="B3" s="528"/>
      <c r="C3" s="528"/>
      <c r="D3" s="528"/>
      <c r="E3" s="528"/>
      <c r="F3" s="528"/>
      <c r="G3" s="529"/>
      <c r="H3" s="152"/>
      <c r="I3" s="152"/>
    </row>
    <row r="4" spans="1:9" ht="15.75" customHeight="1">
      <c r="A4" s="530" t="s">
        <v>219</v>
      </c>
      <c r="B4" s="525"/>
      <c r="C4" s="525"/>
      <c r="D4" s="525"/>
      <c r="E4" s="525"/>
      <c r="F4" s="525"/>
      <c r="G4" s="531"/>
      <c r="H4" s="152"/>
      <c r="I4" s="152"/>
    </row>
    <row r="5" spans="1:9" ht="15.75" thickBot="1">
      <c r="A5" s="532"/>
      <c r="B5" s="533"/>
      <c r="C5" s="533"/>
      <c r="D5" s="533"/>
      <c r="E5" s="533"/>
      <c r="F5" s="533"/>
      <c r="G5" s="534"/>
      <c r="H5" s="152"/>
      <c r="I5" s="152"/>
    </row>
    <row r="6" spans="1:9" ht="15">
      <c r="A6" s="153" t="s">
        <v>217</v>
      </c>
      <c r="B6" s="154"/>
      <c r="C6" s="154"/>
      <c r="D6" s="154"/>
      <c r="E6" s="154"/>
      <c r="F6" s="154"/>
      <c r="G6" s="155"/>
      <c r="H6" s="152"/>
      <c r="I6" s="152"/>
    </row>
    <row r="7" spans="1:9" ht="15">
      <c r="A7" s="157"/>
      <c r="B7" s="158"/>
      <c r="C7" s="158"/>
      <c r="D7" s="159"/>
      <c r="E7" s="160"/>
      <c r="F7" s="159"/>
      <c r="G7" s="161"/>
      <c r="H7" s="152"/>
      <c r="I7" s="152"/>
    </row>
    <row r="8" spans="1:9" ht="15">
      <c r="A8" s="157"/>
      <c r="B8" s="163"/>
      <c r="C8" s="159"/>
      <c r="D8" s="159" t="s">
        <v>205</v>
      </c>
      <c r="E8" s="159"/>
      <c r="F8" s="159" t="s">
        <v>108</v>
      </c>
      <c r="G8" s="161"/>
      <c r="H8" s="152"/>
      <c r="I8" s="152"/>
    </row>
    <row r="9" spans="1:9" ht="15">
      <c r="A9" s="157"/>
      <c r="B9" s="166" t="s">
        <v>206</v>
      </c>
      <c r="C9" s="159"/>
      <c r="D9" s="166" t="s">
        <v>207</v>
      </c>
      <c r="E9" s="166" t="s">
        <v>163</v>
      </c>
      <c r="F9" s="166" t="s">
        <v>163</v>
      </c>
      <c r="G9" s="161"/>
      <c r="H9" s="152"/>
      <c r="I9" s="152"/>
    </row>
    <row r="10" spans="1:9" ht="15">
      <c r="A10" s="157"/>
      <c r="B10" s="158"/>
      <c r="C10" s="158"/>
      <c r="D10" s="158"/>
      <c r="E10" s="160"/>
      <c r="F10" s="158"/>
      <c r="G10" s="167"/>
      <c r="H10" s="152"/>
      <c r="I10" s="152"/>
    </row>
    <row r="11" spans="1:9" ht="15">
      <c r="A11" s="157"/>
      <c r="B11" s="163" t="s">
        <v>209</v>
      </c>
      <c r="C11" s="169"/>
      <c r="D11" s="170">
        <f>100%-D13</f>
        <v>0.51500000000000001</v>
      </c>
      <c r="E11" s="170">
        <v>5.1999999999999998E-2</v>
      </c>
      <c r="F11" s="170">
        <f>ROUND(D11*E11,4)</f>
        <v>2.6800000000000001E-2</v>
      </c>
      <c r="G11" s="172"/>
      <c r="H11" s="152"/>
      <c r="I11" s="152"/>
    </row>
    <row r="12" spans="1:9" ht="15">
      <c r="A12" s="157"/>
      <c r="B12" s="163"/>
      <c r="C12" s="173"/>
      <c r="D12" s="170"/>
      <c r="E12" s="170"/>
      <c r="F12" s="170"/>
      <c r="G12" s="174"/>
      <c r="H12" s="152"/>
      <c r="I12" s="152"/>
    </row>
    <row r="13" spans="1:9" ht="15">
      <c r="A13" s="157"/>
      <c r="B13" s="163" t="s">
        <v>211</v>
      </c>
      <c r="C13" s="173"/>
      <c r="D13" s="170">
        <v>0.48499999999999999</v>
      </c>
      <c r="E13" s="170">
        <v>9.5000000000000001E-2</v>
      </c>
      <c r="F13" s="170">
        <f>ROUND(D13*E13,4)</f>
        <v>4.6100000000000002E-2</v>
      </c>
      <c r="G13" s="167"/>
      <c r="H13" s="152"/>
      <c r="I13" s="152"/>
    </row>
    <row r="14" spans="1:9" ht="15">
      <c r="A14" s="157"/>
      <c r="B14" s="163"/>
      <c r="C14" s="173"/>
      <c r="D14" s="175"/>
      <c r="E14" s="176"/>
      <c r="F14" s="170"/>
      <c r="G14" s="161"/>
      <c r="H14" s="152"/>
      <c r="I14" s="152"/>
    </row>
    <row r="15" spans="1:9" ht="15.75" thickBot="1">
      <c r="A15" s="157"/>
      <c r="B15" s="163" t="s">
        <v>5</v>
      </c>
      <c r="C15" s="169"/>
      <c r="D15" s="177">
        <f>SUM(D11:D13)</f>
        <v>1</v>
      </c>
      <c r="E15" s="176"/>
      <c r="F15" s="177">
        <f>SUM(F11:F13)</f>
        <v>7.2900000000000006E-2</v>
      </c>
      <c r="G15" s="161"/>
      <c r="H15" s="152"/>
      <c r="I15" s="152"/>
    </row>
    <row r="16" spans="1:9" ht="16.5" thickTop="1" thickBot="1">
      <c r="A16" s="178"/>
      <c r="B16" s="179"/>
      <c r="C16" s="180"/>
      <c r="D16" s="181"/>
      <c r="E16" s="182"/>
      <c r="F16" s="181"/>
      <c r="G16" s="183"/>
      <c r="H16" s="152"/>
      <c r="I16" s="152"/>
    </row>
    <row r="17" spans="1:9" ht="15.75" thickBot="1">
      <c r="A17" s="112"/>
      <c r="H17" s="152"/>
      <c r="I17" s="152"/>
    </row>
    <row r="18" spans="1:9" ht="15.75" thickBot="1">
      <c r="A18" s="112"/>
      <c r="B18" s="535" t="s">
        <v>201</v>
      </c>
      <c r="C18" s="536"/>
      <c r="D18" s="536"/>
      <c r="E18" s="536"/>
      <c r="F18" s="537"/>
      <c r="H18" s="152"/>
      <c r="I18" s="152"/>
    </row>
    <row r="19" spans="1:9" ht="15">
      <c r="A19" s="112"/>
      <c r="B19" s="538" t="s">
        <v>594</v>
      </c>
      <c r="C19" s="539"/>
      <c r="D19" s="539"/>
      <c r="E19" s="539"/>
      <c r="F19" s="540"/>
      <c r="H19" s="152"/>
      <c r="I19" s="152"/>
    </row>
    <row r="20" spans="1:9" ht="15.75" thickBot="1">
      <c r="A20" s="112"/>
      <c r="B20" s="541" t="s">
        <v>481</v>
      </c>
      <c r="C20" s="542"/>
      <c r="D20" s="542"/>
      <c r="E20" s="542"/>
      <c r="F20" s="543"/>
      <c r="H20" s="152"/>
      <c r="I20" s="152"/>
    </row>
    <row r="21" spans="1:9" ht="15">
      <c r="B21" s="497"/>
      <c r="C21" s="165"/>
      <c r="D21" s="165"/>
      <c r="E21" s="165"/>
      <c r="F21" s="498"/>
      <c r="H21" s="152"/>
      <c r="I21" s="152"/>
    </row>
    <row r="22" spans="1:9" ht="15">
      <c r="B22" s="499" t="s">
        <v>258</v>
      </c>
      <c r="C22" s="164" t="s">
        <v>88</v>
      </c>
      <c r="D22" s="112"/>
      <c r="E22" s="165"/>
      <c r="F22" s="500" t="s">
        <v>162</v>
      </c>
      <c r="H22" s="152"/>
      <c r="I22" s="152"/>
    </row>
    <row r="23" spans="1:9" ht="15">
      <c r="B23" s="501"/>
      <c r="C23" s="194"/>
      <c r="D23" s="112"/>
      <c r="E23" s="194"/>
      <c r="F23" s="502"/>
      <c r="H23" s="152"/>
      <c r="I23" s="152"/>
    </row>
    <row r="24" spans="1:9" ht="15">
      <c r="B24" s="503">
        <v>1</v>
      </c>
      <c r="C24" s="448" t="s">
        <v>208</v>
      </c>
      <c r="D24" s="112"/>
      <c r="E24" s="194"/>
      <c r="F24" s="504">
        <v>1</v>
      </c>
      <c r="H24" s="152"/>
      <c r="I24" s="152"/>
    </row>
    <row r="25" spans="1:9" ht="15">
      <c r="B25" s="503"/>
      <c r="C25" s="194"/>
      <c r="D25" s="112"/>
      <c r="E25" s="194"/>
      <c r="F25" s="504"/>
      <c r="H25" s="152"/>
      <c r="I25" s="152"/>
    </row>
    <row r="26" spans="1:9" ht="15">
      <c r="B26" s="503"/>
      <c r="C26" s="505" t="s">
        <v>210</v>
      </c>
      <c r="D26" s="112"/>
      <c r="E26" s="506"/>
      <c r="F26" s="504"/>
      <c r="H26" s="152"/>
      <c r="I26" s="152"/>
    </row>
    <row r="27" spans="1:9" ht="15">
      <c r="B27" s="503">
        <v>2</v>
      </c>
      <c r="C27" s="506" t="s">
        <v>212</v>
      </c>
      <c r="D27" s="112"/>
      <c r="E27" s="506"/>
      <c r="F27" s="507">
        <v>5.3540000000000003E-3</v>
      </c>
      <c r="H27" s="152"/>
      <c r="I27" s="152"/>
    </row>
    <row r="28" spans="1:9" ht="15">
      <c r="B28" s="503"/>
      <c r="C28" s="506"/>
      <c r="D28" s="112"/>
      <c r="E28" s="506"/>
      <c r="F28" s="507"/>
      <c r="H28" s="152"/>
      <c r="I28" s="152"/>
    </row>
    <row r="29" spans="1:9" ht="15">
      <c r="B29" s="503">
        <v>3</v>
      </c>
      <c r="C29" s="506" t="s">
        <v>213</v>
      </c>
      <c r="D29" s="112"/>
      <c r="E29" s="506"/>
      <c r="F29" s="507">
        <v>2E-3</v>
      </c>
      <c r="H29" s="152"/>
      <c r="I29" s="152"/>
    </row>
    <row r="30" spans="1:9" ht="15">
      <c r="B30" s="503"/>
      <c r="C30" s="506"/>
      <c r="D30" s="112"/>
      <c r="E30" s="506"/>
      <c r="F30" s="507"/>
      <c r="H30" s="152"/>
      <c r="I30" s="152"/>
    </row>
    <row r="31" spans="1:9" ht="15">
      <c r="B31" s="503">
        <v>4</v>
      </c>
      <c r="C31" s="506" t="s">
        <v>214</v>
      </c>
      <c r="D31" s="112"/>
      <c r="E31" s="506"/>
      <c r="F31" s="507">
        <v>3.8314000000000001E-2</v>
      </c>
      <c r="H31" s="152"/>
      <c r="I31" s="152"/>
    </row>
    <row r="32" spans="1:9" ht="15">
      <c r="B32" s="503"/>
      <c r="C32" s="506"/>
      <c r="D32" s="112"/>
      <c r="E32" s="506"/>
      <c r="F32" s="507"/>
      <c r="H32" s="152"/>
      <c r="I32" s="152"/>
    </row>
    <row r="33" spans="1:9" ht="15">
      <c r="B33" s="503">
        <v>5</v>
      </c>
      <c r="C33" s="506" t="s">
        <v>215</v>
      </c>
      <c r="D33" s="112"/>
      <c r="E33" s="506"/>
      <c r="F33" s="508">
        <f>SUM(F27:F31)</f>
        <v>4.5668E-2</v>
      </c>
      <c r="H33" s="152"/>
      <c r="I33" s="152"/>
    </row>
    <row r="34" spans="1:9" ht="15">
      <c r="B34" s="503"/>
      <c r="C34" s="506"/>
      <c r="D34" s="112"/>
      <c r="E34" s="506"/>
      <c r="F34" s="504"/>
      <c r="H34" s="152"/>
      <c r="I34" s="152"/>
    </row>
    <row r="35" spans="1:9" ht="15">
      <c r="B35" s="503">
        <v>6</v>
      </c>
      <c r="C35" s="506" t="s">
        <v>216</v>
      </c>
      <c r="D35" s="112"/>
      <c r="E35" s="506"/>
      <c r="F35" s="504">
        <f>F24-F33</f>
        <v>0.95433199999999996</v>
      </c>
      <c r="H35" s="152"/>
      <c r="I35" s="152"/>
    </row>
    <row r="36" spans="1:9" ht="15">
      <c r="B36" s="501"/>
      <c r="C36" s="506"/>
      <c r="D36" s="112"/>
      <c r="E36" s="506"/>
      <c r="F36" s="504"/>
      <c r="H36" s="152"/>
      <c r="I36" s="152"/>
    </row>
    <row r="37" spans="1:9" ht="15">
      <c r="B37" s="503">
        <v>7</v>
      </c>
      <c r="C37" s="506" t="s">
        <v>218</v>
      </c>
      <c r="D37" s="112"/>
      <c r="E37" s="509"/>
      <c r="F37" s="510">
        <f>ROUND(F35*0.35,6)</f>
        <v>0.33401599999999998</v>
      </c>
      <c r="H37" s="152"/>
      <c r="I37" s="152"/>
    </row>
    <row r="38" spans="1:9" ht="15">
      <c r="B38" s="501"/>
      <c r="C38" s="506"/>
      <c r="D38" s="112"/>
      <c r="E38" s="506"/>
      <c r="F38" s="504"/>
      <c r="H38" s="152"/>
      <c r="I38" s="152"/>
    </row>
    <row r="39" spans="1:9" ht="15.75" thickBot="1">
      <c r="B39" s="503">
        <v>8</v>
      </c>
      <c r="C39" s="505" t="s">
        <v>595</v>
      </c>
      <c r="D39" s="112"/>
      <c r="E39" s="506"/>
      <c r="F39" s="511">
        <f>ROUND(F35-F37,5)</f>
        <v>0.62031999999999998</v>
      </c>
      <c r="H39" s="152"/>
      <c r="I39" s="152"/>
    </row>
    <row r="40" spans="1:9" ht="16.5" thickTop="1" thickBot="1">
      <c r="A40" s="112"/>
      <c r="B40" s="512"/>
      <c r="C40" s="409"/>
      <c r="D40" s="409"/>
      <c r="E40" s="409"/>
      <c r="F40" s="513"/>
      <c r="H40" s="152"/>
      <c r="I40" s="152"/>
    </row>
    <row r="41" spans="1:9" ht="15">
      <c r="A41" s="112"/>
      <c r="H41" s="152"/>
      <c r="I41" s="152"/>
    </row>
    <row r="42" spans="1:9" ht="15">
      <c r="A42" s="112"/>
      <c r="H42" s="152"/>
      <c r="I42" s="152"/>
    </row>
    <row r="43" spans="1:9" ht="15">
      <c r="A43" s="112"/>
      <c r="H43" s="152"/>
      <c r="I43" s="152"/>
    </row>
    <row r="44" spans="1:9" ht="15">
      <c r="A44" s="112"/>
      <c r="H44" s="152"/>
      <c r="I44" s="152"/>
    </row>
    <row r="45" spans="1:9" ht="15">
      <c r="A45" s="112"/>
      <c r="H45" s="152"/>
      <c r="I45" s="152"/>
    </row>
    <row r="46" spans="1:9" ht="15">
      <c r="A46" s="112"/>
      <c r="H46" s="152"/>
      <c r="I46" s="152"/>
    </row>
    <row r="47" spans="1:9" ht="15">
      <c r="A47" s="112"/>
      <c r="H47" s="152"/>
      <c r="I47" s="152"/>
    </row>
    <row r="48" spans="1:9">
      <c r="A48" s="112"/>
    </row>
    <row r="49" spans="1:7">
      <c r="A49" s="525" t="s">
        <v>43</v>
      </c>
      <c r="B49" s="526"/>
      <c r="C49" s="526"/>
      <c r="D49" s="526"/>
      <c r="E49" s="526"/>
      <c r="F49" s="526"/>
      <c r="G49" s="526"/>
    </row>
    <row r="50" spans="1:7" ht="11.25" customHeight="1">
      <c r="A50" s="525" t="s">
        <v>393</v>
      </c>
      <c r="B50" s="526"/>
      <c r="C50" s="526"/>
      <c r="D50" s="526"/>
      <c r="E50" s="526"/>
      <c r="F50" s="526"/>
      <c r="G50" s="526"/>
    </row>
    <row r="51" spans="1:7">
      <c r="A51" s="525" t="s">
        <v>219</v>
      </c>
      <c r="B51" s="526"/>
      <c r="C51" s="526"/>
      <c r="D51" s="526"/>
      <c r="E51" s="526"/>
      <c r="F51" s="526"/>
      <c r="G51" s="526"/>
    </row>
    <row r="52" spans="1:7" ht="13.5" thickBot="1">
      <c r="A52" s="525"/>
      <c r="B52" s="526"/>
      <c r="C52" s="526"/>
      <c r="D52" s="526"/>
      <c r="E52" s="526"/>
      <c r="F52" s="526"/>
      <c r="G52" s="526"/>
    </row>
    <row r="53" spans="1:7">
      <c r="A53" s="153" t="s">
        <v>202</v>
      </c>
      <c r="B53" s="154"/>
      <c r="C53" s="154"/>
      <c r="D53" s="154"/>
      <c r="E53" s="154"/>
      <c r="F53" s="154"/>
      <c r="G53" s="155"/>
    </row>
    <row r="54" spans="1:7">
      <c r="A54" s="157"/>
      <c r="B54" s="158"/>
      <c r="C54" s="158"/>
      <c r="D54" s="159"/>
      <c r="E54" s="160"/>
      <c r="F54" s="159" t="s">
        <v>203</v>
      </c>
      <c r="G54" s="161"/>
    </row>
    <row r="55" spans="1:7">
      <c r="A55" s="157"/>
      <c r="B55" s="163"/>
      <c r="C55" s="159"/>
      <c r="D55" s="159" t="s">
        <v>205</v>
      </c>
      <c r="E55" s="159" t="s">
        <v>203</v>
      </c>
      <c r="F55" s="159" t="s">
        <v>108</v>
      </c>
      <c r="G55" s="161"/>
    </row>
    <row r="56" spans="1:7">
      <c r="A56" s="157"/>
      <c r="B56" s="166" t="s">
        <v>206</v>
      </c>
      <c r="C56" s="159"/>
      <c r="D56" s="166" t="s">
        <v>207</v>
      </c>
      <c r="E56" s="166" t="s">
        <v>163</v>
      </c>
      <c r="F56" s="166" t="s">
        <v>163</v>
      </c>
      <c r="G56" s="161"/>
    </row>
    <row r="57" spans="1:7">
      <c r="A57" s="157"/>
      <c r="B57" s="158"/>
      <c r="C57" s="158"/>
      <c r="D57" s="158"/>
      <c r="E57" s="160"/>
      <c r="F57" s="158"/>
      <c r="G57" s="167"/>
    </row>
    <row r="58" spans="1:7">
      <c r="A58" s="157"/>
      <c r="B58" s="163" t="s">
        <v>209</v>
      </c>
      <c r="C58" s="169"/>
      <c r="D58" s="170">
        <f>100%-D60</f>
        <v>0.51069999999999993</v>
      </c>
      <c r="E58" s="171">
        <v>5.3800000000000001E-2</v>
      </c>
      <c r="F58" s="175">
        <f>ROUND(D58*E58,5)</f>
        <v>2.7480000000000001E-2</v>
      </c>
      <c r="G58" s="172"/>
    </row>
    <row r="59" spans="1:7">
      <c r="A59" s="157"/>
      <c r="B59" s="163"/>
      <c r="C59" s="173"/>
      <c r="D59" s="170"/>
      <c r="E59" s="171"/>
      <c r="F59" s="170"/>
      <c r="G59" s="174"/>
    </row>
    <row r="60" spans="1:7">
      <c r="A60" s="157"/>
      <c r="B60" s="163" t="s">
        <v>211</v>
      </c>
      <c r="C60" s="173"/>
      <c r="D60" s="170">
        <v>0.48930000000000001</v>
      </c>
      <c r="E60" s="171">
        <v>9.8000000000000004E-2</v>
      </c>
      <c r="F60" s="170">
        <f>ROUND(D60*E60,4)</f>
        <v>4.8000000000000001E-2</v>
      </c>
      <c r="G60" s="167"/>
    </row>
    <row r="61" spans="1:7">
      <c r="A61" s="157"/>
      <c r="B61" s="163"/>
      <c r="C61" s="173"/>
      <c r="D61" s="175"/>
      <c r="E61" s="176"/>
      <c r="F61" s="170"/>
      <c r="G61" s="161"/>
    </row>
    <row r="62" spans="1:7" ht="13.5" thickBot="1">
      <c r="A62" s="157"/>
      <c r="B62" s="163" t="s">
        <v>5</v>
      </c>
      <c r="C62" s="169"/>
      <c r="D62" s="177">
        <f>SUM(D58:D60)</f>
        <v>1</v>
      </c>
      <c r="E62" s="176"/>
      <c r="F62" s="177">
        <f>SUM(F58:F60)</f>
        <v>7.5480000000000005E-2</v>
      </c>
      <c r="G62" s="161"/>
    </row>
    <row r="63" spans="1:7" ht="14.25" thickTop="1" thickBot="1">
      <c r="A63" s="178"/>
      <c r="B63" s="179"/>
      <c r="C63" s="180"/>
      <c r="D63" s="181"/>
      <c r="E63" s="182"/>
      <c r="F63" s="181"/>
      <c r="G63" s="183"/>
    </row>
    <row r="282" spans="7:7">
      <c r="G282" t="s">
        <v>474</v>
      </c>
    </row>
    <row r="283" spans="7:7">
      <c r="G283" t="s">
        <v>475</v>
      </c>
    </row>
  </sheetData>
  <mergeCells count="11">
    <mergeCell ref="A52:G52"/>
    <mergeCell ref="A2:G2"/>
    <mergeCell ref="A3:G3"/>
    <mergeCell ref="A4:G4"/>
    <mergeCell ref="A5:G5"/>
    <mergeCell ref="A49:G49"/>
    <mergeCell ref="A50:G50"/>
    <mergeCell ref="A51:G51"/>
    <mergeCell ref="B18:F18"/>
    <mergeCell ref="B19:F19"/>
    <mergeCell ref="B20:F20"/>
  </mergeCells>
  <pageMargins left="1.2" right="0.7" top="0.75" bottom="0.75" header="0.3" footer="0.3"/>
  <pageSetup orientation="portrait" r:id="rId1"/>
  <headerFooter scaleWithDoc="0">
    <oddHeader>&amp;RExh. CRM-9
Dockets UE-150204/UG-150205</oddHeader>
    <oddFooter>&amp;RPage &amp;P of &amp;N</oddFooter>
  </headerFooter>
  <colBreaks count="1" manualBreakCount="1">
    <brk id="8"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7"/>
  <sheetViews>
    <sheetView view="pageLayout" zoomScaleNormal="100" zoomScaleSheetLayoutView="100" workbookViewId="0">
      <selection activeCell="C10" sqref="C10"/>
    </sheetView>
  </sheetViews>
  <sheetFormatPr defaultColWidth="10.7109375" defaultRowHeight="12"/>
  <cols>
    <col min="1" max="1" width="5" style="22" customWidth="1"/>
    <col min="2" max="3" width="1.7109375" style="3" customWidth="1"/>
    <col min="4" max="4" width="22.85546875" style="3" customWidth="1"/>
    <col min="5" max="5" width="10.5703125" style="4" customWidth="1"/>
    <col min="6" max="6" width="8.5703125" style="28" customWidth="1"/>
    <col min="7" max="7" width="10.7109375" style="3" customWidth="1"/>
    <col min="8" max="8" width="9.85546875" style="3" customWidth="1"/>
    <col min="9" max="9" width="9" style="3" customWidth="1"/>
    <col min="10" max="10" width="0.5703125" style="3" customWidth="1"/>
    <col min="11" max="11" width="7.7109375" style="3" customWidth="1"/>
    <col min="12" max="12" width="7.85546875" style="3" customWidth="1"/>
    <col min="13" max="13" width="9.28515625" style="3" customWidth="1"/>
    <col min="14" max="14" width="0.5703125" style="3" customWidth="1"/>
    <col min="15" max="15" width="10.85546875" style="3" customWidth="1"/>
    <col min="16" max="16" width="6.85546875" style="3" customWidth="1"/>
    <col min="17" max="17" width="7.5703125" style="3" customWidth="1"/>
    <col min="18" max="18" width="6.85546875" style="3" customWidth="1"/>
    <col min="19" max="19" width="10.28515625" style="3" customWidth="1"/>
    <col min="20" max="16384" width="10.7109375" style="3"/>
  </cols>
  <sheetData>
    <row r="1" spans="1:20" ht="5.25" customHeight="1">
      <c r="A1" s="2"/>
      <c r="B1" s="556"/>
      <c r="C1" s="556"/>
      <c r="D1" s="556"/>
      <c r="E1" s="556"/>
      <c r="F1" s="556"/>
      <c r="G1" s="556"/>
      <c r="H1" s="556"/>
      <c r="I1" s="556"/>
      <c r="J1" s="556"/>
      <c r="K1" s="556"/>
      <c r="L1" s="556"/>
      <c r="M1" s="556"/>
      <c r="N1" s="556"/>
      <c r="O1" s="556"/>
      <c r="P1" s="556"/>
      <c r="Q1" s="556"/>
      <c r="R1" s="556"/>
      <c r="S1" s="556"/>
    </row>
    <row r="2" spans="1:20" ht="19.5" thickBot="1">
      <c r="A2" s="557" t="s">
        <v>532</v>
      </c>
      <c r="B2" s="557"/>
      <c r="C2" s="557"/>
      <c r="D2" s="557"/>
      <c r="E2" s="557"/>
      <c r="F2" s="557"/>
      <c r="G2" s="557"/>
      <c r="H2" s="557"/>
      <c r="I2" s="557"/>
      <c r="J2" s="557"/>
      <c r="K2" s="557"/>
      <c r="L2" s="557"/>
      <c r="M2" s="557"/>
      <c r="N2" s="557"/>
      <c r="O2" s="557"/>
      <c r="P2" s="557"/>
      <c r="Q2" s="557"/>
      <c r="R2" s="557"/>
      <c r="S2" s="557"/>
    </row>
    <row r="3" spans="1:20" ht="1.5" customHeight="1">
      <c r="A3" s="2"/>
    </row>
    <row r="4" spans="1:20" ht="2.25" customHeight="1" thickBot="1">
      <c r="A4" s="2"/>
      <c r="B4" s="2"/>
      <c r="C4" s="2"/>
      <c r="D4" s="2"/>
    </row>
    <row r="5" spans="1:20" ht="16.5" thickBot="1">
      <c r="A5" s="347"/>
      <c r="B5" s="348"/>
      <c r="C5" s="348"/>
      <c r="D5" s="349" t="s">
        <v>220</v>
      </c>
      <c r="E5" s="551" t="s">
        <v>246</v>
      </c>
      <c r="F5" s="551"/>
      <c r="G5" s="551"/>
      <c r="H5" s="551"/>
      <c r="I5" s="552"/>
      <c r="J5" s="350"/>
      <c r="K5" s="351"/>
      <c r="L5" s="553" t="s">
        <v>164</v>
      </c>
      <c r="M5" s="553"/>
      <c r="N5" s="351"/>
      <c r="O5" s="567" t="s">
        <v>245</v>
      </c>
      <c r="P5" s="553"/>
      <c r="Q5" s="568"/>
      <c r="R5" s="398"/>
      <c r="S5" s="352"/>
      <c r="T5" s="467" t="s">
        <v>577</v>
      </c>
    </row>
    <row r="6" spans="1:20" s="6" customFormat="1" ht="13.15" customHeight="1">
      <c r="A6" s="5"/>
      <c r="E6" s="558" t="s">
        <v>569</v>
      </c>
      <c r="F6" s="561" t="s">
        <v>499</v>
      </c>
      <c r="G6" s="561" t="s">
        <v>398</v>
      </c>
      <c r="H6" s="561" t="s">
        <v>293</v>
      </c>
      <c r="I6" s="565" t="s">
        <v>500</v>
      </c>
      <c r="J6" s="14"/>
      <c r="K6" s="565" t="s">
        <v>198</v>
      </c>
      <c r="L6" s="565" t="s">
        <v>472</v>
      </c>
      <c r="M6" s="565" t="s">
        <v>473</v>
      </c>
      <c r="N6" s="216"/>
      <c r="O6" s="554" t="s">
        <v>480</v>
      </c>
      <c r="P6" s="554" t="s">
        <v>294</v>
      </c>
      <c r="Q6" s="548" t="s">
        <v>533</v>
      </c>
      <c r="R6" s="548" t="s">
        <v>537</v>
      </c>
      <c r="S6" s="565" t="s">
        <v>570</v>
      </c>
    </row>
    <row r="7" spans="1:20" s="6" customFormat="1" ht="12" customHeight="1">
      <c r="A7" s="25" t="s">
        <v>221</v>
      </c>
      <c r="B7" s="75"/>
      <c r="C7" s="75"/>
      <c r="D7" s="27"/>
      <c r="E7" s="559"/>
      <c r="F7" s="562"/>
      <c r="G7" s="561"/>
      <c r="H7" s="561"/>
      <c r="I7" s="565"/>
      <c r="J7" s="75"/>
      <c r="K7" s="565"/>
      <c r="L7" s="565"/>
      <c r="M7" s="565"/>
      <c r="N7" s="217"/>
      <c r="O7" s="554"/>
      <c r="P7" s="554"/>
      <c r="Q7" s="549"/>
      <c r="R7" s="549"/>
      <c r="S7" s="565"/>
    </row>
    <row r="8" spans="1:20" s="6" customFormat="1" ht="12" customHeight="1">
      <c r="A8" s="25" t="s">
        <v>0</v>
      </c>
      <c r="B8" s="75"/>
      <c r="C8" s="75"/>
      <c r="D8" s="27"/>
      <c r="E8" s="559"/>
      <c r="F8" s="562"/>
      <c r="G8" s="561"/>
      <c r="H8" s="561"/>
      <c r="I8" s="565"/>
      <c r="J8" s="75"/>
      <c r="K8" s="565"/>
      <c r="L8" s="565"/>
      <c r="M8" s="565"/>
      <c r="N8" s="217"/>
      <c r="O8" s="554"/>
      <c r="P8" s="554"/>
      <c r="Q8" s="549"/>
      <c r="R8" s="549"/>
      <c r="S8" s="565"/>
    </row>
    <row r="9" spans="1:20" s="6" customFormat="1" ht="26.25" customHeight="1">
      <c r="A9" s="95" t="s">
        <v>2</v>
      </c>
      <c r="B9" s="96"/>
      <c r="C9" s="96"/>
      <c r="D9" s="96" t="s">
        <v>3</v>
      </c>
      <c r="E9" s="560"/>
      <c r="F9" s="563"/>
      <c r="G9" s="564"/>
      <c r="H9" s="564"/>
      <c r="I9" s="566"/>
      <c r="J9" s="201"/>
      <c r="K9" s="566"/>
      <c r="L9" s="566"/>
      <c r="M9" s="566"/>
      <c r="N9" s="218"/>
      <c r="O9" s="555"/>
      <c r="P9" s="555"/>
      <c r="Q9" s="550"/>
      <c r="R9" s="550"/>
      <c r="S9" s="566"/>
    </row>
    <row r="10" spans="1:20" s="6" customFormat="1" ht="12.75">
      <c r="A10" s="25"/>
      <c r="B10" s="75"/>
      <c r="C10" s="75"/>
      <c r="D10" s="75"/>
      <c r="E10" s="204" t="s">
        <v>247</v>
      </c>
      <c r="F10" s="204" t="s">
        <v>248</v>
      </c>
      <c r="G10" s="204" t="s">
        <v>249</v>
      </c>
      <c r="H10" s="204" t="s">
        <v>250</v>
      </c>
      <c r="I10" s="204" t="s">
        <v>251</v>
      </c>
      <c r="J10" s="75"/>
      <c r="K10" s="204" t="s">
        <v>252</v>
      </c>
      <c r="L10" s="204" t="s">
        <v>253</v>
      </c>
      <c r="M10" s="204" t="s">
        <v>254</v>
      </c>
      <c r="N10" s="204"/>
      <c r="O10" s="204" t="s">
        <v>255</v>
      </c>
      <c r="P10" s="204" t="s">
        <v>256</v>
      </c>
      <c r="Q10" s="204" t="s">
        <v>257</v>
      </c>
      <c r="R10" s="204" t="s">
        <v>545</v>
      </c>
      <c r="S10" s="204" t="s">
        <v>546</v>
      </c>
      <c r="T10" s="204" t="s">
        <v>578</v>
      </c>
    </row>
    <row r="11" spans="1:20">
      <c r="A11" s="25"/>
      <c r="B11" s="3" t="s">
        <v>6</v>
      </c>
    </row>
    <row r="12" spans="1:20" s="23" customFormat="1">
      <c r="A12" s="25">
        <v>1</v>
      </c>
      <c r="B12" s="23" t="s">
        <v>7</v>
      </c>
      <c r="E12" s="77">
        <v>154546</v>
      </c>
      <c r="F12" s="142">
        <v>0</v>
      </c>
      <c r="G12" s="77">
        <v>12185</v>
      </c>
      <c r="H12" s="77">
        <f>ROUND(H19/'Riders and Gas Cost Revenue'!E11,0)</f>
        <v>-92072</v>
      </c>
      <c r="I12" s="77">
        <f>SUM(E12:H12)</f>
        <v>74659</v>
      </c>
      <c r="J12" s="84"/>
      <c r="K12" s="359">
        <f>'Weighted Revenue Growth'!J19</f>
        <v>1.1891950960229668E-2</v>
      </c>
      <c r="L12" s="142"/>
      <c r="M12" s="143">
        <f>I12+L12</f>
        <v>74659</v>
      </c>
      <c r="N12" s="142"/>
      <c r="O12" s="142">
        <f>-H12</f>
        <v>92072</v>
      </c>
      <c r="P12" s="142">
        <f>(M12+O12)*K12</f>
        <v>1982.7568755500529</v>
      </c>
      <c r="Q12" s="142"/>
      <c r="R12" s="142"/>
      <c r="S12" s="142">
        <f>SUM(M12:P12)</f>
        <v>168713.75687555005</v>
      </c>
    </row>
    <row r="13" spans="1:20">
      <c r="A13" s="25">
        <v>2</v>
      </c>
      <c r="B13" s="24" t="s">
        <v>8</v>
      </c>
      <c r="D13" s="24"/>
      <c r="E13" s="77">
        <v>3960</v>
      </c>
      <c r="F13" s="142">
        <v>0</v>
      </c>
      <c r="G13" s="77">
        <v>223</v>
      </c>
      <c r="H13" s="78"/>
      <c r="I13" s="77">
        <f>SUM(E13:H13)</f>
        <v>4183</v>
      </c>
      <c r="J13" s="84"/>
      <c r="K13" s="359">
        <f>'Weighted Revenue Growth'!J25</f>
        <v>-1.436104808825828E-3</v>
      </c>
      <c r="L13" s="143"/>
      <c r="M13" s="143">
        <f>I13+L13</f>
        <v>4183</v>
      </c>
      <c r="N13" s="143"/>
      <c r="O13" s="143"/>
      <c r="P13" s="142">
        <f>M13*K13</f>
        <v>-6.0072264153184385</v>
      </c>
      <c r="Q13" s="142"/>
      <c r="R13" s="142"/>
      <c r="S13" s="143">
        <f>SUM(M13:P13)</f>
        <v>4176.9927735846813</v>
      </c>
    </row>
    <row r="14" spans="1:20">
      <c r="A14" s="25">
        <v>3</v>
      </c>
      <c r="B14" s="24" t="s">
        <v>9</v>
      </c>
      <c r="D14" s="24"/>
      <c r="E14" s="77">
        <v>332</v>
      </c>
      <c r="F14" s="142">
        <v>0</v>
      </c>
      <c r="G14" s="77">
        <v>0</v>
      </c>
      <c r="H14" s="79"/>
      <c r="I14" s="77">
        <f>SUM(E14:H14)</f>
        <v>332</v>
      </c>
      <c r="J14" s="78"/>
      <c r="K14" s="396">
        <v>0</v>
      </c>
      <c r="L14" s="79"/>
      <c r="M14" s="143">
        <f>I14+L14</f>
        <v>332</v>
      </c>
      <c r="N14" s="79"/>
      <c r="O14" s="79"/>
      <c r="P14" s="142">
        <f>M14*K14</f>
        <v>0</v>
      </c>
      <c r="Q14" s="142"/>
      <c r="R14" s="142"/>
      <c r="S14" s="79">
        <f>SUM(M14:P14)</f>
        <v>332</v>
      </c>
    </row>
    <row r="15" spans="1:20">
      <c r="A15" s="25">
        <v>4</v>
      </c>
      <c r="B15" s="3" t="s">
        <v>10</v>
      </c>
      <c r="C15" s="24"/>
      <c r="D15" s="24"/>
      <c r="E15" s="140">
        <f>SUM(E12:E14)</f>
        <v>158838</v>
      </c>
      <c r="F15" s="332">
        <f>SUM(F12:F14)</f>
        <v>0</v>
      </c>
      <c r="G15" s="140">
        <f>SUM(G12:G14)</f>
        <v>12408</v>
      </c>
      <c r="H15" s="140">
        <f>SUM(H12:H14)</f>
        <v>-92072</v>
      </c>
      <c r="I15" s="140">
        <f>SUM(I12:I14)</f>
        <v>79174</v>
      </c>
      <c r="K15" s="360"/>
      <c r="L15" s="140">
        <f t="shared" ref="L15:S15" si="0">SUM(L12:L14)</f>
        <v>0</v>
      </c>
      <c r="M15" s="140">
        <f t="shared" si="0"/>
        <v>79174</v>
      </c>
      <c r="N15" s="140">
        <f t="shared" si="0"/>
        <v>0</v>
      </c>
      <c r="O15" s="140">
        <f t="shared" si="0"/>
        <v>92072</v>
      </c>
      <c r="P15" s="140">
        <f t="shared" si="0"/>
        <v>1976.7496491347345</v>
      </c>
      <c r="Q15" s="140"/>
      <c r="R15" s="140"/>
      <c r="S15" s="140">
        <f t="shared" si="0"/>
        <v>173222.74964913473</v>
      </c>
    </row>
    <row r="16" spans="1:20">
      <c r="A16" s="25"/>
      <c r="C16" s="24"/>
      <c r="D16" s="24"/>
      <c r="E16" s="78"/>
      <c r="F16" s="143"/>
      <c r="G16" s="78"/>
      <c r="H16" s="78"/>
      <c r="I16" s="78"/>
      <c r="K16" s="360"/>
      <c r="L16" s="78"/>
      <c r="M16" s="78"/>
      <c r="N16" s="78"/>
      <c r="O16" s="78"/>
      <c r="P16" s="78"/>
      <c r="Q16" s="78"/>
      <c r="R16" s="78"/>
      <c r="S16" s="78"/>
    </row>
    <row r="17" spans="1:24">
      <c r="A17" s="25"/>
      <c r="B17" s="3" t="s">
        <v>11</v>
      </c>
      <c r="C17" s="24"/>
      <c r="D17" s="24"/>
      <c r="E17" s="78"/>
      <c r="F17" s="143"/>
      <c r="G17" s="78"/>
      <c r="H17" s="78"/>
      <c r="I17" s="78"/>
      <c r="K17" s="360"/>
      <c r="L17" s="78"/>
      <c r="M17" s="78"/>
      <c r="N17" s="78"/>
      <c r="O17" s="78"/>
      <c r="P17" s="78"/>
      <c r="Q17" s="78"/>
      <c r="R17" s="78"/>
      <c r="S17" s="78"/>
    </row>
    <row r="18" spans="1:24" ht="12.75" thickBot="1">
      <c r="A18" s="25"/>
      <c r="B18" s="24" t="s">
        <v>51</v>
      </c>
      <c r="D18" s="24"/>
      <c r="E18" s="78"/>
      <c r="F18" s="143"/>
      <c r="G18" s="78"/>
      <c r="H18" s="78"/>
      <c r="I18" s="78"/>
      <c r="K18" s="360"/>
      <c r="L18" s="78"/>
      <c r="M18" s="78"/>
      <c r="N18" s="78"/>
      <c r="O18" s="78"/>
      <c r="P18" s="78"/>
      <c r="Q18" s="78"/>
      <c r="R18" s="78"/>
      <c r="S18" s="78"/>
    </row>
    <row r="19" spans="1:24" ht="12.75" thickBot="1">
      <c r="A19" s="25">
        <v>5</v>
      </c>
      <c r="C19" s="24" t="s">
        <v>12</v>
      </c>
      <c r="D19" s="24"/>
      <c r="E19" s="77">
        <v>84187</v>
      </c>
      <c r="F19" s="142">
        <v>0</v>
      </c>
      <c r="G19" s="77">
        <v>3680</v>
      </c>
      <c r="H19" s="77">
        <v>-87867</v>
      </c>
      <c r="I19" s="77">
        <f>SUM(E19:H19)</f>
        <v>0</v>
      </c>
      <c r="K19" s="88"/>
      <c r="L19" s="143"/>
      <c r="M19" s="143">
        <f>I19+L19</f>
        <v>0</v>
      </c>
      <c r="N19" s="143"/>
      <c r="O19" s="142">
        <f>-H19</f>
        <v>87867</v>
      </c>
      <c r="P19" s="418">
        <f>'Weighted Revenue Growth'!I44/1000</f>
        <v>950.13234462310015</v>
      </c>
      <c r="Q19" s="143"/>
      <c r="R19" s="143"/>
      <c r="S19" s="143">
        <f>SUM(M19:P19)</f>
        <v>88817.132344623096</v>
      </c>
    </row>
    <row r="20" spans="1:24">
      <c r="A20" s="25">
        <v>6</v>
      </c>
      <c r="C20" s="24" t="s">
        <v>13</v>
      </c>
      <c r="D20" s="24"/>
      <c r="E20" s="77">
        <v>779</v>
      </c>
      <c r="F20" s="142">
        <v>0</v>
      </c>
      <c r="G20" s="77">
        <v>3</v>
      </c>
      <c r="H20" s="78"/>
      <c r="I20" s="77">
        <f>SUM(E20:H20)</f>
        <v>782</v>
      </c>
      <c r="J20" s="84"/>
      <c r="K20" s="403">
        <f>'Op Exp'!D12</f>
        <v>4.8399999999999999E-2</v>
      </c>
      <c r="L20" s="78">
        <f>I20*K20</f>
        <v>37.848799999999997</v>
      </c>
      <c r="M20" s="143">
        <f>I20+L20</f>
        <v>819.84879999999998</v>
      </c>
      <c r="N20" s="78"/>
      <c r="O20" s="78"/>
      <c r="P20" s="78"/>
      <c r="Q20" s="78"/>
      <c r="R20" s="78"/>
      <c r="S20" s="143">
        <f>SUM(M20:P20)</f>
        <v>819.84879999999998</v>
      </c>
    </row>
    <row r="21" spans="1:24">
      <c r="A21" s="25">
        <v>7</v>
      </c>
      <c r="C21" s="24" t="s">
        <v>14</v>
      </c>
      <c r="D21" s="24"/>
      <c r="E21" s="77">
        <v>0</v>
      </c>
      <c r="F21" s="142">
        <v>0</v>
      </c>
      <c r="G21" s="77">
        <v>0</v>
      </c>
      <c r="H21" s="79"/>
      <c r="I21" s="77">
        <f>SUM(E21:H21)</f>
        <v>0</v>
      </c>
      <c r="J21" s="78"/>
      <c r="K21" s="362"/>
      <c r="L21" s="79">
        <f>I21*K21</f>
        <v>0</v>
      </c>
      <c r="M21" s="143">
        <f>I21+L21</f>
        <v>0</v>
      </c>
      <c r="N21" s="79"/>
      <c r="O21" s="79"/>
      <c r="P21" s="79"/>
      <c r="Q21" s="82"/>
      <c r="R21" s="82"/>
      <c r="S21" s="143">
        <f>SUM(M21:P21)</f>
        <v>0</v>
      </c>
      <c r="U21" s="27"/>
      <c r="V21" s="27"/>
      <c r="W21" s="27"/>
      <c r="X21" s="27"/>
    </row>
    <row r="22" spans="1:24">
      <c r="A22" s="25">
        <v>8</v>
      </c>
      <c r="B22" s="24" t="s">
        <v>15</v>
      </c>
      <c r="C22" s="24"/>
      <c r="E22" s="140">
        <f>SUM(E19:E21)</f>
        <v>84966</v>
      </c>
      <c r="F22" s="332">
        <f>SUM(F19:F21)</f>
        <v>0</v>
      </c>
      <c r="G22" s="140">
        <f>SUM(G19:G21)</f>
        <v>3683</v>
      </c>
      <c r="H22" s="140">
        <f>SUM(H19:H21)</f>
        <v>-87867</v>
      </c>
      <c r="I22" s="140">
        <f>SUM(I19:I21)</f>
        <v>782</v>
      </c>
      <c r="K22" s="360"/>
      <c r="L22" s="140">
        <f t="shared" ref="L22:S22" si="1">SUM(L19:L21)</f>
        <v>37.848799999999997</v>
      </c>
      <c r="M22" s="140">
        <f t="shared" si="1"/>
        <v>819.84879999999998</v>
      </c>
      <c r="N22" s="140">
        <f t="shared" si="1"/>
        <v>0</v>
      </c>
      <c r="O22" s="140">
        <f t="shared" si="1"/>
        <v>87867</v>
      </c>
      <c r="P22" s="140">
        <f t="shared" si="1"/>
        <v>950.13234462310015</v>
      </c>
      <c r="Q22" s="140"/>
      <c r="R22" s="140"/>
      <c r="S22" s="140">
        <f t="shared" si="1"/>
        <v>89636.981144623103</v>
      </c>
      <c r="U22" s="27"/>
      <c r="V22" s="27"/>
      <c r="W22" s="27"/>
      <c r="X22" s="27"/>
    </row>
    <row r="23" spans="1:24">
      <c r="A23" s="25"/>
      <c r="B23" s="24"/>
      <c r="C23" s="24"/>
      <c r="E23" s="78"/>
      <c r="F23" s="143"/>
      <c r="G23" s="78"/>
      <c r="H23" s="78"/>
      <c r="I23" s="78"/>
      <c r="K23" s="360"/>
      <c r="L23" s="78"/>
      <c r="M23" s="78"/>
      <c r="N23" s="78"/>
      <c r="O23" s="78"/>
      <c r="P23" s="78"/>
      <c r="Q23" s="78"/>
      <c r="R23" s="78"/>
      <c r="S23" s="78"/>
      <c r="U23" s="27"/>
      <c r="V23" s="27"/>
      <c r="W23" s="27"/>
      <c r="X23" s="27"/>
    </row>
    <row r="24" spans="1:24">
      <c r="A24" s="25"/>
      <c r="B24" s="24" t="s">
        <v>16</v>
      </c>
      <c r="D24" s="24"/>
      <c r="E24" s="78"/>
      <c r="F24" s="143"/>
      <c r="G24" s="78"/>
      <c r="H24" s="78"/>
      <c r="I24" s="78"/>
      <c r="K24" s="360"/>
      <c r="L24" s="78"/>
      <c r="M24" s="78"/>
      <c r="N24" s="78"/>
      <c r="O24" s="78"/>
      <c r="P24" s="78"/>
      <c r="Q24" s="78"/>
      <c r="R24" s="78"/>
      <c r="S24" s="78"/>
      <c r="U24" s="27"/>
      <c r="V24" s="27"/>
      <c r="W24" s="27"/>
      <c r="X24" s="27"/>
    </row>
    <row r="25" spans="1:24">
      <c r="A25" s="25">
        <v>9</v>
      </c>
      <c r="C25" s="24" t="s">
        <v>17</v>
      </c>
      <c r="D25" s="24"/>
      <c r="E25" s="77">
        <v>893</v>
      </c>
      <c r="F25" s="142">
        <v>0</v>
      </c>
      <c r="G25" s="77">
        <v>0</v>
      </c>
      <c r="H25" s="78"/>
      <c r="I25" s="77">
        <f>SUM(E25:H25)</f>
        <v>893</v>
      </c>
      <c r="J25" s="84"/>
      <c r="K25" s="361">
        <f>K20</f>
        <v>4.8399999999999999E-2</v>
      </c>
      <c r="L25" s="78">
        <f>I25*K25</f>
        <v>43.221199999999996</v>
      </c>
      <c r="M25" s="143">
        <f>I25+L25</f>
        <v>936.22119999999995</v>
      </c>
      <c r="N25" s="78"/>
      <c r="O25" s="78"/>
      <c r="P25" s="78"/>
      <c r="Q25" s="78"/>
      <c r="R25" s="78"/>
      <c r="S25" s="143">
        <f>SUM(M25:P25)</f>
        <v>936.22119999999995</v>
      </c>
      <c r="U25" s="341"/>
      <c r="V25" s="27"/>
      <c r="W25" s="27"/>
      <c r="X25" s="27"/>
    </row>
    <row r="26" spans="1:24">
      <c r="A26" s="25">
        <v>10</v>
      </c>
      <c r="C26" s="24" t="s">
        <v>47</v>
      </c>
      <c r="D26" s="24"/>
      <c r="E26" s="77">
        <v>402</v>
      </c>
      <c r="F26" s="142">
        <v>0</v>
      </c>
      <c r="G26" s="77">
        <v>0</v>
      </c>
      <c r="H26" s="78"/>
      <c r="I26" s="77">
        <f>SUM(E26:H26)</f>
        <v>402</v>
      </c>
      <c r="J26" s="84"/>
      <c r="K26" s="419">
        <f>'Dep Amort'!C29</f>
        <v>0.25856677890011226</v>
      </c>
      <c r="L26" s="78">
        <f>I26*K26</f>
        <v>103.94384511784513</v>
      </c>
      <c r="M26" s="143">
        <f>I26+L26</f>
        <v>505.94384511784511</v>
      </c>
      <c r="N26" s="78"/>
      <c r="O26" s="78"/>
      <c r="P26" s="78"/>
      <c r="Q26" s="78"/>
      <c r="R26" s="78"/>
      <c r="S26" s="143">
        <f>SUM(M26:P26)</f>
        <v>505.94384511784511</v>
      </c>
      <c r="U26" s="341"/>
      <c r="V26" s="27"/>
      <c r="W26" s="27"/>
      <c r="X26" s="27"/>
    </row>
    <row r="27" spans="1:24">
      <c r="A27" s="25">
        <v>11</v>
      </c>
      <c r="C27" s="24" t="s">
        <v>4</v>
      </c>
      <c r="D27" s="24"/>
      <c r="E27" s="77">
        <v>184</v>
      </c>
      <c r="F27" s="142">
        <v>0</v>
      </c>
      <c r="G27" s="77">
        <v>0</v>
      </c>
      <c r="H27" s="79"/>
      <c r="I27" s="77">
        <f>SUM(E27:H27)</f>
        <v>184</v>
      </c>
      <c r="J27" s="84"/>
      <c r="K27" s="419">
        <f>'Taxes (other than income)'!C30</f>
        <v>0.20995038928118775</v>
      </c>
      <c r="L27" s="79">
        <f>I27*K27</f>
        <v>38.63087162773855</v>
      </c>
      <c r="M27" s="143">
        <f>I27+L27</f>
        <v>222.63087162773854</v>
      </c>
      <c r="N27" s="79"/>
      <c r="O27" s="79"/>
      <c r="P27" s="79"/>
      <c r="Q27" s="82"/>
      <c r="R27" s="82"/>
      <c r="S27" s="143">
        <f>SUM(M27:P27)</f>
        <v>222.63087162773854</v>
      </c>
      <c r="U27" s="341"/>
      <c r="V27" s="27"/>
      <c r="W27" s="27"/>
      <c r="X27" s="27"/>
    </row>
    <row r="28" spans="1:24">
      <c r="A28" s="25">
        <v>12</v>
      </c>
      <c r="B28" s="24" t="s">
        <v>18</v>
      </c>
      <c r="C28" s="24"/>
      <c r="E28" s="140">
        <f>SUM(E25:E27)</f>
        <v>1479</v>
      </c>
      <c r="F28" s="332">
        <f>SUM(F25:F27)</f>
        <v>0</v>
      </c>
      <c r="G28" s="140">
        <f>SUM(G25:G27)</f>
        <v>0</v>
      </c>
      <c r="H28" s="140">
        <f>SUM(H25:H27)</f>
        <v>0</v>
      </c>
      <c r="I28" s="140">
        <f>SUM(I25:I27)</f>
        <v>1479</v>
      </c>
      <c r="J28" s="28"/>
      <c r="K28" s="360"/>
      <c r="L28" s="140">
        <f t="shared" ref="L28:S28" si="2">SUM(L25:L27)</f>
        <v>185.79591674558367</v>
      </c>
      <c r="M28" s="140">
        <f t="shared" si="2"/>
        <v>1664.7959167455836</v>
      </c>
      <c r="N28" s="140">
        <f t="shared" si="2"/>
        <v>0</v>
      </c>
      <c r="O28" s="140">
        <f t="shared" si="2"/>
        <v>0</v>
      </c>
      <c r="P28" s="140">
        <f t="shared" si="2"/>
        <v>0</v>
      </c>
      <c r="Q28" s="140"/>
      <c r="R28" s="140"/>
      <c r="S28" s="140">
        <f t="shared" si="2"/>
        <v>1664.7959167455836</v>
      </c>
      <c r="U28" s="341"/>
      <c r="V28" s="27"/>
      <c r="W28" s="27"/>
      <c r="X28" s="27"/>
    </row>
    <row r="29" spans="1:24">
      <c r="A29" s="25"/>
      <c r="B29" s="24"/>
      <c r="C29" s="24"/>
      <c r="E29" s="78"/>
      <c r="F29" s="143"/>
      <c r="G29" s="78"/>
      <c r="H29" s="78"/>
      <c r="I29" s="78"/>
      <c r="K29" s="360"/>
      <c r="L29" s="78"/>
      <c r="M29" s="78"/>
      <c r="N29" s="78"/>
      <c r="O29" s="78"/>
      <c r="P29" s="78"/>
      <c r="Q29" s="78"/>
      <c r="R29" s="78"/>
      <c r="S29" s="78"/>
      <c r="U29" s="27"/>
      <c r="V29" s="149"/>
      <c r="W29" s="27"/>
      <c r="X29" s="27"/>
    </row>
    <row r="30" spans="1:24" ht="11.25" customHeight="1" thickBot="1">
      <c r="A30" s="25"/>
      <c r="B30" s="24" t="s">
        <v>19</v>
      </c>
      <c r="D30" s="24"/>
      <c r="E30" s="78"/>
      <c r="F30" s="143"/>
      <c r="G30" s="78"/>
      <c r="H30" s="78"/>
      <c r="I30" s="78"/>
      <c r="K30" s="360"/>
      <c r="L30" s="78"/>
      <c r="M30" s="78"/>
      <c r="N30" s="78"/>
      <c r="O30" s="78"/>
      <c r="P30" s="78"/>
      <c r="Q30" s="78"/>
      <c r="R30" s="78"/>
      <c r="S30" s="78"/>
      <c r="U30" s="27"/>
      <c r="V30" s="27"/>
      <c r="W30" s="27"/>
      <c r="X30" s="27"/>
    </row>
    <row r="31" spans="1:24" ht="12.75" thickBot="1">
      <c r="A31" s="25">
        <v>13</v>
      </c>
      <c r="C31" s="24" t="s">
        <v>17</v>
      </c>
      <c r="D31" s="24"/>
      <c r="E31" s="77">
        <v>10704</v>
      </c>
      <c r="F31" s="142">
        <v>0</v>
      </c>
      <c r="G31" s="77">
        <v>0</v>
      </c>
      <c r="H31" s="78"/>
      <c r="I31" s="77">
        <f>SUM(E31:H31)</f>
        <v>10704</v>
      </c>
      <c r="J31" s="84"/>
      <c r="K31" s="361">
        <f>K20</f>
        <v>4.8399999999999999E-2</v>
      </c>
      <c r="L31" s="78">
        <f>I31*K31</f>
        <v>518.07359999999994</v>
      </c>
      <c r="M31" s="143">
        <f>I31+L31</f>
        <v>11222.0736</v>
      </c>
      <c r="N31" s="78"/>
      <c r="O31" s="78"/>
      <c r="P31" s="78"/>
      <c r="Q31" s="78"/>
      <c r="R31" s="418">
        <v>707</v>
      </c>
      <c r="S31" s="143">
        <f>SUM(M31:R31)</f>
        <v>11929.0736</v>
      </c>
      <c r="U31" s="27"/>
      <c r="V31" s="27"/>
      <c r="W31" s="27"/>
      <c r="X31" s="27"/>
    </row>
    <row r="32" spans="1:24">
      <c r="A32" s="25">
        <v>14</v>
      </c>
      <c r="C32" s="24" t="s">
        <v>47</v>
      </c>
      <c r="D32" s="24"/>
      <c r="E32" s="77">
        <v>8513</v>
      </c>
      <c r="F32" s="142">
        <v>0</v>
      </c>
      <c r="G32" s="77">
        <v>0</v>
      </c>
      <c r="H32" s="78"/>
      <c r="I32" s="77">
        <f>SUM(E32:H32)</f>
        <v>8513</v>
      </c>
      <c r="J32" s="84"/>
      <c r="K32" s="361">
        <f>K26</f>
        <v>0.25856677890011226</v>
      </c>
      <c r="L32" s="78">
        <f>I32*K32</f>
        <v>2201.1789887766558</v>
      </c>
      <c r="M32" s="143">
        <f>I32+L32</f>
        <v>10714.178988776655</v>
      </c>
      <c r="N32" s="78"/>
      <c r="O32" s="78"/>
      <c r="P32" s="78"/>
      <c r="Q32" s="78"/>
      <c r="R32" s="78"/>
      <c r="S32" s="143">
        <f>SUM(M32:P32)</f>
        <v>10714.178988776655</v>
      </c>
      <c r="U32" s="342"/>
      <c r="V32" s="27"/>
      <c r="W32" s="27"/>
      <c r="X32" s="27"/>
    </row>
    <row r="33" spans="1:24">
      <c r="A33" s="22">
        <v>15</v>
      </c>
      <c r="C33" s="24" t="s">
        <v>4</v>
      </c>
      <c r="D33" s="24"/>
      <c r="E33" s="77">
        <v>8719</v>
      </c>
      <c r="F33" s="142">
        <v>0</v>
      </c>
      <c r="G33" s="77">
        <f>G$15*ROR!$F$31</f>
        <v>475.40011200000004</v>
      </c>
      <c r="H33" s="77">
        <f>ROUND($H$12*'Riders and Gas Cost Revenue'!E32,0)</f>
        <v>-3528</v>
      </c>
      <c r="I33" s="77">
        <f>SUM(E33:H33)</f>
        <v>5666.4001119999994</v>
      </c>
      <c r="J33" s="84"/>
      <c r="K33" s="361">
        <f>K27</f>
        <v>0.20995038928118775</v>
      </c>
      <c r="L33" s="79">
        <f>I33*K33</f>
        <v>1189.6629093373658</v>
      </c>
      <c r="M33" s="143">
        <f>I33+L33</f>
        <v>6856.0630213373652</v>
      </c>
      <c r="N33" s="79"/>
      <c r="O33" s="142">
        <f>-H33</f>
        <v>3528</v>
      </c>
      <c r="P33" s="77">
        <f>ROUND($P$12*'Riders and Gas Cost Revenue'!E32,0)</f>
        <v>76</v>
      </c>
      <c r="Q33" s="77"/>
      <c r="R33" s="77"/>
      <c r="S33" s="143">
        <f>SUM(M33:P33)</f>
        <v>10460.063021337366</v>
      </c>
      <c r="U33" s="27"/>
      <c r="V33" s="27"/>
      <c r="W33" s="27"/>
      <c r="X33" s="27"/>
    </row>
    <row r="34" spans="1:24" ht="12.75">
      <c r="A34" s="22">
        <v>16</v>
      </c>
      <c r="B34" s="24" t="s">
        <v>20</v>
      </c>
      <c r="C34" s="250"/>
      <c r="E34" s="140">
        <f>SUM(E31:E33)</f>
        <v>27936</v>
      </c>
      <c r="F34" s="332">
        <f>SUM(F31:F33)</f>
        <v>0</v>
      </c>
      <c r="G34" s="140">
        <f>SUM(G31:G33)</f>
        <v>475.40011200000004</v>
      </c>
      <c r="H34" s="140">
        <f>SUM(H31:H33)</f>
        <v>-3528</v>
      </c>
      <c r="I34" s="140">
        <f>SUM(I31:I33)</f>
        <v>24883.400111999999</v>
      </c>
      <c r="K34" s="360"/>
      <c r="L34" s="140">
        <f t="shared" ref="L34:S34" si="3">SUM(L31:L33)</f>
        <v>3908.9154981140218</v>
      </c>
      <c r="M34" s="140">
        <f t="shared" si="3"/>
        <v>28792.315610114019</v>
      </c>
      <c r="N34" s="140">
        <f t="shared" si="3"/>
        <v>0</v>
      </c>
      <c r="O34" s="140">
        <f t="shared" si="3"/>
        <v>3528</v>
      </c>
      <c r="P34" s="140">
        <f t="shared" si="3"/>
        <v>76</v>
      </c>
      <c r="Q34" s="140"/>
      <c r="R34" s="140">
        <f t="shared" si="3"/>
        <v>707</v>
      </c>
      <c r="S34" s="140">
        <f t="shared" si="3"/>
        <v>33103.315610114019</v>
      </c>
      <c r="U34" s="341"/>
      <c r="V34" s="343"/>
      <c r="W34" s="149"/>
      <c r="X34" s="344"/>
    </row>
    <row r="35" spans="1:24">
      <c r="C35" s="24"/>
      <c r="D35" s="24"/>
      <c r="E35" s="78"/>
      <c r="F35" s="143"/>
      <c r="G35" s="78"/>
      <c r="H35" s="78"/>
      <c r="I35" s="78"/>
      <c r="K35" s="360"/>
      <c r="L35" s="78"/>
      <c r="M35" s="78"/>
      <c r="N35" s="78"/>
      <c r="O35" s="78"/>
      <c r="P35" s="78"/>
      <c r="Q35" s="78"/>
      <c r="R35" s="78"/>
      <c r="S35" s="78"/>
      <c r="U35" s="27"/>
      <c r="V35" s="27"/>
      <c r="W35" s="27"/>
      <c r="X35" s="27"/>
    </row>
    <row r="36" spans="1:24">
      <c r="A36" s="22">
        <v>17</v>
      </c>
      <c r="B36" s="3" t="s">
        <v>21</v>
      </c>
      <c r="C36" s="24"/>
      <c r="D36" s="24"/>
      <c r="E36" s="77">
        <v>6108</v>
      </c>
      <c r="F36" s="142">
        <v>0</v>
      </c>
      <c r="G36" s="77">
        <f>G$15*ROR!$F$27</f>
        <v>66.432432000000006</v>
      </c>
      <c r="H36" s="77">
        <f>ROUND($H$12*'Riders and Gas Cost Revenue'!E35,0)</f>
        <v>-493</v>
      </c>
      <c r="I36" s="77">
        <f>SUM(E36:H36)</f>
        <v>5681.4324319999996</v>
      </c>
      <c r="J36" s="84"/>
      <c r="K36" s="361">
        <f>K20</f>
        <v>4.8399999999999999E-2</v>
      </c>
      <c r="L36" s="78">
        <f>I36*K36</f>
        <v>274.98132970879999</v>
      </c>
      <c r="M36" s="143">
        <f>I36+L36</f>
        <v>5956.4137617087999</v>
      </c>
      <c r="N36" s="78"/>
      <c r="O36" s="142">
        <f>-H36</f>
        <v>493</v>
      </c>
      <c r="P36" s="77">
        <f>ROUND($P$12*'Riders and Gas Cost Revenue'!E35,0)</f>
        <v>11</v>
      </c>
      <c r="Q36" s="77"/>
      <c r="R36" s="77"/>
      <c r="S36" s="143">
        <f>SUM(M36:P36)</f>
        <v>6460.4137617087999</v>
      </c>
      <c r="U36" s="27"/>
      <c r="V36" s="149"/>
      <c r="W36" s="27"/>
      <c r="X36" s="27"/>
    </row>
    <row r="37" spans="1:24">
      <c r="A37" s="22">
        <v>18</v>
      </c>
      <c r="B37" s="3" t="s">
        <v>22</v>
      </c>
      <c r="C37" s="24"/>
      <c r="D37" s="24"/>
      <c r="E37" s="77">
        <v>865</v>
      </c>
      <c r="F37" s="142">
        <v>0</v>
      </c>
      <c r="G37" s="77">
        <v>0</v>
      </c>
      <c r="H37" s="78"/>
      <c r="I37" s="77">
        <f>SUM(E37:H37)</f>
        <v>865</v>
      </c>
      <c r="J37" s="84"/>
      <c r="K37" s="361">
        <f>K20</f>
        <v>4.8399999999999999E-2</v>
      </c>
      <c r="L37" s="78">
        <f>I37*K37</f>
        <v>41.866</v>
      </c>
      <c r="M37" s="143">
        <f>I37+L37</f>
        <v>906.86599999999999</v>
      </c>
      <c r="N37" s="78"/>
      <c r="O37" s="78"/>
      <c r="P37" s="78"/>
      <c r="Q37" s="78"/>
      <c r="R37" s="78"/>
      <c r="S37" s="143">
        <f>SUM(M37:P37)</f>
        <v>906.86599999999999</v>
      </c>
      <c r="U37" s="76"/>
    </row>
    <row r="38" spans="1:24">
      <c r="A38" s="22">
        <v>19</v>
      </c>
      <c r="B38" s="3" t="s">
        <v>23</v>
      </c>
      <c r="C38" s="24"/>
      <c r="D38" s="24"/>
      <c r="E38" s="77">
        <v>0</v>
      </c>
      <c r="F38" s="142">
        <v>0</v>
      </c>
      <c r="G38" s="77">
        <v>0</v>
      </c>
      <c r="H38" s="78"/>
      <c r="I38" s="77">
        <f>SUM(E38:H38)</f>
        <v>0</v>
      </c>
      <c r="J38" s="84"/>
      <c r="K38" s="361">
        <f>K20</f>
        <v>4.8399999999999999E-2</v>
      </c>
      <c r="L38" s="78">
        <f>I38*K38</f>
        <v>0</v>
      </c>
      <c r="M38" s="143">
        <f>I38+L38</f>
        <v>0</v>
      </c>
      <c r="N38" s="78"/>
      <c r="O38" s="78"/>
      <c r="P38" s="78"/>
      <c r="Q38" s="78"/>
      <c r="R38" s="78"/>
      <c r="S38" s="143">
        <f>SUM(M38:P38)</f>
        <v>0</v>
      </c>
      <c r="U38" s="342"/>
      <c r="V38" s="27"/>
      <c r="W38" s="27"/>
    </row>
    <row r="39" spans="1:24">
      <c r="C39" s="24"/>
      <c r="D39" s="24"/>
      <c r="E39" s="78"/>
      <c r="F39" s="143"/>
      <c r="G39" s="78"/>
      <c r="H39" s="78"/>
      <c r="I39" s="78"/>
      <c r="K39" s="360"/>
      <c r="L39" s="78"/>
      <c r="M39" s="78"/>
      <c r="N39" s="78"/>
      <c r="O39" s="78"/>
      <c r="P39" s="78"/>
      <c r="Q39" s="78"/>
      <c r="R39" s="78"/>
      <c r="S39" s="78"/>
      <c r="U39" s="27"/>
      <c r="V39" s="27"/>
      <c r="W39" s="27"/>
    </row>
    <row r="40" spans="1:24">
      <c r="B40" s="3" t="s">
        <v>24</v>
      </c>
      <c r="C40" s="24"/>
      <c r="D40" s="24"/>
      <c r="E40" s="78"/>
      <c r="F40" s="143"/>
      <c r="G40" s="78"/>
      <c r="H40" s="78"/>
      <c r="I40" s="78"/>
      <c r="K40" s="360"/>
      <c r="L40" s="78"/>
      <c r="M40" s="78"/>
      <c r="N40" s="78"/>
      <c r="O40" s="78"/>
      <c r="P40" s="78"/>
      <c r="Q40" s="78"/>
      <c r="R40" s="78"/>
      <c r="S40" s="78"/>
      <c r="U40" s="341"/>
      <c r="V40" s="343"/>
      <c r="W40" s="149"/>
    </row>
    <row r="41" spans="1:24" ht="12.75" thickBot="1">
      <c r="A41" s="22">
        <v>20</v>
      </c>
      <c r="C41" s="24" t="s">
        <v>17</v>
      </c>
      <c r="D41" s="24"/>
      <c r="E41" s="77">
        <v>12777</v>
      </c>
      <c r="F41" s="142">
        <v>0</v>
      </c>
      <c r="G41" s="77">
        <f>G$15*ROR!$F$29</f>
        <v>24.815999999999999</v>
      </c>
      <c r="H41" s="77">
        <f>ROUND($H$12*'Riders and Gas Cost Revenue'!E40,0)</f>
        <v>-184</v>
      </c>
      <c r="I41" s="77">
        <f>SUM(E41:H41)</f>
        <v>12617.816000000001</v>
      </c>
      <c r="J41" s="84"/>
      <c r="K41" s="361">
        <f>K20</f>
        <v>4.8399999999999999E-2</v>
      </c>
      <c r="L41" s="78">
        <f>I41*K41</f>
        <v>610.70229440000003</v>
      </c>
      <c r="M41" s="143">
        <f>I41+L41</f>
        <v>13228.518294400001</v>
      </c>
      <c r="N41" s="78"/>
      <c r="O41" s="142">
        <f>-H41</f>
        <v>184</v>
      </c>
      <c r="P41" s="77">
        <f>ROUND($P$12*'Riders and Gas Cost Revenue'!E40,0)</f>
        <v>4</v>
      </c>
      <c r="Q41" s="77"/>
      <c r="R41" s="77"/>
      <c r="S41" s="143">
        <f>SUM(M41:P41)</f>
        <v>13416.518294400001</v>
      </c>
      <c r="U41" s="27"/>
      <c r="V41" s="27"/>
      <c r="W41" s="27"/>
    </row>
    <row r="42" spans="1:24" ht="12.75" thickBot="1">
      <c r="A42" s="22">
        <v>21</v>
      </c>
      <c r="C42" s="24" t="s">
        <v>47</v>
      </c>
      <c r="D42" s="24"/>
      <c r="E42" s="77">
        <v>4389</v>
      </c>
      <c r="F42" s="142">
        <v>0</v>
      </c>
      <c r="G42" s="77">
        <v>0</v>
      </c>
      <c r="H42" s="78"/>
      <c r="I42" s="77">
        <f>SUM(E42:H42)</f>
        <v>4389</v>
      </c>
      <c r="J42" s="84"/>
      <c r="K42" s="361">
        <f>K26</f>
        <v>0.25856677890011226</v>
      </c>
      <c r="L42" s="78">
        <f>I42*K42</f>
        <v>1134.8495925925927</v>
      </c>
      <c r="M42" s="143">
        <f>I42+L42</f>
        <v>5523.8495925925927</v>
      </c>
      <c r="N42" s="78"/>
      <c r="O42" s="78"/>
      <c r="P42" s="78"/>
      <c r="Q42" s="418">
        <v>1119</v>
      </c>
      <c r="R42" s="78"/>
      <c r="S42" s="143">
        <f>SUM(M42:Q42)</f>
        <v>6642.8495925925927</v>
      </c>
      <c r="U42" s="27"/>
      <c r="V42" s="149"/>
      <c r="W42" s="27"/>
    </row>
    <row r="43" spans="1:24">
      <c r="A43" s="22">
        <v>22</v>
      </c>
      <c r="C43" s="1" t="s">
        <v>52</v>
      </c>
      <c r="D43" s="24"/>
      <c r="E43" s="77">
        <v>-91</v>
      </c>
      <c r="F43" s="142">
        <v>1143</v>
      </c>
      <c r="G43" s="77">
        <v>91</v>
      </c>
      <c r="H43" s="78"/>
      <c r="I43" s="77">
        <f>SUM(E43:H43)</f>
        <v>1143</v>
      </c>
      <c r="J43" s="78"/>
      <c r="K43" s="361">
        <v>0</v>
      </c>
      <c r="L43" s="78">
        <f>I43*K43</f>
        <v>0</v>
      </c>
      <c r="M43" s="143">
        <f>I43+L43</f>
        <v>1143</v>
      </c>
      <c r="N43" s="78"/>
      <c r="O43" s="78"/>
      <c r="P43" s="78"/>
      <c r="Q43" s="78"/>
      <c r="R43" s="78"/>
      <c r="S43" s="143">
        <f>SUM(M43:P43)</f>
        <v>1143</v>
      </c>
      <c r="U43" s="27"/>
      <c r="V43" s="27"/>
      <c r="W43" s="27"/>
    </row>
    <row r="44" spans="1:24">
      <c r="A44" s="22">
        <v>23</v>
      </c>
      <c r="C44" s="24" t="s">
        <v>4</v>
      </c>
      <c r="D44" s="24"/>
      <c r="E44" s="77">
        <v>0</v>
      </c>
      <c r="F44" s="142">
        <v>0</v>
      </c>
      <c r="G44" s="77">
        <v>0</v>
      </c>
      <c r="H44" s="79"/>
      <c r="I44" s="77">
        <f>SUM(E44:H44)</f>
        <v>0</v>
      </c>
      <c r="J44" s="84"/>
      <c r="K44" s="361">
        <f>K27</f>
        <v>0.20995038928118775</v>
      </c>
      <c r="L44" s="79">
        <f>I44*K44</f>
        <v>0</v>
      </c>
      <c r="M44" s="143">
        <f>I44+L44</f>
        <v>0</v>
      </c>
      <c r="N44" s="79"/>
      <c r="O44" s="79"/>
      <c r="P44" s="79"/>
      <c r="Q44" s="82"/>
      <c r="R44" s="82"/>
      <c r="S44" s="143">
        <f>SUM(M44:P44)</f>
        <v>0</v>
      </c>
    </row>
    <row r="45" spans="1:24">
      <c r="A45" s="22">
        <v>24</v>
      </c>
      <c r="B45" s="24" t="s">
        <v>25</v>
      </c>
      <c r="C45" s="24"/>
      <c r="E45" s="140">
        <f t="shared" ref="E45:J45" si="4">SUM(E41:E44)</f>
        <v>17075</v>
      </c>
      <c r="F45" s="332">
        <f t="shared" si="4"/>
        <v>1143</v>
      </c>
      <c r="G45" s="140">
        <f t="shared" si="4"/>
        <v>115.816</v>
      </c>
      <c r="H45" s="140">
        <f t="shared" si="4"/>
        <v>-184</v>
      </c>
      <c r="I45" s="140">
        <f t="shared" si="4"/>
        <v>18149.815999999999</v>
      </c>
      <c r="J45" s="140">
        <f t="shared" si="4"/>
        <v>0</v>
      </c>
      <c r="K45" s="360"/>
      <c r="L45" s="140">
        <f t="shared" ref="L45:S45" si="5">SUM(L41:L44)</f>
        <v>1745.5518869925927</v>
      </c>
      <c r="M45" s="140">
        <f t="shared" si="5"/>
        <v>19895.367886992593</v>
      </c>
      <c r="N45" s="140">
        <f t="shared" si="5"/>
        <v>0</v>
      </c>
      <c r="O45" s="140">
        <f t="shared" si="5"/>
        <v>184</v>
      </c>
      <c r="P45" s="140">
        <f>SUM(P41:P44)</f>
        <v>4</v>
      </c>
      <c r="Q45" s="140">
        <f>Q42</f>
        <v>1119</v>
      </c>
      <c r="R45" s="140">
        <f>SUM(R41:R44)</f>
        <v>0</v>
      </c>
      <c r="S45" s="140">
        <f t="shared" si="5"/>
        <v>21202.367886992593</v>
      </c>
    </row>
    <row r="46" spans="1:24">
      <c r="A46" s="22">
        <v>25</v>
      </c>
      <c r="B46" s="3" t="s">
        <v>26</v>
      </c>
      <c r="C46" s="24"/>
      <c r="D46" s="24"/>
      <c r="E46" s="140">
        <f t="shared" ref="E46:J46" si="6">E22+E28+E34+E36+E37+E38+E45</f>
        <v>138429</v>
      </c>
      <c r="F46" s="332">
        <f t="shared" si="6"/>
        <v>1143</v>
      </c>
      <c r="G46" s="140">
        <f t="shared" si="6"/>
        <v>4340.6485439999997</v>
      </c>
      <c r="H46" s="140">
        <f t="shared" si="6"/>
        <v>-92072</v>
      </c>
      <c r="I46" s="140">
        <f t="shared" si="6"/>
        <v>51840.648543999996</v>
      </c>
      <c r="J46" s="140">
        <f t="shared" si="6"/>
        <v>0</v>
      </c>
      <c r="K46" s="360"/>
      <c r="L46" s="140">
        <f t="shared" ref="L46:S46" si="7">L22+L28+L34+L36+L37+L38+L45</f>
        <v>6194.9594315609984</v>
      </c>
      <c r="M46" s="140">
        <f t="shared" si="7"/>
        <v>58035.607975560997</v>
      </c>
      <c r="N46" s="140">
        <f t="shared" si="7"/>
        <v>0</v>
      </c>
      <c r="O46" s="140">
        <f t="shared" si="7"/>
        <v>92072</v>
      </c>
      <c r="P46" s="140">
        <f>P22+P28+P34+P36+P37+P38+P45</f>
        <v>1041.1323446231002</v>
      </c>
      <c r="Q46" s="140">
        <f>Q45</f>
        <v>1119</v>
      </c>
      <c r="R46" s="425">
        <f>R22+R28+R34+R36+R37+R38+R45</f>
        <v>707</v>
      </c>
      <c r="S46" s="140">
        <f t="shared" si="7"/>
        <v>152974.74032018409</v>
      </c>
    </row>
    <row r="47" spans="1:24" ht="5.25" customHeight="1" thickBot="1">
      <c r="C47" s="24"/>
      <c r="D47" s="24"/>
      <c r="E47" s="140"/>
      <c r="F47" s="332"/>
      <c r="G47" s="140"/>
      <c r="H47" s="138"/>
      <c r="I47" s="138"/>
      <c r="J47" s="138"/>
      <c r="L47" s="138"/>
      <c r="M47" s="138"/>
      <c r="N47" s="138"/>
      <c r="O47" s="138"/>
      <c r="P47" s="138"/>
      <c r="Q47" s="138"/>
      <c r="R47" s="138"/>
      <c r="S47" s="138"/>
    </row>
    <row r="48" spans="1:24" ht="12.75" thickBot="1">
      <c r="A48" s="22">
        <v>26</v>
      </c>
      <c r="B48" s="3" t="s">
        <v>591</v>
      </c>
      <c r="C48" s="24"/>
      <c r="D48" s="24"/>
      <c r="E48" s="77">
        <f t="shared" ref="E48:J48" si="8">E15-E46</f>
        <v>20409</v>
      </c>
      <c r="F48" s="142">
        <f t="shared" si="8"/>
        <v>-1143</v>
      </c>
      <c r="G48" s="77">
        <f t="shared" si="8"/>
        <v>8067.3514560000003</v>
      </c>
      <c r="H48" s="77">
        <f t="shared" si="8"/>
        <v>0</v>
      </c>
      <c r="I48" s="77">
        <f t="shared" si="8"/>
        <v>27333.351456000004</v>
      </c>
      <c r="J48" s="77">
        <f t="shared" si="8"/>
        <v>0</v>
      </c>
      <c r="L48" s="77">
        <f t="shared" ref="L48:S48" si="9">L15-L46</f>
        <v>-6194.9594315609984</v>
      </c>
      <c r="M48" s="77">
        <f t="shared" si="9"/>
        <v>21138.392024439003</v>
      </c>
      <c r="N48" s="77">
        <f t="shared" si="9"/>
        <v>0</v>
      </c>
      <c r="O48" s="77">
        <f t="shared" si="9"/>
        <v>0</v>
      </c>
      <c r="P48" s="77">
        <f t="shared" si="9"/>
        <v>935.6173045116343</v>
      </c>
      <c r="Q48" s="77">
        <f>-Q46</f>
        <v>-1119</v>
      </c>
      <c r="R48" s="418">
        <f t="shared" ref="R48" si="10">R15-R46</f>
        <v>-707</v>
      </c>
      <c r="S48" s="77">
        <f t="shared" si="9"/>
        <v>20248.009328950633</v>
      </c>
    </row>
    <row r="49" spans="1:20" ht="13.5">
      <c r="C49" s="24"/>
      <c r="D49" s="24" t="s">
        <v>571</v>
      </c>
      <c r="E49" s="78"/>
      <c r="F49" s="143"/>
      <c r="G49" s="143"/>
      <c r="H49" s="78"/>
      <c r="I49" s="78"/>
      <c r="L49" s="78"/>
      <c r="M49" s="78"/>
      <c r="N49" s="78"/>
      <c r="O49" s="78"/>
      <c r="P49" s="78"/>
      <c r="Q49" s="78"/>
      <c r="R49" s="78"/>
      <c r="S49" s="78"/>
    </row>
    <row r="50" spans="1:20" ht="19.5" thickBot="1">
      <c r="A50" s="557" t="str">
        <f>A2</f>
        <v>2016 NATURAL GAS ATTRITION REVENUE REQUIREMENT</v>
      </c>
      <c r="B50" s="557"/>
      <c r="C50" s="557"/>
      <c r="D50" s="557"/>
      <c r="E50" s="557"/>
      <c r="F50" s="557"/>
      <c r="G50" s="557"/>
      <c r="H50" s="557"/>
      <c r="I50" s="557"/>
      <c r="J50" s="557"/>
      <c r="K50" s="557"/>
      <c r="L50" s="557"/>
      <c r="M50" s="557"/>
      <c r="N50" s="557"/>
      <c r="O50" s="557"/>
      <c r="P50" s="557"/>
      <c r="Q50" s="557"/>
      <c r="R50" s="557"/>
      <c r="S50" s="557"/>
    </row>
    <row r="51" spans="1:20" ht="1.5" customHeight="1">
      <c r="A51" s="2"/>
    </row>
    <row r="52" spans="1:20" ht="3" customHeight="1" thickBot="1">
      <c r="A52" s="2"/>
      <c r="B52" s="2"/>
      <c r="C52" s="2"/>
      <c r="D52" s="2"/>
    </row>
    <row r="53" spans="1:20" ht="13.5" customHeight="1" thickBot="1">
      <c r="A53" s="347"/>
      <c r="B53" s="348"/>
      <c r="C53" s="348"/>
      <c r="D53" s="349" t="s">
        <v>220</v>
      </c>
      <c r="E53" s="551" t="s">
        <v>246</v>
      </c>
      <c r="F53" s="551"/>
      <c r="G53" s="551"/>
      <c r="H53" s="551"/>
      <c r="I53" s="552"/>
      <c r="J53" s="350"/>
      <c r="K53" s="351"/>
      <c r="L53" s="553" t="s">
        <v>164</v>
      </c>
      <c r="M53" s="553"/>
      <c r="N53" s="351"/>
      <c r="O53" s="567" t="s">
        <v>245</v>
      </c>
      <c r="P53" s="553"/>
      <c r="Q53" s="553"/>
      <c r="R53" s="387"/>
      <c r="S53" s="352"/>
      <c r="T53" s="467" t="s">
        <v>577</v>
      </c>
    </row>
    <row r="54" spans="1:20" s="6" customFormat="1" ht="13.15" customHeight="1">
      <c r="A54" s="5"/>
      <c r="E54" s="558" t="s">
        <v>569</v>
      </c>
      <c r="F54" s="573" t="str">
        <f>F6</f>
        <v>Regulatory Amorts Adjs</v>
      </c>
      <c r="G54" s="573" t="str">
        <f>G6</f>
        <v>Pro Forma Revenue Normalization Adjustment</v>
      </c>
      <c r="H54" s="573" t="str">
        <f>H6</f>
        <v>Exclude Normalized Gas Costs and Revenue</v>
      </c>
      <c r="I54" s="570" t="str">
        <f>I6</f>
        <v>December 2014 Escalation Base</v>
      </c>
      <c r="K54" s="570" t="str">
        <f>K6</f>
        <v>Escalation Factor</v>
      </c>
      <c r="L54" s="570" t="str">
        <f>L6</f>
        <v>Escalation Amount      [E] *[F]=[G]</v>
      </c>
      <c r="M54" s="570" t="str">
        <f>M6</f>
        <v>Trended 2016 Non-Energy Cost [E]+[G]=[H]</v>
      </c>
      <c r="O54" s="574" t="str">
        <f>O6</f>
        <v>(plus) 12.2014 Pro-Formed Gas Cost/Revenue</v>
      </c>
      <c r="P54" s="570" t="str">
        <f>P6</f>
        <v>(plus) Revenue Growth</v>
      </c>
      <c r="Q54" s="544" t="str">
        <f>Q6</f>
        <v>After Attrition Adj - Project Compass</v>
      </c>
      <c r="R54" s="544" t="str">
        <f>R6</f>
        <v>After Attrition Adj - Atmos Testing</v>
      </c>
      <c r="S54" s="544" t="str">
        <f>S6</f>
        <v>2016 Revenue and Cost [H]+[I]+[J]+ [K]+[L] = [M]</v>
      </c>
    </row>
    <row r="55" spans="1:20" s="6" customFormat="1">
      <c r="A55" s="25" t="s">
        <v>221</v>
      </c>
      <c r="B55" s="75"/>
      <c r="C55" s="75"/>
      <c r="D55" s="27"/>
      <c r="E55" s="559"/>
      <c r="F55" s="559"/>
      <c r="G55" s="559"/>
      <c r="H55" s="559"/>
      <c r="I55" s="571"/>
      <c r="J55" s="76"/>
      <c r="K55" s="571"/>
      <c r="L55" s="571"/>
      <c r="M55" s="571"/>
      <c r="N55" s="76"/>
      <c r="O55" s="575"/>
      <c r="P55" s="571"/>
      <c r="Q55" s="545"/>
      <c r="R55" s="545"/>
      <c r="S55" s="545"/>
    </row>
    <row r="56" spans="1:20" s="6" customFormat="1">
      <c r="A56" s="25" t="s">
        <v>0</v>
      </c>
      <c r="B56" s="75"/>
      <c r="C56" s="75"/>
      <c r="D56" s="27"/>
      <c r="E56" s="559"/>
      <c r="F56" s="559"/>
      <c r="G56" s="559"/>
      <c r="H56" s="559"/>
      <c r="I56" s="571"/>
      <c r="J56" s="76"/>
      <c r="K56" s="571"/>
      <c r="L56" s="571"/>
      <c r="M56" s="571"/>
      <c r="N56" s="76"/>
      <c r="O56" s="575"/>
      <c r="P56" s="571"/>
      <c r="Q56" s="545"/>
      <c r="R56" s="545"/>
      <c r="S56" s="545"/>
    </row>
    <row r="57" spans="1:20" s="6" customFormat="1" ht="26.25" customHeight="1">
      <c r="A57" s="95" t="s">
        <v>2</v>
      </c>
      <c r="B57" s="96"/>
      <c r="C57" s="96"/>
      <c r="D57" s="96" t="s">
        <v>3</v>
      </c>
      <c r="E57" s="560"/>
      <c r="F57" s="560"/>
      <c r="G57" s="560"/>
      <c r="H57" s="560"/>
      <c r="I57" s="572"/>
      <c r="J57" s="76"/>
      <c r="K57" s="572"/>
      <c r="L57" s="572"/>
      <c r="M57" s="572"/>
      <c r="N57" s="76"/>
      <c r="O57" s="576"/>
      <c r="P57" s="572"/>
      <c r="Q57" s="546"/>
      <c r="R57" s="546"/>
      <c r="S57" s="546"/>
    </row>
    <row r="58" spans="1:20" s="6" customFormat="1" ht="12.75">
      <c r="A58" s="25"/>
      <c r="B58" s="75"/>
      <c r="C58" s="75"/>
      <c r="D58" s="75"/>
      <c r="E58" s="136" t="str">
        <f>E10</f>
        <v>[A]</v>
      </c>
      <c r="F58" s="333" t="str">
        <f t="shared" ref="F58:S58" si="11">F10</f>
        <v>[B]</v>
      </c>
      <c r="G58" s="136" t="str">
        <f t="shared" si="11"/>
        <v>[C]</v>
      </c>
      <c r="H58" s="136" t="str">
        <f t="shared" si="11"/>
        <v>[D]</v>
      </c>
      <c r="I58" s="136" t="str">
        <f t="shared" si="11"/>
        <v>[E]</v>
      </c>
      <c r="J58" s="137"/>
      <c r="K58" s="136" t="str">
        <f t="shared" si="11"/>
        <v>[F]</v>
      </c>
      <c r="L58" s="136" t="str">
        <f t="shared" si="11"/>
        <v>[G]</v>
      </c>
      <c r="M58" s="136" t="str">
        <f t="shared" si="11"/>
        <v>[H]</v>
      </c>
      <c r="N58" s="137"/>
      <c r="O58" s="136" t="str">
        <f t="shared" si="11"/>
        <v>[I]</v>
      </c>
      <c r="P58" s="136" t="str">
        <f t="shared" si="11"/>
        <v>[J]</v>
      </c>
      <c r="Q58" s="204" t="s">
        <v>257</v>
      </c>
      <c r="R58" s="204" t="s">
        <v>545</v>
      </c>
      <c r="S58" s="136" t="str">
        <f t="shared" si="11"/>
        <v>[M]</v>
      </c>
    </row>
    <row r="59" spans="1:20" ht="12.75" thickBot="1">
      <c r="B59" s="3" t="s">
        <v>28</v>
      </c>
      <c r="C59" s="24"/>
      <c r="D59" s="24"/>
      <c r="E59" s="78"/>
      <c r="F59" s="143"/>
      <c r="G59" s="78"/>
      <c r="H59" s="78"/>
      <c r="I59" s="78"/>
      <c r="L59" s="78"/>
      <c r="M59" s="78"/>
      <c r="N59" s="78"/>
      <c r="O59" s="78"/>
      <c r="P59" s="78"/>
      <c r="Q59" s="78"/>
      <c r="R59" s="78"/>
      <c r="S59" s="78"/>
    </row>
    <row r="60" spans="1:20" ht="12.75" thickBot="1">
      <c r="A60" s="22">
        <v>27</v>
      </c>
      <c r="B60" s="24" t="s">
        <v>29</v>
      </c>
      <c r="D60" s="24"/>
      <c r="E60" s="77">
        <v>-6945</v>
      </c>
      <c r="F60" s="142">
        <f>0.35*F48</f>
        <v>-400.04999999999995</v>
      </c>
      <c r="G60" s="143">
        <f>0.35*G48</f>
        <v>2823.5730095999998</v>
      </c>
      <c r="H60" s="143">
        <f>0.35*H48</f>
        <v>0</v>
      </c>
      <c r="I60" s="77">
        <f>SUM(E60:H60)</f>
        <v>-4521.4769904000004</v>
      </c>
      <c r="L60" s="143">
        <f>0.35*L48</f>
        <v>-2168.2358010463495</v>
      </c>
      <c r="M60" s="143">
        <f>I60+L60</f>
        <v>-6689.7127914463499</v>
      </c>
      <c r="N60" s="143"/>
      <c r="O60" s="143">
        <f>0.35*O48</f>
        <v>0</v>
      </c>
      <c r="P60" s="143">
        <f>0.35*P48</f>
        <v>327.46605657907196</v>
      </c>
      <c r="Q60" s="143">
        <f>0.35*Q48</f>
        <v>-391.65</v>
      </c>
      <c r="R60" s="418">
        <f>0.35*R48</f>
        <v>-247.45</v>
      </c>
      <c r="S60" s="143">
        <f>SUM(M60:R60)</f>
        <v>-7001.3467348672775</v>
      </c>
    </row>
    <row r="61" spans="1:20" ht="12.75" thickBot="1">
      <c r="A61" s="22">
        <v>28</v>
      </c>
      <c r="B61" s="24" t="s">
        <v>46</v>
      </c>
      <c r="D61" s="24"/>
      <c r="E61" s="77">
        <v>-137</v>
      </c>
      <c r="F61" s="142">
        <f>F86*ROR!$F$58*-0.35</f>
        <v>0</v>
      </c>
      <c r="G61" s="142">
        <f>G86*ROR!$F$58*-0.35</f>
        <v>0</v>
      </c>
      <c r="H61" s="77">
        <f>H86*ROR!$F$58*-0.35</f>
        <v>0</v>
      </c>
      <c r="I61" s="77">
        <f>SUM(E61:H61)</f>
        <v>-137</v>
      </c>
      <c r="L61" s="143">
        <f>(ROR!F11*-0.35*L86)+(ROR!F11-ROR!F58)*I86*-0.35</f>
        <v>59.561166</v>
      </c>
      <c r="M61" s="143">
        <f>I61+L61</f>
        <v>-77.438834</v>
      </c>
      <c r="N61" s="78"/>
      <c r="O61" s="78"/>
      <c r="P61" s="78"/>
      <c r="Q61" s="418">
        <f>Q86*ROR!$F$11*-0.35</f>
        <v>-113.52614</v>
      </c>
      <c r="R61" s="78"/>
      <c r="S61" s="418">
        <f>SUM(M61:Q61)</f>
        <v>-190.96497399999998</v>
      </c>
      <c r="T61" s="469">
        <f>((T86-S86)*ROR!$F$11*-0.35)+S61</f>
        <v>-203.11207399999998</v>
      </c>
    </row>
    <row r="62" spans="1:20">
      <c r="A62" s="22">
        <v>29</v>
      </c>
      <c r="B62" s="24" t="s">
        <v>30</v>
      </c>
      <c r="D62" s="24"/>
      <c r="E62" s="77">
        <v>13105</v>
      </c>
      <c r="F62" s="142">
        <v>0</v>
      </c>
      <c r="G62" s="77">
        <v>0</v>
      </c>
      <c r="H62" s="78"/>
      <c r="I62" s="77">
        <f>SUM(E62:H62)</f>
        <v>13105</v>
      </c>
      <c r="L62" s="78"/>
      <c r="M62" s="143">
        <f>I62+L62</f>
        <v>13105</v>
      </c>
      <c r="N62" s="78"/>
      <c r="O62" s="78"/>
      <c r="P62" s="78"/>
      <c r="Q62" s="78"/>
      <c r="R62" s="78"/>
      <c r="S62" s="143">
        <f>SUM(M62:P62)</f>
        <v>13105</v>
      </c>
    </row>
    <row r="63" spans="1:20">
      <c r="A63" s="22">
        <v>30</v>
      </c>
      <c r="B63" s="24" t="s">
        <v>31</v>
      </c>
      <c r="D63" s="24"/>
      <c r="E63" s="77">
        <f>-21+1</f>
        <v>-20</v>
      </c>
      <c r="F63" s="142">
        <v>0</v>
      </c>
      <c r="G63" s="77">
        <v>0</v>
      </c>
      <c r="H63" s="79"/>
      <c r="I63" s="77">
        <f>SUM(E63:H63)</f>
        <v>-20</v>
      </c>
      <c r="L63" s="79"/>
      <c r="M63" s="143">
        <f>I63+L63</f>
        <v>-20</v>
      </c>
      <c r="N63" s="79"/>
      <c r="O63" s="79"/>
      <c r="P63" s="79"/>
      <c r="Q63" s="79"/>
      <c r="R63" s="79"/>
      <c r="S63" s="143">
        <f>SUM(M63:P63)</f>
        <v>-20</v>
      </c>
    </row>
    <row r="64" spans="1:20" ht="12.75" thickBot="1">
      <c r="E64" s="138"/>
      <c r="F64" s="334"/>
      <c r="G64" s="138"/>
      <c r="H64" s="78"/>
      <c r="I64" s="138"/>
      <c r="L64" s="78"/>
      <c r="M64" s="138"/>
      <c r="N64" s="78"/>
      <c r="O64" s="78"/>
      <c r="P64" s="78"/>
      <c r="Q64" s="78"/>
      <c r="R64" s="78"/>
      <c r="S64" s="138"/>
    </row>
    <row r="65" spans="1:23" s="23" customFormat="1" ht="12.75" thickBot="1">
      <c r="A65" s="22">
        <v>31</v>
      </c>
      <c r="B65" s="23" t="s">
        <v>32</v>
      </c>
      <c r="E65" s="80">
        <f>E48-E60-E61-E62-E63</f>
        <v>14406</v>
      </c>
      <c r="F65" s="144">
        <f>F48-F60-F61-F62-F63</f>
        <v>-742.95</v>
      </c>
      <c r="G65" s="80">
        <f>G48-G60-G61-G62-G63</f>
        <v>5243.7784464000006</v>
      </c>
      <c r="H65" s="80">
        <f>H48-H60-H61-H62-H63</f>
        <v>0</v>
      </c>
      <c r="I65" s="80">
        <f>I48-I60-I61-I62-I63</f>
        <v>18906.828446400003</v>
      </c>
      <c r="K65" s="363"/>
      <c r="L65" s="144">
        <f t="shared" ref="L65:O65" si="12">L48-L60-L61-L62-L63</f>
        <v>-4086.2847965146489</v>
      </c>
      <c r="M65" s="144">
        <f>M48-M60-M61-M62-M63</f>
        <v>14820.543649885352</v>
      </c>
      <c r="N65" s="144">
        <f t="shared" si="12"/>
        <v>0</v>
      </c>
      <c r="O65" s="144">
        <f t="shared" si="12"/>
        <v>0</v>
      </c>
      <c r="P65" s="80">
        <f>P48-P60-P61-P62-P63</f>
        <v>608.15124793256234</v>
      </c>
      <c r="Q65" s="80">
        <f>Q48-Q60-Q61-Q62-Q63</f>
        <v>-613.82385999999997</v>
      </c>
      <c r="R65" s="80">
        <f>R48-R60-R61-R62-R63</f>
        <v>-459.55</v>
      </c>
      <c r="S65" s="144">
        <f>S48-S60-S61-S62-S63</f>
        <v>14355.32103781791</v>
      </c>
      <c r="T65" s="468">
        <f>S48-S60-T61-S62-S63</f>
        <v>14367.468137817912</v>
      </c>
    </row>
    <row r="66" spans="1:23" ht="6.75" customHeight="1" thickTop="1">
      <c r="E66" s="78"/>
      <c r="F66" s="143"/>
      <c r="G66" s="78"/>
      <c r="H66" s="78"/>
      <c r="I66" s="78"/>
      <c r="K66" s="360"/>
      <c r="L66" s="78"/>
      <c r="M66" s="78"/>
      <c r="N66" s="78"/>
      <c r="O66" s="78"/>
      <c r="P66" s="78"/>
      <c r="Q66" s="78"/>
      <c r="R66" s="78"/>
      <c r="S66" s="78"/>
    </row>
    <row r="67" spans="1:23">
      <c r="B67" s="3" t="s">
        <v>40</v>
      </c>
      <c r="E67" s="78"/>
      <c r="F67" s="143"/>
      <c r="G67" s="78"/>
      <c r="H67" s="78"/>
      <c r="I67" s="78"/>
      <c r="K67" s="360"/>
      <c r="L67" s="78"/>
      <c r="M67" s="78"/>
      <c r="N67" s="78"/>
      <c r="O67" s="78"/>
      <c r="P67" s="78"/>
      <c r="Q67" s="78"/>
      <c r="R67" s="78"/>
      <c r="S67" s="78"/>
    </row>
    <row r="68" spans="1:23">
      <c r="B68" s="3" t="s">
        <v>41</v>
      </c>
      <c r="E68" s="78"/>
      <c r="F68" s="143"/>
      <c r="G68" s="78"/>
      <c r="H68" s="78"/>
      <c r="I68" s="78"/>
      <c r="K68" s="360"/>
      <c r="L68" s="78"/>
      <c r="M68" s="78"/>
      <c r="N68" s="78"/>
      <c r="O68" s="78"/>
      <c r="P68" s="78"/>
      <c r="Q68" s="78"/>
      <c r="R68" s="78"/>
      <c r="S68" s="78"/>
    </row>
    <row r="69" spans="1:23">
      <c r="A69" s="22">
        <v>32</v>
      </c>
      <c r="B69" s="24"/>
      <c r="C69" s="24" t="s">
        <v>16</v>
      </c>
      <c r="D69" s="24"/>
      <c r="E69" s="77">
        <v>25235</v>
      </c>
      <c r="F69" s="142">
        <v>0</v>
      </c>
      <c r="G69" s="77">
        <v>0</v>
      </c>
      <c r="H69" s="77"/>
      <c r="I69" s="77">
        <f>SUM(E69:H69)</f>
        <v>25235</v>
      </c>
      <c r="J69" s="84"/>
      <c r="K69" s="419">
        <f>'Net plant'!$D$30</f>
        <v>0</v>
      </c>
      <c r="L69" s="77">
        <f>I69*K69</f>
        <v>0</v>
      </c>
      <c r="M69" s="143">
        <f>I69+L69</f>
        <v>25235</v>
      </c>
      <c r="N69" s="77"/>
      <c r="O69" s="77"/>
      <c r="P69" s="77"/>
      <c r="Q69" s="77"/>
      <c r="R69" s="77"/>
      <c r="S69" s="77">
        <f>SUM(M69:P69)</f>
        <v>25235</v>
      </c>
    </row>
    <row r="70" spans="1:23" ht="12.75" thickBot="1">
      <c r="A70" s="22">
        <v>33</v>
      </c>
      <c r="B70" s="24"/>
      <c r="C70" s="24" t="s">
        <v>33</v>
      </c>
      <c r="D70" s="24"/>
      <c r="E70" s="77">
        <v>337894</v>
      </c>
      <c r="F70" s="142">
        <v>0</v>
      </c>
      <c r="G70" s="77"/>
      <c r="H70" s="78"/>
      <c r="I70" s="77">
        <f>SUM(E70:H70)</f>
        <v>337894</v>
      </c>
      <c r="J70" s="84"/>
      <c r="K70" s="361">
        <f>$K$69</f>
        <v>0</v>
      </c>
      <c r="L70" s="78">
        <f>I70*K70</f>
        <v>0</v>
      </c>
      <c r="M70" s="143">
        <f>I70+L70</f>
        <v>337894</v>
      </c>
      <c r="N70" s="78"/>
      <c r="O70" s="78"/>
      <c r="P70" s="78"/>
      <c r="Q70" s="78"/>
      <c r="R70" s="78"/>
      <c r="S70" s="78">
        <f>SUM(M70:P70)</f>
        <v>337894</v>
      </c>
    </row>
    <row r="71" spans="1:23" ht="12.75" thickBot="1">
      <c r="A71" s="22">
        <v>34</v>
      </c>
      <c r="B71" s="24"/>
      <c r="C71" s="24" t="s">
        <v>34</v>
      </c>
      <c r="D71" s="24"/>
      <c r="E71" s="77">
        <v>59169</v>
      </c>
      <c r="F71" s="142">
        <v>0</v>
      </c>
      <c r="G71" s="77">
        <v>0</v>
      </c>
      <c r="H71" s="79"/>
      <c r="I71" s="77">
        <f>SUM(E71:H71)</f>
        <v>59169</v>
      </c>
      <c r="J71" s="84"/>
      <c r="K71" s="361">
        <f>$K$69</f>
        <v>0</v>
      </c>
      <c r="L71" s="79">
        <f>I71*K71</f>
        <v>0</v>
      </c>
      <c r="M71" s="143">
        <f>I71+L71</f>
        <v>59169</v>
      </c>
      <c r="N71" s="79"/>
      <c r="O71" s="79"/>
      <c r="P71" s="79"/>
      <c r="Q71" s="418">
        <v>13239</v>
      </c>
      <c r="R71" s="397"/>
      <c r="S71" s="78">
        <f>SUM(M71:Q71)</f>
        <v>72408</v>
      </c>
    </row>
    <row r="72" spans="1:23">
      <c r="A72" s="22">
        <v>35</v>
      </c>
      <c r="B72" s="24" t="s">
        <v>35</v>
      </c>
      <c r="C72" s="24"/>
      <c r="E72" s="140">
        <f t="shared" ref="E72:J72" si="13">SUM(E69:E71)</f>
        <v>422298</v>
      </c>
      <c r="F72" s="332">
        <f t="shared" si="13"/>
        <v>0</v>
      </c>
      <c r="G72" s="140">
        <f t="shared" si="13"/>
        <v>0</v>
      </c>
      <c r="H72" s="140">
        <f t="shared" si="13"/>
        <v>0</v>
      </c>
      <c r="I72" s="140">
        <f t="shared" si="13"/>
        <v>422298</v>
      </c>
      <c r="J72" s="140">
        <f t="shared" si="13"/>
        <v>0</v>
      </c>
      <c r="K72" s="360"/>
      <c r="L72" s="78">
        <f>SUM(L69:L71)</f>
        <v>0</v>
      </c>
      <c r="M72" s="138">
        <f>SUM(M69:M71)</f>
        <v>422298</v>
      </c>
      <c r="N72" s="78"/>
      <c r="O72" s="78"/>
      <c r="P72" s="78"/>
      <c r="Q72" s="78">
        <f>SUM(Q69:Q71)</f>
        <v>13239</v>
      </c>
      <c r="R72" s="78"/>
      <c r="S72" s="138">
        <f>SUM(S69:S71)</f>
        <v>435537</v>
      </c>
    </row>
    <row r="73" spans="1:23">
      <c r="B73" s="24"/>
      <c r="C73" s="24"/>
      <c r="E73" s="78"/>
      <c r="F73" s="143"/>
      <c r="G73" s="78"/>
      <c r="H73" s="78"/>
      <c r="I73" s="78"/>
      <c r="K73" s="360"/>
      <c r="L73" s="78"/>
      <c r="M73" s="78"/>
      <c r="N73" s="78"/>
      <c r="O73" s="78"/>
      <c r="P73" s="78"/>
      <c r="Q73" s="78"/>
      <c r="R73" s="78"/>
      <c r="S73" s="78"/>
    </row>
    <row r="74" spans="1:23">
      <c r="B74" s="24" t="s">
        <v>535</v>
      </c>
      <c r="C74" s="24"/>
      <c r="D74" s="24"/>
      <c r="E74" s="78"/>
      <c r="F74" s="143"/>
      <c r="G74" s="78"/>
      <c r="H74" s="78"/>
      <c r="I74" s="78"/>
      <c r="K74" s="360"/>
      <c r="L74" s="78"/>
      <c r="M74" s="78"/>
      <c r="N74" s="78"/>
      <c r="O74" s="78"/>
      <c r="P74" s="78"/>
      <c r="Q74" s="78"/>
      <c r="R74" s="78"/>
      <c r="S74" s="78"/>
    </row>
    <row r="75" spans="1:23">
      <c r="A75" s="22">
        <v>36</v>
      </c>
      <c r="B75" s="24"/>
      <c r="C75" s="24" t="s">
        <v>16</v>
      </c>
      <c r="D75" s="24"/>
      <c r="E75" s="77">
        <v>-9521</v>
      </c>
      <c r="F75" s="142">
        <v>0</v>
      </c>
      <c r="G75" s="77">
        <v>0</v>
      </c>
      <c r="H75" s="78"/>
      <c r="I75" s="77">
        <f>SUM(E75:H75)</f>
        <v>-9521</v>
      </c>
      <c r="J75" s="84"/>
      <c r="K75" s="361">
        <f>$K$69</f>
        <v>0</v>
      </c>
      <c r="L75" s="78">
        <f>I75*K75</f>
        <v>0</v>
      </c>
      <c r="M75" s="143">
        <f>I75+L75</f>
        <v>-9521</v>
      </c>
      <c r="N75" s="78"/>
      <c r="O75" s="78"/>
      <c r="P75" s="78"/>
      <c r="Q75" s="78"/>
      <c r="R75" s="78"/>
      <c r="S75" s="78">
        <f>SUM(M75:P75)</f>
        <v>-9521</v>
      </c>
    </row>
    <row r="76" spans="1:23" ht="12.75" thickBot="1">
      <c r="A76" s="22">
        <v>37</v>
      </c>
      <c r="B76" s="24"/>
      <c r="C76" s="24" t="s">
        <v>33</v>
      </c>
      <c r="D76" s="24"/>
      <c r="E76" s="77">
        <v>-114795</v>
      </c>
      <c r="F76" s="142">
        <v>0</v>
      </c>
      <c r="G76" s="77"/>
      <c r="H76" s="78"/>
      <c r="I76" s="77">
        <f>SUM(E76:H76)</f>
        <v>-114795</v>
      </c>
      <c r="J76" s="84"/>
      <c r="K76" s="361">
        <f>$K$69</f>
        <v>0</v>
      </c>
      <c r="L76" s="78">
        <f>I76*K76</f>
        <v>0</v>
      </c>
      <c r="M76" s="143">
        <f>I76+L76</f>
        <v>-114795</v>
      </c>
      <c r="N76" s="78"/>
      <c r="O76" s="78"/>
      <c r="P76" s="78"/>
      <c r="Q76" s="78"/>
      <c r="R76" s="78"/>
      <c r="S76" s="78">
        <f>SUM(M76:P76)</f>
        <v>-114795</v>
      </c>
    </row>
    <row r="77" spans="1:23" ht="12.75" thickBot="1">
      <c r="A77" s="22">
        <v>38</v>
      </c>
      <c r="B77" s="24"/>
      <c r="C77" s="24" t="s">
        <v>34</v>
      </c>
      <c r="D77" s="24"/>
      <c r="E77" s="77">
        <v>-17429</v>
      </c>
      <c r="F77" s="142">
        <v>0</v>
      </c>
      <c r="G77" s="77">
        <v>0</v>
      </c>
      <c r="H77" s="78"/>
      <c r="I77" s="77">
        <f>SUM(E77:H77)</f>
        <v>-17429</v>
      </c>
      <c r="J77" s="84"/>
      <c r="K77" s="361">
        <f>$K$69</f>
        <v>0</v>
      </c>
      <c r="L77" s="78">
        <f>I77*K77</f>
        <v>0</v>
      </c>
      <c r="M77" s="143">
        <f>I77+L77</f>
        <v>-17429</v>
      </c>
      <c r="N77" s="78"/>
      <c r="O77" s="78"/>
      <c r="P77" s="78"/>
      <c r="Q77" s="418">
        <v>-559</v>
      </c>
      <c r="R77" s="78"/>
      <c r="S77" s="78">
        <f>SUM(M77:Q77)</f>
        <v>-17988</v>
      </c>
    </row>
    <row r="78" spans="1:23">
      <c r="A78" s="22">
        <v>39</v>
      </c>
      <c r="B78" s="24" t="s">
        <v>534</v>
      </c>
      <c r="C78" s="24"/>
      <c r="E78" s="139">
        <f>SUM(E75:E77)</f>
        <v>-141745</v>
      </c>
      <c r="F78" s="335">
        <f>SUM(F75:F77)</f>
        <v>0</v>
      </c>
      <c r="G78" s="139">
        <f>SUM(G75:G77)</f>
        <v>0</v>
      </c>
      <c r="H78" s="139">
        <f>SUM(H75:H77)</f>
        <v>0</v>
      </c>
      <c r="I78" s="139">
        <f>SUM(I75:I77)</f>
        <v>-141745</v>
      </c>
      <c r="K78" s="360"/>
      <c r="L78" s="81">
        <f>SUM(L75:L77)</f>
        <v>0</v>
      </c>
      <c r="M78" s="81">
        <f>SUM(M75:M77)</f>
        <v>-141745</v>
      </c>
      <c r="N78" s="81">
        <f>SUM(N75:N77)</f>
        <v>0</v>
      </c>
      <c r="O78" s="81"/>
      <c r="P78" s="81"/>
      <c r="Q78" s="81">
        <f>SUM(Q75:Q77)</f>
        <v>-559</v>
      </c>
      <c r="R78" s="81"/>
      <c r="S78" s="81">
        <f>SUM(S75:S77)</f>
        <v>-142304</v>
      </c>
    </row>
    <row r="79" spans="1:23" ht="12.75" thickBot="1">
      <c r="A79" s="22">
        <v>40</v>
      </c>
      <c r="B79" s="24" t="s">
        <v>44</v>
      </c>
      <c r="C79" s="24"/>
      <c r="D79" s="24"/>
      <c r="E79" s="77">
        <f>E72+E78</f>
        <v>280553</v>
      </c>
      <c r="F79" s="142">
        <f>F72+F78</f>
        <v>0</v>
      </c>
      <c r="G79" s="77">
        <f>G72+G78</f>
        <v>0</v>
      </c>
      <c r="H79" s="77">
        <f>H72+H78</f>
        <v>0</v>
      </c>
      <c r="I79" s="77">
        <f>I72+I78</f>
        <v>280553</v>
      </c>
      <c r="K79" s="360"/>
      <c r="L79" s="77">
        <f>L72+L78</f>
        <v>0</v>
      </c>
      <c r="M79" s="77">
        <f>M72+M78</f>
        <v>280553</v>
      </c>
      <c r="N79" s="82">
        <f>N72-N78</f>
        <v>0</v>
      </c>
      <c r="O79" s="82"/>
      <c r="P79" s="82"/>
      <c r="Q79" s="77">
        <f>Q72+Q78</f>
        <v>12680</v>
      </c>
      <c r="R79" s="82"/>
      <c r="S79" s="82">
        <f>S72+S78</f>
        <v>293233</v>
      </c>
    </row>
    <row r="80" spans="1:23" s="27" customFormat="1" ht="12.75" thickBot="1">
      <c r="A80" s="25">
        <v>41</v>
      </c>
      <c r="B80" s="26" t="s">
        <v>42</v>
      </c>
      <c r="C80" s="26"/>
      <c r="D80" s="26"/>
      <c r="E80" s="77">
        <v>-54652</v>
      </c>
      <c r="F80" s="142">
        <v>0</v>
      </c>
      <c r="G80" s="77"/>
      <c r="H80" s="79"/>
      <c r="I80" s="77">
        <f>SUM(E80:H80)</f>
        <v>-54652</v>
      </c>
      <c r="J80" s="84"/>
      <c r="K80" s="361">
        <f>$K$69</f>
        <v>0</v>
      </c>
      <c r="L80" s="79">
        <f>I80*K80</f>
        <v>0</v>
      </c>
      <c r="M80" s="143">
        <f>I80+L80</f>
        <v>-54652</v>
      </c>
      <c r="N80" s="79"/>
      <c r="O80" s="79"/>
      <c r="P80" s="79"/>
      <c r="Q80" s="418">
        <v>-577</v>
      </c>
      <c r="R80" s="79"/>
      <c r="S80" s="78">
        <f>SUM(M80:Q80)</f>
        <v>-55229</v>
      </c>
      <c r="U80" s="76"/>
      <c r="V80" s="3"/>
      <c r="W80" s="3"/>
    </row>
    <row r="81" spans="1:23" s="27" customFormat="1">
      <c r="A81" s="25">
        <v>42</v>
      </c>
      <c r="B81" s="26" t="s">
        <v>50</v>
      </c>
      <c r="C81" s="26"/>
      <c r="D81" s="26"/>
      <c r="E81" s="140">
        <f>E79+E80</f>
        <v>225901</v>
      </c>
      <c r="F81" s="332">
        <f>F79+F80</f>
        <v>0</v>
      </c>
      <c r="G81" s="140">
        <f>G79+G80</f>
        <v>0</v>
      </c>
      <c r="H81" s="140">
        <f>H79+H80</f>
        <v>0</v>
      </c>
      <c r="I81" s="140">
        <f>I79+I80</f>
        <v>225901</v>
      </c>
      <c r="K81" s="364"/>
      <c r="L81" s="82">
        <f>L79+L80</f>
        <v>0</v>
      </c>
      <c r="M81" s="138">
        <f>M79+M80</f>
        <v>225901</v>
      </c>
      <c r="N81" s="82"/>
      <c r="O81" s="82"/>
      <c r="P81" s="82"/>
      <c r="Q81" s="138">
        <f>Q79+Q80</f>
        <v>12103</v>
      </c>
      <c r="R81" s="82"/>
      <c r="S81" s="138">
        <f>S79+S80</f>
        <v>238004</v>
      </c>
      <c r="U81" s="330"/>
      <c r="V81" s="329"/>
      <c r="W81" s="3"/>
    </row>
    <row r="82" spans="1:23">
      <c r="A82" s="22">
        <v>43</v>
      </c>
      <c r="B82" s="24" t="s">
        <v>36</v>
      </c>
      <c r="C82" s="24"/>
      <c r="D82" s="24"/>
      <c r="E82" s="77">
        <v>14762</v>
      </c>
      <c r="F82" s="142">
        <v>0</v>
      </c>
      <c r="G82" s="77">
        <v>0</v>
      </c>
      <c r="H82" s="78"/>
      <c r="I82" s="77">
        <f>SUM(E82:H82)</f>
        <v>14762</v>
      </c>
      <c r="J82" s="84"/>
      <c r="K82" s="361">
        <v>0</v>
      </c>
      <c r="L82" s="78">
        <f>I82*K82</f>
        <v>0</v>
      </c>
      <c r="M82" s="143">
        <f>I82+L82</f>
        <v>14762</v>
      </c>
      <c r="N82" s="78"/>
      <c r="O82" s="78"/>
      <c r="P82" s="78"/>
      <c r="Q82" s="78"/>
      <c r="R82" s="78"/>
      <c r="S82" s="78">
        <f>SUM(M82:P82)</f>
        <v>14762</v>
      </c>
      <c r="V82" s="123"/>
    </row>
    <row r="83" spans="1:23" s="27" customFormat="1">
      <c r="A83" s="25">
        <v>44</v>
      </c>
      <c r="B83" s="26" t="s">
        <v>37</v>
      </c>
      <c r="C83" s="26"/>
      <c r="D83" s="26"/>
      <c r="E83" s="77">
        <v>0</v>
      </c>
      <c r="F83" s="142">
        <v>0</v>
      </c>
      <c r="G83" s="77">
        <v>0</v>
      </c>
      <c r="H83" s="82"/>
      <c r="I83" s="77">
        <f>SUM(E83:H83)</f>
        <v>0</v>
      </c>
      <c r="J83" s="84"/>
      <c r="K83" s="84">
        <v>0</v>
      </c>
      <c r="L83" s="82">
        <f>I83*K83</f>
        <v>0</v>
      </c>
      <c r="M83" s="143">
        <f>I83+L83</f>
        <v>0</v>
      </c>
      <c r="N83" s="82"/>
      <c r="O83" s="82"/>
      <c r="P83" s="82"/>
      <c r="Q83" s="82"/>
      <c r="R83" s="82"/>
      <c r="S83" s="78">
        <f>SUM(M83:P83)</f>
        <v>0</v>
      </c>
      <c r="V83" s="37"/>
      <c r="W83" s="3"/>
    </row>
    <row r="84" spans="1:23" s="27" customFormat="1">
      <c r="A84" s="25">
        <v>45</v>
      </c>
      <c r="B84" s="26" t="s">
        <v>54</v>
      </c>
      <c r="C84" s="26"/>
      <c r="D84" s="26"/>
      <c r="E84" s="77">
        <v>-479</v>
      </c>
      <c r="F84" s="142">
        <v>0</v>
      </c>
      <c r="G84" s="77">
        <v>0</v>
      </c>
      <c r="H84" s="82"/>
      <c r="I84" s="77">
        <f>SUM(E84:H84)</f>
        <v>-479</v>
      </c>
      <c r="J84" s="84"/>
      <c r="K84" s="84">
        <v>0</v>
      </c>
      <c r="L84" s="82">
        <f>I84*K84</f>
        <v>0</v>
      </c>
      <c r="M84" s="143">
        <f>I84+L84</f>
        <v>-479</v>
      </c>
      <c r="N84" s="82"/>
      <c r="O84" s="82"/>
      <c r="P84" s="82"/>
      <c r="Q84" s="82"/>
      <c r="R84" s="82"/>
      <c r="S84" s="78">
        <f>SUM(M84:P84)</f>
        <v>-479</v>
      </c>
      <c r="U84" s="37"/>
      <c r="W84" s="3"/>
    </row>
    <row r="85" spans="1:23" ht="12.75" thickBot="1">
      <c r="A85" s="22">
        <v>46</v>
      </c>
      <c r="B85" s="24" t="s">
        <v>45</v>
      </c>
      <c r="C85" s="24"/>
      <c r="D85" s="24"/>
      <c r="E85" s="77">
        <v>10073</v>
      </c>
      <c r="F85" s="142">
        <v>0</v>
      </c>
      <c r="G85" s="77">
        <v>0</v>
      </c>
      <c r="H85" s="79"/>
      <c r="I85" s="77">
        <f>SUM(E85:H85)</f>
        <v>10073</v>
      </c>
      <c r="J85" s="84"/>
      <c r="K85" s="84">
        <v>0</v>
      </c>
      <c r="L85" s="79">
        <f>I85*K85</f>
        <v>0</v>
      </c>
      <c r="M85" s="143">
        <f>I85+L85</f>
        <v>10073</v>
      </c>
      <c r="N85" s="79"/>
      <c r="O85" s="79"/>
      <c r="P85" s="79"/>
      <c r="Q85" s="79"/>
      <c r="R85" s="79"/>
      <c r="S85" s="78">
        <f>SUM(M85:P85)</f>
        <v>10073</v>
      </c>
      <c r="U85" s="37"/>
      <c r="V85" s="37"/>
    </row>
    <row r="86" spans="1:23" s="37" customFormat="1" ht="12.75" thickBot="1">
      <c r="A86" s="5">
        <v>47</v>
      </c>
      <c r="B86" s="37" t="s">
        <v>38</v>
      </c>
      <c r="E86" s="141">
        <f>SUM(E81:E85)</f>
        <v>250257</v>
      </c>
      <c r="F86" s="336">
        <f>SUM(F81:F85)</f>
        <v>0</v>
      </c>
      <c r="G86" s="141">
        <f>SUM(G81:G85)</f>
        <v>0</v>
      </c>
      <c r="H86" s="141">
        <f>SUM(H81:H85)</f>
        <v>0</v>
      </c>
      <c r="I86" s="141">
        <f>SUM(I81:I85)</f>
        <v>250257</v>
      </c>
      <c r="L86" s="80">
        <f>SUM(L81:L85)</f>
        <v>0</v>
      </c>
      <c r="M86" s="141">
        <f>SUM(M81:M85)</f>
        <v>250257</v>
      </c>
      <c r="N86" s="80"/>
      <c r="O86" s="80"/>
      <c r="P86" s="80"/>
      <c r="Q86" s="141">
        <f>SUM(Q81:Q85)</f>
        <v>12103</v>
      </c>
      <c r="R86" s="80"/>
      <c r="S86" s="496">
        <f>SUM(S81:S85)</f>
        <v>262360</v>
      </c>
      <c r="T86" s="468">
        <v>263655</v>
      </c>
      <c r="U86" s="28"/>
      <c r="V86" s="339"/>
    </row>
    <row r="87" spans="1:23" s="37" customFormat="1" ht="15" thickTop="1" thickBot="1">
      <c r="A87" s="5"/>
      <c r="D87" s="24" t="s">
        <v>571</v>
      </c>
      <c r="E87" s="146"/>
      <c r="F87" s="148"/>
      <c r="G87" s="146"/>
      <c r="H87" s="146"/>
      <c r="I87" s="146"/>
      <c r="L87" s="146"/>
      <c r="M87" s="146"/>
      <c r="N87" s="146"/>
      <c r="O87" s="146"/>
      <c r="P87" s="146"/>
      <c r="Q87" s="146"/>
      <c r="R87" s="146"/>
      <c r="S87" s="496" t="s">
        <v>593</v>
      </c>
      <c r="T87" s="495" t="s">
        <v>592</v>
      </c>
      <c r="U87" s="3"/>
      <c r="V87" s="344"/>
      <c r="W87" s="345"/>
    </row>
    <row r="88" spans="1:23" s="37" customFormat="1">
      <c r="A88" s="22">
        <v>48</v>
      </c>
      <c r="B88" s="23" t="s">
        <v>166</v>
      </c>
      <c r="C88" s="23"/>
      <c r="D88" s="23"/>
      <c r="E88" s="149">
        <f>E65/E86</f>
        <v>5.7564823361584291E-2</v>
      </c>
      <c r="F88" s="148"/>
      <c r="G88" s="146"/>
      <c r="H88" s="146"/>
      <c r="L88" s="146"/>
      <c r="M88" s="146"/>
      <c r="N88" s="146"/>
      <c r="O88" s="146"/>
      <c r="P88" s="146"/>
      <c r="Q88" s="146"/>
      <c r="R88" s="146"/>
      <c r="S88" s="149">
        <f>S65/S86</f>
        <v>5.4716119217174529E-2</v>
      </c>
      <c r="T88" s="149">
        <f>T65/T86</f>
        <v>5.4493440814010398E-2</v>
      </c>
      <c r="U88" s="3"/>
      <c r="V88" s="27"/>
      <c r="W88" s="345"/>
    </row>
    <row r="89" spans="1:23" s="28" customFormat="1">
      <c r="A89" s="30"/>
      <c r="D89" s="31"/>
      <c r="E89" s="83"/>
      <c r="I89" s="83"/>
      <c r="L89" s="83"/>
      <c r="M89" s="83"/>
      <c r="N89" s="83"/>
      <c r="O89" s="83"/>
      <c r="P89" s="83"/>
      <c r="Q89" s="83"/>
      <c r="R89" s="83"/>
      <c r="U89" s="3"/>
      <c r="V89" s="27"/>
      <c r="W89" s="338"/>
    </row>
    <row r="90" spans="1:23">
      <c r="B90" s="89" t="s">
        <v>124</v>
      </c>
      <c r="C90" s="90"/>
      <c r="D90" s="90"/>
      <c r="E90" s="91"/>
      <c r="F90" s="337"/>
      <c r="G90" s="90"/>
      <c r="H90" s="90"/>
      <c r="I90" s="90"/>
      <c r="J90" s="90"/>
      <c r="K90" s="90"/>
      <c r="L90" s="90"/>
      <c r="M90" s="90"/>
      <c r="N90" s="90"/>
      <c r="O90" s="90"/>
      <c r="P90" s="90"/>
      <c r="Q90" s="90"/>
      <c r="R90" s="90"/>
      <c r="S90" s="485"/>
      <c r="T90" s="485"/>
      <c r="U90" s="219"/>
      <c r="V90" s="27"/>
      <c r="W90" s="27"/>
    </row>
    <row r="91" spans="1:23" ht="12" customHeight="1">
      <c r="A91" s="22">
        <v>49</v>
      </c>
      <c r="B91" s="92" t="s">
        <v>125</v>
      </c>
      <c r="C91" s="27"/>
      <c r="D91" s="27"/>
      <c r="E91" s="135">
        <f>ROR!F15</f>
        <v>7.2900000000000006E-2</v>
      </c>
      <c r="F91" s="547" t="s">
        <v>567</v>
      </c>
      <c r="G91" s="547"/>
      <c r="H91" s="547"/>
      <c r="I91" s="547"/>
      <c r="J91" s="547"/>
      <c r="K91" s="547"/>
      <c r="L91" s="547"/>
      <c r="M91" s="547"/>
      <c r="N91" s="547"/>
      <c r="O91" s="547"/>
      <c r="P91" s="547"/>
      <c r="Q91" s="547"/>
      <c r="R91" s="547"/>
      <c r="S91" s="486">
        <f>E91</f>
        <v>7.2900000000000006E-2</v>
      </c>
      <c r="T91" s="486">
        <f>E91</f>
        <v>7.2900000000000006E-2</v>
      </c>
      <c r="V91" s="27"/>
      <c r="W91" s="27"/>
    </row>
    <row r="92" spans="1:23">
      <c r="A92" s="22">
        <v>50</v>
      </c>
      <c r="B92" s="92" t="s">
        <v>126</v>
      </c>
      <c r="C92" s="27"/>
      <c r="D92" s="27"/>
      <c r="E92" s="146">
        <f>E86*E91</f>
        <v>18243.7353</v>
      </c>
      <c r="F92" s="547"/>
      <c r="G92" s="547"/>
      <c r="H92" s="547"/>
      <c r="I92" s="547"/>
      <c r="J92" s="547"/>
      <c r="K92" s="547"/>
      <c r="L92" s="547"/>
      <c r="M92" s="547"/>
      <c r="N92" s="547"/>
      <c r="O92" s="547"/>
      <c r="P92" s="547"/>
      <c r="Q92" s="547"/>
      <c r="R92" s="547"/>
      <c r="S92" s="487">
        <f>S86*S91</f>
        <v>19126.044000000002</v>
      </c>
      <c r="T92" s="487">
        <f>T86*T91</f>
        <v>19220.449500000002</v>
      </c>
      <c r="U92" s="330"/>
      <c r="V92" s="341"/>
      <c r="W92" s="149"/>
    </row>
    <row r="93" spans="1:23">
      <c r="A93" s="22">
        <v>51</v>
      </c>
      <c r="B93" s="92" t="s">
        <v>127</v>
      </c>
      <c r="C93" s="27"/>
      <c r="D93" s="27"/>
      <c r="E93" s="147">
        <f>E65</f>
        <v>14406</v>
      </c>
      <c r="F93" s="547"/>
      <c r="G93" s="547"/>
      <c r="H93" s="547"/>
      <c r="I93" s="547"/>
      <c r="J93" s="547"/>
      <c r="K93" s="547"/>
      <c r="L93" s="547"/>
      <c r="M93" s="547"/>
      <c r="N93" s="547"/>
      <c r="O93" s="547"/>
      <c r="P93" s="547"/>
      <c r="Q93" s="547"/>
      <c r="R93" s="547"/>
      <c r="S93" s="488">
        <f>S65</f>
        <v>14355.32103781791</v>
      </c>
      <c r="T93" s="488">
        <f>T65</f>
        <v>14367.468137817912</v>
      </c>
      <c r="V93" s="27"/>
      <c r="W93" s="27"/>
    </row>
    <row r="94" spans="1:23">
      <c r="A94" s="22">
        <v>52</v>
      </c>
      <c r="B94" s="92" t="s">
        <v>128</v>
      </c>
      <c r="C94" s="27"/>
      <c r="D94" s="27"/>
      <c r="E94" s="148">
        <f>E92-E93</f>
        <v>3837.7353000000003</v>
      </c>
      <c r="F94" s="547"/>
      <c r="G94" s="547"/>
      <c r="H94" s="547"/>
      <c r="I94" s="547"/>
      <c r="J94" s="547"/>
      <c r="K94" s="547"/>
      <c r="L94" s="547"/>
      <c r="M94" s="547"/>
      <c r="N94" s="547"/>
      <c r="O94" s="547"/>
      <c r="P94" s="547"/>
      <c r="Q94" s="547"/>
      <c r="R94" s="547"/>
      <c r="S94" s="489">
        <f>S92-S93</f>
        <v>4770.7229621820916</v>
      </c>
      <c r="T94" s="489">
        <f>T92-T93</f>
        <v>4852.9813621820904</v>
      </c>
      <c r="V94" s="149"/>
      <c r="W94" s="27"/>
    </row>
    <row r="95" spans="1:23">
      <c r="A95" s="22">
        <v>53</v>
      </c>
      <c r="B95" s="92" t="s">
        <v>129</v>
      </c>
      <c r="C95" s="27"/>
      <c r="D95" s="27"/>
      <c r="E95" s="73">
        <f>ROR!F39</f>
        <v>0.62031999999999998</v>
      </c>
      <c r="F95" s="547"/>
      <c r="G95" s="547"/>
      <c r="H95" s="547"/>
      <c r="I95" s="547"/>
      <c r="J95" s="547"/>
      <c r="K95" s="547"/>
      <c r="L95" s="547"/>
      <c r="M95" s="547"/>
      <c r="N95" s="547"/>
      <c r="O95" s="547"/>
      <c r="P95" s="547"/>
      <c r="Q95" s="547"/>
      <c r="R95" s="547"/>
      <c r="S95" s="490">
        <f>E95</f>
        <v>0.62031999999999998</v>
      </c>
      <c r="T95" s="490">
        <f>E95</f>
        <v>0.62031999999999998</v>
      </c>
      <c r="U95" s="76"/>
      <c r="V95" s="27"/>
      <c r="W95" s="27"/>
    </row>
    <row r="96" spans="1:23">
      <c r="A96" s="22">
        <v>54</v>
      </c>
      <c r="B96" s="92" t="s">
        <v>130</v>
      </c>
      <c r="C96" s="27"/>
      <c r="D96" s="27"/>
      <c r="E96" s="148">
        <f>E94/E95</f>
        <v>6186.7025083827712</v>
      </c>
      <c r="F96" s="547"/>
      <c r="G96" s="547"/>
      <c r="H96" s="547"/>
      <c r="I96" s="547"/>
      <c r="J96" s="547"/>
      <c r="K96" s="547"/>
      <c r="L96" s="547"/>
      <c r="M96" s="547"/>
      <c r="N96" s="547"/>
      <c r="O96" s="547"/>
      <c r="P96" s="547"/>
      <c r="Q96" s="547"/>
      <c r="R96" s="547"/>
      <c r="S96" s="489">
        <f>S94/S95</f>
        <v>7690.7450383384248</v>
      </c>
      <c r="T96" s="489">
        <f>T94/T95</f>
        <v>7823.3514350369014</v>
      </c>
      <c r="V96" s="27"/>
      <c r="W96" s="27"/>
    </row>
    <row r="97" spans="1:24">
      <c r="A97" s="22">
        <v>55</v>
      </c>
      <c r="B97" s="92" t="s">
        <v>131</v>
      </c>
      <c r="C97" s="27"/>
      <c r="D97" s="27"/>
      <c r="E97" s="93"/>
      <c r="F97" s="452"/>
      <c r="G97" s="452"/>
      <c r="H97" s="452"/>
      <c r="I97" s="452"/>
      <c r="J97" s="452"/>
      <c r="K97" s="452"/>
      <c r="L97" s="452"/>
      <c r="M97" s="452"/>
      <c r="N97" s="452"/>
      <c r="O97" s="452"/>
      <c r="P97" s="452"/>
      <c r="Q97" s="452"/>
      <c r="R97" s="452"/>
      <c r="S97" s="491">
        <f>(S12+S13)/(I12+I13-H12)</f>
        <v>1.0115657561647069</v>
      </c>
      <c r="T97" s="493">
        <f>(S12+S13)/(I12+I13-H12)</f>
        <v>1.0115657561647069</v>
      </c>
      <c r="U97" s="340"/>
      <c r="V97" s="27"/>
      <c r="W97" s="27"/>
      <c r="X97" s="27"/>
    </row>
    <row r="98" spans="1:24">
      <c r="A98" s="22">
        <v>56</v>
      </c>
      <c r="B98" s="94" t="s">
        <v>132</v>
      </c>
      <c r="C98" s="73"/>
      <c r="D98" s="73"/>
      <c r="E98" s="62"/>
      <c r="F98" s="453"/>
      <c r="G98" s="453"/>
      <c r="H98" s="453"/>
      <c r="I98" s="453"/>
      <c r="J98" s="453"/>
      <c r="K98" s="453"/>
      <c r="L98" s="453"/>
      <c r="M98" s="453"/>
      <c r="N98" s="453"/>
      <c r="O98" s="453"/>
      <c r="P98" s="453"/>
      <c r="Q98" s="453"/>
      <c r="R98" s="453"/>
      <c r="S98" s="492">
        <f>S96/S97+1</f>
        <v>7603.8127597927396</v>
      </c>
      <c r="T98" s="494">
        <f>T96/T97+1</f>
        <v>7734.9029987518425</v>
      </c>
      <c r="U98" s="27"/>
      <c r="V98" s="27"/>
      <c r="W98" s="27"/>
      <c r="X98" s="27"/>
    </row>
    <row r="99" spans="1:24">
      <c r="U99" s="341"/>
      <c r="V99" s="341"/>
      <c r="W99" s="149"/>
      <c r="X99" s="27"/>
    </row>
    <row r="100" spans="1:24" ht="27" customHeight="1">
      <c r="A100" s="569" t="s">
        <v>536</v>
      </c>
      <c r="B100" s="569"/>
      <c r="C100" s="569"/>
      <c r="D100" s="569"/>
      <c r="E100" s="569"/>
      <c r="F100" s="569"/>
      <c r="G100" s="569"/>
      <c r="H100" s="569"/>
      <c r="I100" s="569"/>
      <c r="J100" s="569"/>
      <c r="K100" s="569"/>
      <c r="L100" s="569"/>
      <c r="M100" s="569"/>
      <c r="N100" s="569"/>
      <c r="O100" s="569"/>
      <c r="P100" s="569"/>
      <c r="Q100" s="569"/>
      <c r="R100" s="569"/>
      <c r="S100" s="569"/>
      <c r="T100" s="203"/>
      <c r="U100" s="27"/>
      <c r="V100" s="27"/>
      <c r="W100" s="27"/>
      <c r="X100" s="27"/>
    </row>
    <row r="101" spans="1:24">
      <c r="U101" s="27"/>
      <c r="V101" s="149"/>
      <c r="W101" s="27"/>
      <c r="X101" s="27"/>
    </row>
    <row r="102" spans="1:24" ht="12.75">
      <c r="I102"/>
      <c r="J102"/>
      <c r="K102"/>
      <c r="L102"/>
      <c r="M102"/>
      <c r="U102" s="27"/>
      <c r="V102" s="27"/>
      <c r="W102" s="27"/>
      <c r="X102" s="27"/>
    </row>
    <row r="103" spans="1:24" ht="12.75">
      <c r="I103"/>
      <c r="J103"/>
      <c r="K103"/>
      <c r="L103"/>
      <c r="M103"/>
      <c r="U103" s="27"/>
      <c r="V103" s="27"/>
      <c r="W103" s="27"/>
      <c r="X103" s="27"/>
    </row>
    <row r="104" spans="1:24" ht="12.75">
      <c r="I104"/>
      <c r="J104"/>
      <c r="K104"/>
      <c r="L104"/>
      <c r="M104"/>
    </row>
    <row r="105" spans="1:24" ht="12.75">
      <c r="I105"/>
      <c r="J105"/>
      <c r="K105"/>
      <c r="L105"/>
      <c r="M105"/>
    </row>
    <row r="106" spans="1:24" ht="12.75">
      <c r="I106"/>
      <c r="J106"/>
      <c r="K106"/>
      <c r="L106"/>
      <c r="M106"/>
    </row>
    <row r="107" spans="1:24" ht="12.75">
      <c r="I107"/>
      <c r="J107"/>
      <c r="K107"/>
      <c r="L107"/>
      <c r="M107"/>
    </row>
    <row r="108" spans="1:24" ht="12.75">
      <c r="I108"/>
      <c r="J108"/>
      <c r="K108"/>
      <c r="L108"/>
      <c r="M108"/>
    </row>
    <row r="109" spans="1:24" ht="12.75">
      <c r="I109"/>
      <c r="J109"/>
      <c r="K109"/>
      <c r="L109"/>
      <c r="M109"/>
    </row>
    <row r="193" spans="7:7">
      <c r="G193" s="4"/>
    </row>
    <row r="194" spans="7:7">
      <c r="G194" s="4"/>
    </row>
    <row r="195" spans="7:7">
      <c r="G195" s="4"/>
    </row>
    <row r="196" spans="7:7">
      <c r="G196" s="4"/>
    </row>
    <row r="197" spans="7:7">
      <c r="G197" s="4"/>
    </row>
    <row r="198" spans="7:7">
      <c r="G198" s="4"/>
    </row>
    <row r="199" spans="7:7">
      <c r="G199" s="4"/>
    </row>
    <row r="200" spans="7:7">
      <c r="G200" s="4"/>
    </row>
    <row r="201" spans="7:7">
      <c r="G201" s="4"/>
    </row>
    <row r="202" spans="7:7">
      <c r="G202" s="4"/>
    </row>
    <row r="203" spans="7:7">
      <c r="G203" s="4"/>
    </row>
    <row r="204" spans="7:7">
      <c r="G204" s="4"/>
    </row>
    <row r="205" spans="7:7">
      <c r="G205" s="4"/>
    </row>
    <row r="206" spans="7:7">
      <c r="G206" s="4"/>
    </row>
    <row r="207" spans="7:7">
      <c r="G207" s="4"/>
    </row>
  </sheetData>
  <mergeCells count="37">
    <mergeCell ref="A100:S100"/>
    <mergeCell ref="A50:S50"/>
    <mergeCell ref="E53:I53"/>
    <mergeCell ref="L53:M53"/>
    <mergeCell ref="P54:P57"/>
    <mergeCell ref="E54:E57"/>
    <mergeCell ref="F54:F57"/>
    <mergeCell ref="G54:G57"/>
    <mergeCell ref="H54:H57"/>
    <mergeCell ref="I54:I57"/>
    <mergeCell ref="K54:K57"/>
    <mergeCell ref="L54:L57"/>
    <mergeCell ref="M54:M57"/>
    <mergeCell ref="O54:O57"/>
    <mergeCell ref="O53:Q53"/>
    <mergeCell ref="S54:S57"/>
    <mergeCell ref="B1:S1"/>
    <mergeCell ref="A2:S2"/>
    <mergeCell ref="E6:E9"/>
    <mergeCell ref="F6:F9"/>
    <mergeCell ref="G6:G9"/>
    <mergeCell ref="H6:H9"/>
    <mergeCell ref="I6:I9"/>
    <mergeCell ref="K6:K9"/>
    <mergeCell ref="L6:L9"/>
    <mergeCell ref="M6:M9"/>
    <mergeCell ref="O6:O9"/>
    <mergeCell ref="S6:S9"/>
    <mergeCell ref="Q6:Q9"/>
    <mergeCell ref="O5:Q5"/>
    <mergeCell ref="Q54:Q57"/>
    <mergeCell ref="F91:R96"/>
    <mergeCell ref="R6:R9"/>
    <mergeCell ref="R54:R57"/>
    <mergeCell ref="E5:I5"/>
    <mergeCell ref="L5:M5"/>
    <mergeCell ref="P6:P9"/>
  </mergeCells>
  <pageMargins left="1.2" right="0.7" top="0.75" bottom="0.75" header="0.3" footer="0.3"/>
  <pageSetup orientation="portrait" r:id="rId1"/>
  <headerFooter scaleWithDoc="0">
    <oddHeader>&amp;RExh. CRM-9
Dockets UE-150204/UG-150205</oddHeader>
    <oddFooter>&amp;RPage &amp;P of &amp;N</oddFooter>
  </headerFooter>
  <rowBreaks count="1" manualBreakCount="1">
    <brk id="49" max="1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201"/>
  <sheetViews>
    <sheetView view="pageLayout" zoomScaleNormal="100" zoomScaleSheetLayoutView="100" workbookViewId="0">
      <selection activeCell="G42" activeCellId="2" sqref="P30 E42 G42"/>
    </sheetView>
  </sheetViews>
  <sheetFormatPr defaultColWidth="10.7109375" defaultRowHeight="12"/>
  <cols>
    <col min="1" max="1" width="4.85546875" style="22" customWidth="1"/>
    <col min="2" max="2" width="1.7109375" style="3" customWidth="1"/>
    <col min="3" max="3" width="9" style="3" customWidth="1"/>
    <col min="4" max="4" width="23" style="3" customWidth="1"/>
    <col min="5" max="5" width="2.85546875" style="3" customWidth="1"/>
    <col min="6" max="6" width="9.42578125" style="4" hidden="1" customWidth="1"/>
    <col min="7" max="7" width="10.28515625" style="4" customWidth="1"/>
    <col min="8" max="8" width="10.42578125" style="4" customWidth="1"/>
    <col min="9" max="9" width="8.28515625" style="4" customWidth="1"/>
    <col min="10" max="10" width="8.5703125" style="4" customWidth="1"/>
    <col min="11" max="11" width="8.42578125" style="4" customWidth="1"/>
    <col min="12" max="13" width="8.7109375" style="4" customWidth="1"/>
    <col min="14" max="14" width="8.28515625" style="4" customWidth="1"/>
    <col min="15" max="16" width="8.7109375" style="4" customWidth="1"/>
    <col min="17" max="17" width="8.28515625" style="4" customWidth="1"/>
    <col min="18" max="18" width="8.5703125" style="3" customWidth="1"/>
    <col min="19" max="20" width="8.7109375" style="3" customWidth="1"/>
    <col min="21" max="22" width="10.7109375" style="3" customWidth="1"/>
    <col min="23" max="16384" width="10.7109375" style="3"/>
  </cols>
  <sheetData>
    <row r="1" spans="1:20" ht="21" customHeight="1">
      <c r="A1" s="556"/>
      <c r="B1" s="556"/>
      <c r="C1" s="556"/>
      <c r="D1" s="556"/>
      <c r="E1" s="556"/>
      <c r="F1" s="556"/>
      <c r="G1" s="556"/>
      <c r="H1" s="556"/>
      <c r="I1" s="556"/>
      <c r="J1" s="556"/>
      <c r="K1" s="556"/>
      <c r="L1" s="556"/>
      <c r="M1" s="556"/>
      <c r="N1" s="556"/>
      <c r="O1" s="556"/>
      <c r="P1" s="556"/>
      <c r="Q1" s="556"/>
      <c r="R1" s="556"/>
    </row>
    <row r="2" spans="1:20" ht="28.9" customHeight="1">
      <c r="A2" s="578" t="s">
        <v>520</v>
      </c>
      <c r="B2" s="578"/>
      <c r="C2" s="578"/>
      <c r="D2" s="578"/>
      <c r="E2" s="578"/>
      <c r="F2" s="578"/>
      <c r="G2" s="578"/>
      <c r="H2" s="578"/>
      <c r="I2" s="578"/>
      <c r="J2" s="578"/>
      <c r="K2" s="578"/>
      <c r="L2" s="578"/>
      <c r="M2" s="578"/>
      <c r="N2" s="578"/>
      <c r="O2" s="578"/>
      <c r="P2" s="578"/>
      <c r="Q2" s="578"/>
      <c r="R2" s="578"/>
    </row>
    <row r="3" spans="1:20" ht="37.15" customHeight="1">
      <c r="A3" s="206" t="s">
        <v>43</v>
      </c>
      <c r="F3" s="184"/>
      <c r="G3" s="184"/>
      <c r="H3" s="184"/>
      <c r="I3" s="184"/>
      <c r="J3" s="184"/>
      <c r="K3" s="184"/>
      <c r="L3" s="184"/>
      <c r="M3" s="184"/>
      <c r="N3" s="184"/>
      <c r="O3" s="184"/>
      <c r="P3" s="184"/>
      <c r="Q3" s="184"/>
      <c r="R3" s="184"/>
    </row>
    <row r="4" spans="1:20" ht="13.5" customHeight="1">
      <c r="A4" s="206" t="s">
        <v>48</v>
      </c>
      <c r="E4" s="580" t="s">
        <v>222</v>
      </c>
      <c r="F4" s="580"/>
      <c r="G4" s="580"/>
      <c r="H4" s="580"/>
      <c r="I4" s="580"/>
      <c r="J4" s="580"/>
      <c r="K4" s="580"/>
      <c r="L4" s="580"/>
      <c r="M4" s="580"/>
      <c r="N4" s="580"/>
      <c r="O4" s="580"/>
      <c r="P4" s="580"/>
      <c r="Q4" s="580"/>
      <c r="R4" s="580"/>
    </row>
    <row r="5" spans="1:20" ht="5.25" customHeight="1">
      <c r="A5" s="202"/>
    </row>
    <row r="6" spans="1:20" s="6" customFormat="1" ht="11.45" customHeight="1">
      <c r="A6" s="206" t="s">
        <v>39</v>
      </c>
      <c r="B6" s="2"/>
      <c r="C6" s="2"/>
      <c r="D6" s="2"/>
      <c r="E6" s="2"/>
      <c r="F6" s="4"/>
      <c r="G6" s="4"/>
      <c r="H6" s="4"/>
      <c r="I6" s="4"/>
      <c r="J6" s="4"/>
      <c r="K6" s="4"/>
      <c r="L6" s="4"/>
      <c r="M6" s="4"/>
      <c r="N6" s="4"/>
      <c r="O6" s="4"/>
      <c r="P6" s="4"/>
      <c r="Q6" s="4"/>
      <c r="R6" s="3"/>
      <c r="S6" s="24"/>
      <c r="T6" s="389"/>
    </row>
    <row r="7" spans="1:20" s="6" customFormat="1" ht="8.25" customHeight="1">
      <c r="A7" s="5"/>
      <c r="F7" s="7"/>
      <c r="G7" s="7"/>
      <c r="H7" s="7"/>
      <c r="I7" s="7"/>
      <c r="J7" s="7"/>
      <c r="K7" s="7"/>
      <c r="L7" s="7"/>
      <c r="M7" s="7"/>
      <c r="N7" s="7"/>
      <c r="O7" s="7"/>
      <c r="P7" s="7"/>
      <c r="Q7" s="7"/>
    </row>
    <row r="8" spans="1:20" s="6" customFormat="1">
      <c r="A8" s="8"/>
      <c r="B8" s="9"/>
      <c r="C8" s="10"/>
      <c r="D8" s="11"/>
      <c r="E8" s="11"/>
      <c r="F8" s="39">
        <v>2000</v>
      </c>
      <c r="G8" s="39">
        <v>2001</v>
      </c>
      <c r="H8" s="39">
        <v>2002</v>
      </c>
      <c r="I8" s="39">
        <v>2003</v>
      </c>
      <c r="J8" s="39">
        <v>2004</v>
      </c>
      <c r="K8" s="39">
        <v>2005</v>
      </c>
      <c r="L8" s="39">
        <v>2006</v>
      </c>
      <c r="M8" s="39">
        <v>2007</v>
      </c>
      <c r="N8" s="39">
        <v>2008</v>
      </c>
      <c r="O8" s="39">
        <v>2009</v>
      </c>
      <c r="P8" s="39">
        <v>2010</v>
      </c>
      <c r="Q8" s="39">
        <v>2011</v>
      </c>
      <c r="R8" s="39">
        <v>2012</v>
      </c>
      <c r="S8" s="39">
        <v>2013</v>
      </c>
      <c r="T8" s="39">
        <v>2014</v>
      </c>
    </row>
    <row r="9" spans="1:20">
      <c r="A9" s="12" t="s">
        <v>0</v>
      </c>
      <c r="B9" s="13"/>
      <c r="C9" s="14"/>
      <c r="D9" s="15"/>
      <c r="E9" s="15"/>
      <c r="F9" s="16" t="s">
        <v>1</v>
      </c>
      <c r="G9" s="16" t="s">
        <v>1</v>
      </c>
      <c r="H9" s="16" t="s">
        <v>1</v>
      </c>
      <c r="I9" s="16" t="s">
        <v>1</v>
      </c>
      <c r="J9" s="16" t="s">
        <v>1</v>
      </c>
      <c r="K9" s="16" t="s">
        <v>1</v>
      </c>
      <c r="L9" s="16" t="s">
        <v>1</v>
      </c>
      <c r="M9" s="16" t="s">
        <v>1</v>
      </c>
      <c r="N9" s="16" t="s">
        <v>1</v>
      </c>
      <c r="O9" s="16" t="s">
        <v>1</v>
      </c>
      <c r="P9" s="16" t="s">
        <v>1</v>
      </c>
      <c r="Q9" s="16" t="s">
        <v>1</v>
      </c>
      <c r="R9" s="16" t="s">
        <v>1</v>
      </c>
      <c r="S9" s="16" t="s">
        <v>1</v>
      </c>
      <c r="T9" s="16" t="s">
        <v>1</v>
      </c>
    </row>
    <row r="10" spans="1:20" s="23" customFormat="1">
      <c r="A10" s="17" t="s">
        <v>2</v>
      </c>
      <c r="B10" s="18"/>
      <c r="C10" s="19"/>
      <c r="D10" s="20" t="s">
        <v>3</v>
      </c>
      <c r="E10" s="20"/>
      <c r="F10" s="21" t="s">
        <v>5</v>
      </c>
      <c r="G10" s="21" t="s">
        <v>5</v>
      </c>
      <c r="H10" s="21" t="s">
        <v>5</v>
      </c>
      <c r="I10" s="21" t="s">
        <v>5</v>
      </c>
      <c r="J10" s="21" t="s">
        <v>5</v>
      </c>
      <c r="K10" s="21" t="s">
        <v>5</v>
      </c>
      <c r="L10" s="21" t="s">
        <v>5</v>
      </c>
      <c r="M10" s="21" t="s">
        <v>5</v>
      </c>
      <c r="N10" s="21" t="s">
        <v>5</v>
      </c>
      <c r="O10" s="21" t="s">
        <v>5</v>
      </c>
      <c r="P10" s="21" t="s">
        <v>5</v>
      </c>
      <c r="Q10" s="21" t="s">
        <v>5</v>
      </c>
      <c r="R10" s="21" t="s">
        <v>5</v>
      </c>
      <c r="S10" s="21" t="s">
        <v>5</v>
      </c>
      <c r="T10" s="21" t="s">
        <v>5</v>
      </c>
    </row>
    <row r="11" spans="1:20">
      <c r="B11" s="3" t="s">
        <v>6</v>
      </c>
      <c r="R11" s="4"/>
      <c r="S11" s="4"/>
      <c r="T11" s="4"/>
    </row>
    <row r="12" spans="1:20">
      <c r="A12" s="22">
        <v>1</v>
      </c>
      <c r="B12" s="23" t="s">
        <v>7</v>
      </c>
      <c r="C12" s="23"/>
      <c r="D12" s="23"/>
      <c r="E12" s="23"/>
      <c r="F12" s="36">
        <v>89522</v>
      </c>
      <c r="G12" s="36">
        <v>144574</v>
      </c>
      <c r="H12" s="36">
        <v>148580</v>
      </c>
      <c r="I12" s="36">
        <v>137031</v>
      </c>
      <c r="J12" s="36">
        <v>159265</v>
      </c>
      <c r="K12" s="36">
        <v>178724</v>
      </c>
      <c r="L12" s="36">
        <v>197821</v>
      </c>
      <c r="M12" s="36">
        <v>209186</v>
      </c>
      <c r="N12" s="36">
        <v>203727</v>
      </c>
      <c r="O12" s="36">
        <v>182706</v>
      </c>
      <c r="P12" s="36">
        <v>142370</v>
      </c>
      <c r="Q12" s="36">
        <v>152457</v>
      </c>
      <c r="R12" s="36">
        <v>142048</v>
      </c>
      <c r="S12" s="36">
        <v>144257</v>
      </c>
      <c r="T12" s="36">
        <v>154546</v>
      </c>
    </row>
    <row r="13" spans="1:20">
      <c r="A13" s="22">
        <v>2</v>
      </c>
      <c r="B13" s="24" t="s">
        <v>8</v>
      </c>
      <c r="D13" s="24"/>
      <c r="E13" s="24"/>
      <c r="F13" s="32">
        <v>4525</v>
      </c>
      <c r="G13" s="32">
        <v>4274</v>
      </c>
      <c r="H13" s="32">
        <v>3878</v>
      </c>
      <c r="I13" s="32">
        <f>4392-1000</f>
        <v>3392</v>
      </c>
      <c r="J13" s="32">
        <v>2842</v>
      </c>
      <c r="K13" s="32">
        <v>3440</v>
      </c>
      <c r="L13" s="32">
        <f>1446+1665</f>
        <v>3111</v>
      </c>
      <c r="M13" s="32">
        <v>3263</v>
      </c>
      <c r="N13" s="32">
        <v>3369</v>
      </c>
      <c r="O13" s="32">
        <v>3275</v>
      </c>
      <c r="P13" s="32">
        <v>3155</v>
      </c>
      <c r="Q13" s="32">
        <v>3448</v>
      </c>
      <c r="R13" s="32">
        <v>3627</v>
      </c>
      <c r="S13" s="32">
        <v>3915</v>
      </c>
      <c r="T13" s="32">
        <v>3960</v>
      </c>
    </row>
    <row r="14" spans="1:20" ht="10.9" customHeight="1">
      <c r="A14" s="22">
        <v>3</v>
      </c>
      <c r="B14" s="24" t="s">
        <v>9</v>
      </c>
      <c r="D14" s="24"/>
      <c r="E14" s="24"/>
      <c r="F14" s="33">
        <v>2377</v>
      </c>
      <c r="G14" s="33">
        <v>2541</v>
      </c>
      <c r="H14" s="33">
        <v>2340</v>
      </c>
      <c r="I14" s="33">
        <f>1183+1000</f>
        <v>2183</v>
      </c>
      <c r="J14" s="33">
        <v>2168</v>
      </c>
      <c r="K14" s="33">
        <v>30131</v>
      </c>
      <c r="L14" s="33">
        <f>4037-1665</f>
        <v>2372</v>
      </c>
      <c r="M14" s="33">
        <v>68416</v>
      </c>
      <c r="N14" s="33">
        <v>153093</v>
      </c>
      <c r="O14" s="33">
        <v>84085</v>
      </c>
      <c r="P14" s="33">
        <v>115257</v>
      </c>
      <c r="Q14" s="33">
        <v>98841</v>
      </c>
      <c r="R14" s="33">
        <v>68107</v>
      </c>
      <c r="S14" s="33">
        <v>403</v>
      </c>
      <c r="T14" s="33">
        <v>332</v>
      </c>
    </row>
    <row r="15" spans="1:20">
      <c r="A15" s="22">
        <v>4</v>
      </c>
      <c r="B15" s="3" t="s">
        <v>10</v>
      </c>
      <c r="C15" s="24"/>
      <c r="D15" s="24"/>
      <c r="E15" s="24"/>
      <c r="F15" s="32">
        <f t="shared" ref="F15:S15" si="0">SUM(F12:F14)</f>
        <v>96424</v>
      </c>
      <c r="G15" s="32">
        <f t="shared" si="0"/>
        <v>151389</v>
      </c>
      <c r="H15" s="32">
        <f t="shared" si="0"/>
        <v>154798</v>
      </c>
      <c r="I15" s="32">
        <f t="shared" si="0"/>
        <v>142606</v>
      </c>
      <c r="J15" s="32">
        <f t="shared" si="0"/>
        <v>164275</v>
      </c>
      <c r="K15" s="32">
        <f t="shared" si="0"/>
        <v>212295</v>
      </c>
      <c r="L15" s="32">
        <f t="shared" si="0"/>
        <v>203304</v>
      </c>
      <c r="M15" s="32">
        <f t="shared" si="0"/>
        <v>280865</v>
      </c>
      <c r="N15" s="32">
        <f t="shared" si="0"/>
        <v>360189</v>
      </c>
      <c r="O15" s="32">
        <f t="shared" si="0"/>
        <v>270066</v>
      </c>
      <c r="P15" s="32">
        <f t="shared" si="0"/>
        <v>260782</v>
      </c>
      <c r="Q15" s="32">
        <f t="shared" si="0"/>
        <v>254746</v>
      </c>
      <c r="R15" s="32">
        <f t="shared" si="0"/>
        <v>213782</v>
      </c>
      <c r="S15" s="32">
        <f t="shared" si="0"/>
        <v>148575</v>
      </c>
      <c r="T15" s="32">
        <f t="shared" ref="T15" si="1">SUM(T12:T14)</f>
        <v>158838</v>
      </c>
    </row>
    <row r="16" spans="1:20">
      <c r="C16" s="24"/>
      <c r="D16" s="24"/>
      <c r="E16" s="24"/>
      <c r="F16" s="32"/>
      <c r="G16" s="32"/>
      <c r="H16" s="32"/>
      <c r="I16" s="32"/>
      <c r="J16" s="32"/>
      <c r="K16" s="32"/>
      <c r="L16" s="32"/>
      <c r="M16" s="32"/>
      <c r="N16" s="32"/>
      <c r="O16" s="32"/>
      <c r="P16" s="32"/>
      <c r="Q16" s="32"/>
      <c r="R16" s="32"/>
      <c r="S16" s="32"/>
      <c r="T16" s="32"/>
    </row>
    <row r="17" spans="1:20">
      <c r="B17" s="3" t="s">
        <v>11</v>
      </c>
      <c r="C17" s="24"/>
      <c r="D17" s="24"/>
      <c r="E17" s="24"/>
      <c r="F17" s="32"/>
      <c r="G17" s="32"/>
      <c r="H17" s="32"/>
      <c r="I17" s="32"/>
      <c r="J17" s="32"/>
      <c r="K17" s="32"/>
      <c r="L17" s="32"/>
      <c r="M17" s="32"/>
      <c r="N17" s="32"/>
      <c r="O17" s="32"/>
      <c r="P17" s="32"/>
      <c r="Q17" s="32"/>
      <c r="R17" s="32"/>
      <c r="S17" s="32"/>
      <c r="T17" s="32"/>
    </row>
    <row r="18" spans="1:20">
      <c r="B18" s="24" t="s">
        <v>51</v>
      </c>
      <c r="D18" s="24"/>
      <c r="E18" s="24"/>
      <c r="F18" s="32"/>
      <c r="G18" s="32"/>
      <c r="H18" s="32"/>
      <c r="I18" s="32"/>
      <c r="J18" s="32"/>
      <c r="K18" s="32"/>
      <c r="L18" s="32"/>
      <c r="M18" s="32"/>
      <c r="N18" s="32"/>
      <c r="O18" s="32"/>
      <c r="P18" s="32"/>
      <c r="Q18" s="32"/>
      <c r="R18" s="32"/>
      <c r="S18" s="32"/>
      <c r="T18" s="32"/>
    </row>
    <row r="19" spans="1:20">
      <c r="A19" s="22">
        <v>5</v>
      </c>
      <c r="C19" s="24" t="s">
        <v>12</v>
      </c>
      <c r="D19" s="24"/>
      <c r="E19" s="24"/>
      <c r="F19" s="32">
        <v>59659</v>
      </c>
      <c r="G19" s="32">
        <v>106139</v>
      </c>
      <c r="H19" s="32">
        <v>109325</v>
      </c>
      <c r="I19" s="32">
        <v>96222</v>
      </c>
      <c r="J19" s="32">
        <v>114371</v>
      </c>
      <c r="K19" s="32">
        <v>167251</v>
      </c>
      <c r="L19" s="32">
        <v>149802</v>
      </c>
      <c r="M19" s="32">
        <v>222364</v>
      </c>
      <c r="N19" s="32">
        <v>310276</v>
      </c>
      <c r="O19" s="32">
        <v>194267</v>
      </c>
      <c r="P19" s="32">
        <v>197494</v>
      </c>
      <c r="Q19" s="32">
        <v>188167</v>
      </c>
      <c r="R19" s="32">
        <v>139073</v>
      </c>
      <c r="S19" s="32">
        <v>76801</v>
      </c>
      <c r="T19" s="32">
        <v>84187</v>
      </c>
    </row>
    <row r="20" spans="1:20">
      <c r="A20" s="22">
        <v>6</v>
      </c>
      <c r="C20" s="24" t="s">
        <v>13</v>
      </c>
      <c r="D20" s="24"/>
      <c r="E20" s="24"/>
      <c r="F20" s="32">
        <v>-1915</v>
      </c>
      <c r="G20" s="32">
        <v>988</v>
      </c>
      <c r="H20" s="32">
        <v>1177</v>
      </c>
      <c r="I20" s="32">
        <v>1186</v>
      </c>
      <c r="J20" s="32">
        <v>369</v>
      </c>
      <c r="K20" s="32">
        <v>651</v>
      </c>
      <c r="L20" s="32">
        <v>653</v>
      </c>
      <c r="M20" s="32">
        <v>792</v>
      </c>
      <c r="N20" s="32">
        <v>-9103</v>
      </c>
      <c r="O20" s="32">
        <v>803</v>
      </c>
      <c r="P20" s="32">
        <v>800</v>
      </c>
      <c r="Q20" s="32">
        <v>14</v>
      </c>
      <c r="R20" s="32">
        <v>130</v>
      </c>
      <c r="S20" s="32">
        <v>891</v>
      </c>
      <c r="T20" s="32">
        <v>779</v>
      </c>
    </row>
    <row r="21" spans="1:20" ht="11.45" customHeight="1">
      <c r="A21" s="22">
        <v>7</v>
      </c>
      <c r="C21" s="24" t="s">
        <v>14</v>
      </c>
      <c r="D21" s="24"/>
      <c r="E21" s="24"/>
      <c r="F21" s="33">
        <v>38</v>
      </c>
      <c r="G21" s="33">
        <v>134</v>
      </c>
      <c r="H21" s="33">
        <v>128</v>
      </c>
      <c r="I21" s="33">
        <v>0</v>
      </c>
      <c r="J21" s="33">
        <v>0</v>
      </c>
      <c r="K21" s="33">
        <v>-8407</v>
      </c>
      <c r="L21" s="33">
        <v>0</v>
      </c>
      <c r="M21" s="33">
        <v>283</v>
      </c>
      <c r="N21" s="33">
        <v>2</v>
      </c>
      <c r="O21" s="33">
        <v>10720</v>
      </c>
      <c r="P21" s="33">
        <v>-3322</v>
      </c>
      <c r="Q21" s="33">
        <v>-4366</v>
      </c>
      <c r="R21" s="33">
        <v>4352</v>
      </c>
      <c r="S21" s="33">
        <v>0</v>
      </c>
      <c r="T21" s="33">
        <v>0</v>
      </c>
    </row>
    <row r="22" spans="1:20">
      <c r="A22" s="22">
        <v>8</v>
      </c>
      <c r="B22" s="24" t="s">
        <v>15</v>
      </c>
      <c r="C22" s="24"/>
      <c r="F22" s="32">
        <f t="shared" ref="F22:S22" si="2">SUM(F19:F21)</f>
        <v>57782</v>
      </c>
      <c r="G22" s="32">
        <f t="shared" si="2"/>
        <v>107261</v>
      </c>
      <c r="H22" s="32">
        <f t="shared" si="2"/>
        <v>110630</v>
      </c>
      <c r="I22" s="32">
        <f t="shared" si="2"/>
        <v>97408</v>
      </c>
      <c r="J22" s="32">
        <f t="shared" si="2"/>
        <v>114740</v>
      </c>
      <c r="K22" s="32">
        <f t="shared" si="2"/>
        <v>159495</v>
      </c>
      <c r="L22" s="32">
        <f t="shared" si="2"/>
        <v>150455</v>
      </c>
      <c r="M22" s="32">
        <f t="shared" si="2"/>
        <v>223439</v>
      </c>
      <c r="N22" s="32">
        <f t="shared" si="2"/>
        <v>301175</v>
      </c>
      <c r="O22" s="32">
        <f t="shared" si="2"/>
        <v>205790</v>
      </c>
      <c r="P22" s="32">
        <f t="shared" si="2"/>
        <v>194972</v>
      </c>
      <c r="Q22" s="32">
        <f t="shared" si="2"/>
        <v>183815</v>
      </c>
      <c r="R22" s="32">
        <f t="shared" si="2"/>
        <v>143555</v>
      </c>
      <c r="S22" s="32">
        <f t="shared" si="2"/>
        <v>77692</v>
      </c>
      <c r="T22" s="32">
        <f t="shared" ref="T22" si="3">SUM(T19:T21)</f>
        <v>84966</v>
      </c>
    </row>
    <row r="23" spans="1:20">
      <c r="B23" s="24"/>
      <c r="C23" s="24"/>
      <c r="F23" s="32"/>
      <c r="G23" s="32"/>
      <c r="H23" s="32"/>
      <c r="I23" s="32"/>
      <c r="J23" s="32"/>
      <c r="K23" s="32"/>
      <c r="L23" s="32"/>
      <c r="M23" s="32"/>
      <c r="N23" s="32"/>
      <c r="O23" s="32"/>
      <c r="P23" s="32"/>
      <c r="Q23" s="32"/>
      <c r="R23" s="32"/>
      <c r="S23" s="32"/>
      <c r="T23" s="32"/>
    </row>
    <row r="24" spans="1:20">
      <c r="B24" s="24" t="s">
        <v>16</v>
      </c>
      <c r="D24" s="24"/>
      <c r="E24" s="24"/>
      <c r="F24" s="32"/>
      <c r="G24" s="32"/>
      <c r="H24" s="32"/>
      <c r="I24" s="32"/>
      <c r="J24" s="32"/>
      <c r="K24" s="32"/>
      <c r="L24" s="32"/>
      <c r="M24" s="32"/>
      <c r="N24" s="32"/>
      <c r="O24" s="32"/>
      <c r="P24" s="32"/>
      <c r="Q24" s="32"/>
      <c r="R24" s="32"/>
      <c r="S24" s="32"/>
      <c r="T24" s="32"/>
    </row>
    <row r="25" spans="1:20">
      <c r="A25" s="22">
        <v>9</v>
      </c>
      <c r="C25" s="24" t="s">
        <v>17</v>
      </c>
      <c r="D25" s="24"/>
      <c r="E25" s="24"/>
      <c r="F25" s="32">
        <v>312</v>
      </c>
      <c r="G25" s="32">
        <v>322</v>
      </c>
      <c r="H25" s="32">
        <v>357</v>
      </c>
      <c r="I25" s="32">
        <v>342</v>
      </c>
      <c r="J25" s="32">
        <v>381</v>
      </c>
      <c r="K25" s="32">
        <v>450</v>
      </c>
      <c r="L25" s="32">
        <v>492</v>
      </c>
      <c r="M25" s="32">
        <v>451</v>
      </c>
      <c r="N25" s="32">
        <v>436</v>
      </c>
      <c r="O25" s="32">
        <v>403</v>
      </c>
      <c r="P25" s="32">
        <v>380</v>
      </c>
      <c r="Q25" s="32">
        <v>585</v>
      </c>
      <c r="R25" s="32">
        <v>712</v>
      </c>
      <c r="S25" s="32">
        <v>820</v>
      </c>
      <c r="T25" s="32">
        <v>893</v>
      </c>
    </row>
    <row r="26" spans="1:20">
      <c r="A26" s="22">
        <v>10</v>
      </c>
      <c r="C26" s="24" t="s">
        <v>47</v>
      </c>
      <c r="D26" s="24"/>
      <c r="E26" s="24"/>
      <c r="F26" s="32">
        <v>314</v>
      </c>
      <c r="G26" s="32">
        <v>314</v>
      </c>
      <c r="H26" s="32">
        <v>297</v>
      </c>
      <c r="I26" s="32">
        <v>309</v>
      </c>
      <c r="J26" s="32">
        <v>309</v>
      </c>
      <c r="K26" s="32">
        <v>310</v>
      </c>
      <c r="L26" s="32">
        <v>312</v>
      </c>
      <c r="M26" s="32">
        <v>310</v>
      </c>
      <c r="N26" s="32">
        <v>276</v>
      </c>
      <c r="O26" s="32">
        <v>393</v>
      </c>
      <c r="P26" s="32">
        <v>348</v>
      </c>
      <c r="Q26" s="32">
        <v>395</v>
      </c>
      <c r="R26" s="32">
        <v>438</v>
      </c>
      <c r="S26" s="32">
        <v>380</v>
      </c>
      <c r="T26" s="32">
        <v>402</v>
      </c>
    </row>
    <row r="27" spans="1:20" ht="12.75" customHeight="1">
      <c r="A27" s="22">
        <v>11</v>
      </c>
      <c r="C27" s="24" t="s">
        <v>4</v>
      </c>
      <c r="D27" s="24"/>
      <c r="E27" s="24"/>
      <c r="F27" s="33">
        <v>111</v>
      </c>
      <c r="G27" s="33">
        <v>108</v>
      </c>
      <c r="H27" s="33">
        <v>120</v>
      </c>
      <c r="I27" s="33">
        <v>118</v>
      </c>
      <c r="J27" s="33">
        <v>120</v>
      </c>
      <c r="K27" s="33">
        <v>115</v>
      </c>
      <c r="L27" s="33">
        <v>122</v>
      </c>
      <c r="M27" s="33">
        <v>95</v>
      </c>
      <c r="N27" s="33">
        <v>113</v>
      </c>
      <c r="O27" s="33">
        <v>121</v>
      </c>
      <c r="P27" s="33">
        <v>116</v>
      </c>
      <c r="Q27" s="33">
        <v>19</v>
      </c>
      <c r="R27" s="33">
        <v>17</v>
      </c>
      <c r="S27" s="33">
        <v>158</v>
      </c>
      <c r="T27" s="33">
        <v>184</v>
      </c>
    </row>
    <row r="28" spans="1:20">
      <c r="A28" s="22">
        <v>12</v>
      </c>
      <c r="B28" s="24" t="s">
        <v>18</v>
      </c>
      <c r="C28" s="24"/>
      <c r="F28" s="32">
        <f t="shared" ref="F28:S28" si="4">SUM(F25:F27)</f>
        <v>737</v>
      </c>
      <c r="G28" s="32">
        <f t="shared" si="4"/>
        <v>744</v>
      </c>
      <c r="H28" s="32">
        <f t="shared" si="4"/>
        <v>774</v>
      </c>
      <c r="I28" s="32">
        <f t="shared" si="4"/>
        <v>769</v>
      </c>
      <c r="J28" s="32">
        <f t="shared" si="4"/>
        <v>810</v>
      </c>
      <c r="K28" s="32">
        <f t="shared" si="4"/>
        <v>875</v>
      </c>
      <c r="L28" s="32">
        <f t="shared" si="4"/>
        <v>926</v>
      </c>
      <c r="M28" s="32">
        <f t="shared" si="4"/>
        <v>856</v>
      </c>
      <c r="N28" s="32">
        <f t="shared" si="4"/>
        <v>825</v>
      </c>
      <c r="O28" s="32">
        <f t="shared" si="4"/>
        <v>917</v>
      </c>
      <c r="P28" s="32">
        <f t="shared" si="4"/>
        <v>844</v>
      </c>
      <c r="Q28" s="32">
        <f t="shared" si="4"/>
        <v>999</v>
      </c>
      <c r="R28" s="32">
        <f t="shared" si="4"/>
        <v>1167</v>
      </c>
      <c r="S28" s="32">
        <f t="shared" si="4"/>
        <v>1358</v>
      </c>
      <c r="T28" s="32">
        <f t="shared" ref="T28" si="5">SUM(T25:T27)</f>
        <v>1479</v>
      </c>
    </row>
    <row r="29" spans="1:20">
      <c r="B29" s="24"/>
      <c r="C29" s="24"/>
      <c r="F29" s="32"/>
      <c r="G29" s="32"/>
      <c r="H29" s="32"/>
      <c r="I29" s="32"/>
      <c r="J29" s="32"/>
      <c r="K29" s="32"/>
      <c r="L29" s="32"/>
      <c r="M29" s="32"/>
      <c r="N29" s="32"/>
      <c r="O29" s="32"/>
      <c r="P29" s="32"/>
      <c r="Q29" s="32"/>
      <c r="R29" s="32"/>
      <c r="S29" s="32"/>
      <c r="T29" s="32"/>
    </row>
    <row r="30" spans="1:20" ht="11.25" customHeight="1">
      <c r="B30" s="24" t="s">
        <v>19</v>
      </c>
      <c r="D30" s="24"/>
      <c r="E30" s="24"/>
      <c r="F30" s="32"/>
      <c r="G30" s="32"/>
      <c r="H30" s="32"/>
      <c r="I30" s="32"/>
      <c r="J30" s="32"/>
      <c r="K30" s="32"/>
      <c r="L30" s="32"/>
      <c r="M30" s="32"/>
      <c r="N30" s="32"/>
      <c r="O30" s="32"/>
      <c r="P30" s="32"/>
      <c r="Q30" s="32"/>
      <c r="R30" s="32"/>
      <c r="S30" s="32"/>
      <c r="T30" s="32"/>
    </row>
    <row r="31" spans="1:20">
      <c r="A31" s="22">
        <v>13</v>
      </c>
      <c r="C31" s="24" t="s">
        <v>17</v>
      </c>
      <c r="D31" s="24"/>
      <c r="E31" s="24"/>
      <c r="F31" s="32">
        <v>3956</v>
      </c>
      <c r="G31" s="32">
        <v>4655</v>
      </c>
      <c r="H31" s="32">
        <v>5482</v>
      </c>
      <c r="I31" s="32">
        <v>5762</v>
      </c>
      <c r="J31" s="32">
        <v>5958</v>
      </c>
      <c r="K31" s="32">
        <v>6084</v>
      </c>
      <c r="L31" s="32">
        <v>6359</v>
      </c>
      <c r="M31" s="32">
        <v>6467</v>
      </c>
      <c r="N31" s="32">
        <v>6123</v>
      </c>
      <c r="O31" s="32">
        <v>7700</v>
      </c>
      <c r="P31" s="32">
        <v>7696</v>
      </c>
      <c r="Q31" s="32">
        <v>8854</v>
      </c>
      <c r="R31" s="32">
        <v>9511</v>
      </c>
      <c r="S31" s="32">
        <v>10820</v>
      </c>
      <c r="T31" s="32">
        <v>10704</v>
      </c>
    </row>
    <row r="32" spans="1:20" ht="12.95" customHeight="1">
      <c r="A32" s="22">
        <v>14</v>
      </c>
      <c r="C32" s="24" t="s">
        <v>47</v>
      </c>
      <c r="D32" s="24"/>
      <c r="E32" s="24"/>
      <c r="F32" s="32">
        <v>4184</v>
      </c>
      <c r="G32" s="32">
        <v>4390</v>
      </c>
      <c r="H32" s="32">
        <v>4496</v>
      </c>
      <c r="I32" s="32">
        <v>4707</v>
      </c>
      <c r="J32" s="32">
        <v>4902</v>
      </c>
      <c r="K32" s="32">
        <v>5088</v>
      </c>
      <c r="L32" s="32">
        <v>5369</v>
      </c>
      <c r="M32" s="32">
        <v>5605</v>
      </c>
      <c r="N32" s="32">
        <v>5673</v>
      </c>
      <c r="O32" s="32">
        <v>6064</v>
      </c>
      <c r="P32" s="32">
        <v>6367</v>
      </c>
      <c r="Q32" s="32">
        <v>6649</v>
      </c>
      <c r="R32" s="32">
        <v>6978</v>
      </c>
      <c r="S32" s="32">
        <v>7925</v>
      </c>
      <c r="T32" s="32">
        <v>8513</v>
      </c>
    </row>
    <row r="33" spans="1:20" ht="11.45" customHeight="1">
      <c r="A33" s="22">
        <v>15</v>
      </c>
      <c r="C33" s="24" t="s">
        <v>4</v>
      </c>
      <c r="D33" s="24"/>
      <c r="E33" s="24"/>
      <c r="F33" s="33">
        <v>4919</v>
      </c>
      <c r="G33" s="33">
        <v>7315</v>
      </c>
      <c r="H33" s="33">
        <v>8070</v>
      </c>
      <c r="I33" s="33">
        <v>7205</v>
      </c>
      <c r="J33" s="33">
        <v>8213</v>
      </c>
      <c r="K33" s="33">
        <v>8573</v>
      </c>
      <c r="L33" s="33">
        <v>9457</v>
      </c>
      <c r="M33" s="33">
        <v>9844</v>
      </c>
      <c r="N33" s="33">
        <v>8941</v>
      </c>
      <c r="O33" s="33">
        <v>8746</v>
      </c>
      <c r="P33" s="33">
        <v>7223</v>
      </c>
      <c r="Q33" s="33">
        <v>8050.6743270000006</v>
      </c>
      <c r="R33" s="33">
        <v>7825</v>
      </c>
      <c r="S33" s="33">
        <v>8116</v>
      </c>
      <c r="T33" s="33">
        <v>8719</v>
      </c>
    </row>
    <row r="34" spans="1:20" ht="12.95" customHeight="1">
      <c r="A34" s="22">
        <v>16</v>
      </c>
      <c r="B34" s="24" t="s">
        <v>20</v>
      </c>
      <c r="C34" s="250"/>
      <c r="F34" s="32">
        <f t="shared" ref="F34:S34" si="6">SUM(F31:F33)</f>
        <v>13059</v>
      </c>
      <c r="G34" s="32">
        <f t="shared" si="6"/>
        <v>16360</v>
      </c>
      <c r="H34" s="32">
        <f t="shared" si="6"/>
        <v>18048</v>
      </c>
      <c r="I34" s="32">
        <f t="shared" si="6"/>
        <v>17674</v>
      </c>
      <c r="J34" s="32">
        <f t="shared" si="6"/>
        <v>19073</v>
      </c>
      <c r="K34" s="32">
        <f t="shared" si="6"/>
        <v>19745</v>
      </c>
      <c r="L34" s="32">
        <f t="shared" si="6"/>
        <v>21185</v>
      </c>
      <c r="M34" s="32">
        <f t="shared" si="6"/>
        <v>21916</v>
      </c>
      <c r="N34" s="32">
        <f t="shared" si="6"/>
        <v>20737</v>
      </c>
      <c r="O34" s="32">
        <f t="shared" si="6"/>
        <v>22510</v>
      </c>
      <c r="P34" s="32">
        <f t="shared" si="6"/>
        <v>21286</v>
      </c>
      <c r="Q34" s="32">
        <f t="shared" si="6"/>
        <v>23553.674327000001</v>
      </c>
      <c r="R34" s="32">
        <f t="shared" si="6"/>
        <v>24314</v>
      </c>
      <c r="S34" s="32">
        <f t="shared" si="6"/>
        <v>26861</v>
      </c>
      <c r="T34" s="32">
        <f t="shared" ref="T34" si="7">SUM(T31:T33)</f>
        <v>27936</v>
      </c>
    </row>
    <row r="35" spans="1:20">
      <c r="C35" s="24"/>
      <c r="D35" s="24"/>
      <c r="E35" s="24"/>
      <c r="F35" s="32"/>
      <c r="G35" s="32"/>
      <c r="H35" s="32"/>
      <c r="I35" s="32"/>
      <c r="J35" s="32"/>
      <c r="K35" s="32"/>
      <c r="L35" s="32"/>
      <c r="M35" s="32"/>
      <c r="N35" s="32"/>
      <c r="O35" s="32"/>
      <c r="P35" s="32"/>
      <c r="Q35" s="32"/>
      <c r="R35" s="32"/>
      <c r="S35" s="32"/>
      <c r="T35" s="32"/>
    </row>
    <row r="36" spans="1:20">
      <c r="A36" s="22">
        <v>17</v>
      </c>
      <c r="B36" s="3" t="s">
        <v>21</v>
      </c>
      <c r="C36" s="24"/>
      <c r="D36" s="24"/>
      <c r="E36" s="24"/>
      <c r="F36" s="32">
        <v>3175</v>
      </c>
      <c r="G36" s="32">
        <v>3367</v>
      </c>
      <c r="H36" s="32">
        <v>4108</v>
      </c>
      <c r="I36" s="32">
        <v>4121</v>
      </c>
      <c r="J36" s="32">
        <v>4337</v>
      </c>
      <c r="K36" s="32">
        <v>4249</v>
      </c>
      <c r="L36" s="32">
        <v>4225</v>
      </c>
      <c r="M36" s="32">
        <v>4487</v>
      </c>
      <c r="N36" s="32">
        <v>4692</v>
      </c>
      <c r="O36" s="32">
        <v>5586</v>
      </c>
      <c r="P36" s="32">
        <v>5234</v>
      </c>
      <c r="Q36" s="32">
        <v>5739.734942</v>
      </c>
      <c r="R36" s="32">
        <v>5796</v>
      </c>
      <c r="S36" s="32">
        <v>6270</v>
      </c>
      <c r="T36" s="32">
        <v>6108</v>
      </c>
    </row>
    <row r="37" spans="1:20" ht="11.25" customHeight="1">
      <c r="A37" s="22">
        <v>18</v>
      </c>
      <c r="B37" s="3" t="s">
        <v>22</v>
      </c>
      <c r="C37" s="24"/>
      <c r="D37" s="24"/>
      <c r="E37" s="24"/>
      <c r="F37" s="32">
        <v>507</v>
      </c>
      <c r="G37" s="32">
        <v>1513</v>
      </c>
      <c r="H37" s="32">
        <v>2252</v>
      </c>
      <c r="I37" s="32">
        <v>2747</v>
      </c>
      <c r="J37" s="32">
        <v>480</v>
      </c>
      <c r="K37" s="32">
        <v>3523</v>
      </c>
      <c r="L37" s="32">
        <v>1061</v>
      </c>
      <c r="M37" s="32">
        <v>4658</v>
      </c>
      <c r="N37" s="32">
        <v>5169</v>
      </c>
      <c r="O37" s="32">
        <v>7609</v>
      </c>
      <c r="P37" s="32">
        <v>9505</v>
      </c>
      <c r="Q37" s="32">
        <v>9777</v>
      </c>
      <c r="R37" s="32">
        <v>6955</v>
      </c>
      <c r="S37" s="32">
        <v>983</v>
      </c>
      <c r="T37" s="32">
        <v>865</v>
      </c>
    </row>
    <row r="38" spans="1:20">
      <c r="A38" s="22">
        <v>19</v>
      </c>
      <c r="B38" s="3" t="s">
        <v>23</v>
      </c>
      <c r="C38" s="24"/>
      <c r="D38" s="24"/>
      <c r="E38" s="24"/>
      <c r="F38" s="32">
        <v>703</v>
      </c>
      <c r="G38" s="32">
        <v>445</v>
      </c>
      <c r="H38" s="32">
        <v>375</v>
      </c>
      <c r="I38" s="32">
        <v>492</v>
      </c>
      <c r="J38" s="32">
        <v>427</v>
      </c>
      <c r="K38" s="32">
        <v>320</v>
      </c>
      <c r="L38" s="32">
        <v>496</v>
      </c>
      <c r="M38" s="32">
        <v>516</v>
      </c>
      <c r="N38" s="32">
        <v>442</v>
      </c>
      <c r="O38" s="32">
        <v>497</v>
      </c>
      <c r="P38" s="32">
        <v>105</v>
      </c>
      <c r="Q38" s="32">
        <v>3</v>
      </c>
      <c r="R38" s="32">
        <v>3</v>
      </c>
      <c r="S38" s="32">
        <v>3</v>
      </c>
      <c r="T38" s="32">
        <v>0</v>
      </c>
    </row>
    <row r="39" spans="1:20">
      <c r="C39" s="24"/>
      <c r="D39" s="24"/>
      <c r="E39" s="24"/>
      <c r="F39" s="32"/>
      <c r="G39" s="32"/>
      <c r="H39" s="32"/>
      <c r="I39" s="32"/>
      <c r="J39" s="32"/>
      <c r="K39" s="32"/>
      <c r="L39" s="32"/>
      <c r="M39" s="32"/>
      <c r="N39" s="32"/>
      <c r="O39" s="32"/>
      <c r="P39" s="32"/>
      <c r="Q39" s="32"/>
      <c r="R39" s="32"/>
      <c r="S39" s="32"/>
      <c r="T39" s="32"/>
    </row>
    <row r="40" spans="1:20">
      <c r="B40" s="3" t="s">
        <v>24</v>
      </c>
      <c r="C40" s="24"/>
      <c r="D40" s="24"/>
      <c r="E40" s="24"/>
      <c r="F40" s="32"/>
      <c r="G40" s="32"/>
      <c r="H40" s="32"/>
      <c r="I40" s="32"/>
      <c r="J40" s="32"/>
      <c r="K40" s="32"/>
      <c r="L40" s="32"/>
      <c r="M40" s="32"/>
      <c r="N40" s="32"/>
      <c r="O40" s="32"/>
      <c r="P40" s="32"/>
      <c r="Q40" s="32"/>
      <c r="R40" s="32"/>
      <c r="S40" s="32"/>
      <c r="T40" s="32"/>
    </row>
    <row r="41" spans="1:20">
      <c r="A41" s="22">
        <v>20</v>
      </c>
      <c r="C41" s="24" t="s">
        <v>17</v>
      </c>
      <c r="D41" s="24"/>
      <c r="E41" s="24"/>
      <c r="F41" s="32">
        <v>8004</v>
      </c>
      <c r="G41" s="32">
        <v>7578</v>
      </c>
      <c r="H41" s="32">
        <v>9399</v>
      </c>
      <c r="I41" s="32">
        <v>9827</v>
      </c>
      <c r="J41" s="32">
        <v>8911</v>
      </c>
      <c r="K41" s="32">
        <v>9196</v>
      </c>
      <c r="L41" s="32">
        <v>8393</v>
      </c>
      <c r="M41" s="32">
        <v>8901</v>
      </c>
      <c r="N41" s="32">
        <v>9706</v>
      </c>
      <c r="O41" s="32">
        <v>9770</v>
      </c>
      <c r="P41" s="32">
        <v>11383</v>
      </c>
      <c r="Q41" s="32">
        <v>11585.118</v>
      </c>
      <c r="R41" s="32">
        <v>13419</v>
      </c>
      <c r="S41" s="32">
        <v>11862</v>
      </c>
      <c r="T41" s="32">
        <v>12777</v>
      </c>
    </row>
    <row r="42" spans="1:20">
      <c r="A42" s="22">
        <v>21</v>
      </c>
      <c r="C42" s="24" t="s">
        <v>47</v>
      </c>
      <c r="D42" s="24"/>
      <c r="E42" s="24"/>
      <c r="F42" s="32">
        <f>'Reg Amort and Other RB'!E17</f>
        <v>1027</v>
      </c>
      <c r="G42" s="32">
        <f>'Reg Amort and Other RB'!F17</f>
        <v>1020</v>
      </c>
      <c r="H42" s="32">
        <f>'Reg Amort and Other RB'!G17</f>
        <v>1275</v>
      </c>
      <c r="I42" s="32">
        <f>'Reg Amort and Other RB'!H17</f>
        <v>1363</v>
      </c>
      <c r="J42" s="32">
        <f>'Reg Amort and Other RB'!I17</f>
        <v>1180</v>
      </c>
      <c r="K42" s="32">
        <f>'Reg Amort and Other RB'!J17</f>
        <v>1343</v>
      </c>
      <c r="L42" s="32">
        <f>'Reg Amort and Other RB'!K17</f>
        <v>1282</v>
      </c>
      <c r="M42" s="32">
        <f>'Reg Amort and Other RB'!L17</f>
        <v>1498</v>
      </c>
      <c r="N42" s="32">
        <f>'Reg Amort and Other RB'!M17</f>
        <v>1803</v>
      </c>
      <c r="O42" s="32">
        <f>'Reg Amort and Other RB'!N17</f>
        <v>1999</v>
      </c>
      <c r="P42" s="32">
        <f>'Reg Amort and Other RB'!O17</f>
        <v>2412</v>
      </c>
      <c r="Q42" s="32">
        <v>2734</v>
      </c>
      <c r="R42" s="32">
        <v>3276</v>
      </c>
      <c r="S42" s="32">
        <v>3868</v>
      </c>
      <c r="T42" s="32">
        <v>4389</v>
      </c>
    </row>
    <row r="43" spans="1:20">
      <c r="A43" s="22">
        <v>22</v>
      </c>
      <c r="C43" s="1" t="s">
        <v>52</v>
      </c>
      <c r="D43" s="24"/>
      <c r="E43" s="24"/>
      <c r="F43" s="32">
        <f>'Reg Amort and Other RB'!E25</f>
        <v>0</v>
      </c>
      <c r="G43" s="32">
        <f>'Reg Amort and Other RB'!F25</f>
        <v>167</v>
      </c>
      <c r="H43" s="32">
        <f>'Reg Amort and Other RB'!G25</f>
        <v>185</v>
      </c>
      <c r="I43" s="32">
        <f>'Reg Amort and Other RB'!H25</f>
        <v>159</v>
      </c>
      <c r="J43" s="32">
        <f>'Reg Amort and Other RB'!I25</f>
        <v>169</v>
      </c>
      <c r="K43" s="32">
        <f>'Reg Amort and Other RB'!J25</f>
        <v>0</v>
      </c>
      <c r="L43" s="32">
        <f>'Reg Amort and Other RB'!K25</f>
        <v>0</v>
      </c>
      <c r="M43" s="32">
        <f>'Reg Amort and Other RB'!L25</f>
        <v>-815</v>
      </c>
      <c r="N43" s="32">
        <f>'Reg Amort and Other RB'!M25</f>
        <v>-242</v>
      </c>
      <c r="O43" s="32">
        <f>'Reg Amort and Other RB'!N25</f>
        <v>440</v>
      </c>
      <c r="P43" s="32">
        <f>'Reg Amort and Other RB'!O25</f>
        <v>216</v>
      </c>
      <c r="Q43" s="32">
        <v>-186</v>
      </c>
      <c r="R43" s="32">
        <v>171</v>
      </c>
      <c r="S43" s="32">
        <v>91</v>
      </c>
      <c r="T43" s="32">
        <v>-91</v>
      </c>
    </row>
    <row r="44" spans="1:20" ht="12" customHeight="1">
      <c r="A44" s="22">
        <v>23</v>
      </c>
      <c r="C44" s="24" t="s">
        <v>4</v>
      </c>
      <c r="D44" s="24"/>
      <c r="E44" s="24"/>
      <c r="F44" s="33">
        <v>22</v>
      </c>
      <c r="G44" s="33">
        <v>21</v>
      </c>
      <c r="H44" s="33">
        <v>23</v>
      </c>
      <c r="I44" s="33">
        <v>24</v>
      </c>
      <c r="J44" s="33">
        <v>24</v>
      </c>
      <c r="K44" s="33">
        <v>23</v>
      </c>
      <c r="L44" s="33">
        <v>24</v>
      </c>
      <c r="M44" s="33">
        <v>20</v>
      </c>
      <c r="N44" s="33">
        <v>17</v>
      </c>
      <c r="O44" s="33">
        <v>19</v>
      </c>
      <c r="P44" s="33">
        <v>24</v>
      </c>
      <c r="Q44" s="33">
        <v>0</v>
      </c>
      <c r="R44" s="33">
        <v>-1</v>
      </c>
      <c r="S44" s="33">
        <v>0</v>
      </c>
      <c r="T44" s="33">
        <v>0</v>
      </c>
    </row>
    <row r="45" spans="1:20" ht="10.9" customHeight="1">
      <c r="A45" s="22">
        <v>24</v>
      </c>
      <c r="B45" s="24" t="s">
        <v>25</v>
      </c>
      <c r="C45" s="24"/>
      <c r="F45" s="33">
        <f t="shared" ref="F45:S45" si="8">SUM(F41:F44)</f>
        <v>9053</v>
      </c>
      <c r="G45" s="33">
        <f t="shared" si="8"/>
        <v>8786</v>
      </c>
      <c r="H45" s="33">
        <f t="shared" si="8"/>
        <v>10882</v>
      </c>
      <c r="I45" s="33">
        <f t="shared" si="8"/>
        <v>11373</v>
      </c>
      <c r="J45" s="33">
        <f t="shared" si="8"/>
        <v>10284</v>
      </c>
      <c r="K45" s="33">
        <f t="shared" si="8"/>
        <v>10562</v>
      </c>
      <c r="L45" s="33">
        <f t="shared" si="8"/>
        <v>9699</v>
      </c>
      <c r="M45" s="33">
        <f t="shared" si="8"/>
        <v>9604</v>
      </c>
      <c r="N45" s="33">
        <f t="shared" si="8"/>
        <v>11284</v>
      </c>
      <c r="O45" s="33">
        <f t="shared" si="8"/>
        <v>12228</v>
      </c>
      <c r="P45" s="33">
        <f t="shared" si="8"/>
        <v>14035</v>
      </c>
      <c r="Q45" s="33">
        <f t="shared" si="8"/>
        <v>14133.118</v>
      </c>
      <c r="R45" s="33">
        <f t="shared" si="8"/>
        <v>16865</v>
      </c>
      <c r="S45" s="33">
        <f t="shared" si="8"/>
        <v>15821</v>
      </c>
      <c r="T45" s="33">
        <f t="shared" ref="T45" si="9">SUM(T41:T44)</f>
        <v>17075</v>
      </c>
    </row>
    <row r="46" spans="1:20" ht="12.95" customHeight="1">
      <c r="A46" s="22">
        <v>25</v>
      </c>
      <c r="B46" s="3" t="s">
        <v>26</v>
      </c>
      <c r="C46" s="24"/>
      <c r="D46" s="24"/>
      <c r="E46" s="24"/>
      <c r="F46" s="33">
        <f t="shared" ref="F46:S46" si="10">F22+F28+F34+F36+F37+F38+F45</f>
        <v>85016</v>
      </c>
      <c r="G46" s="33">
        <f t="shared" si="10"/>
        <v>138476</v>
      </c>
      <c r="H46" s="33">
        <f t="shared" si="10"/>
        <v>147069</v>
      </c>
      <c r="I46" s="33">
        <f t="shared" si="10"/>
        <v>134584</v>
      </c>
      <c r="J46" s="33">
        <f t="shared" si="10"/>
        <v>150151</v>
      </c>
      <c r="K46" s="33">
        <f t="shared" si="10"/>
        <v>198769</v>
      </c>
      <c r="L46" s="33">
        <f t="shared" si="10"/>
        <v>188047</v>
      </c>
      <c r="M46" s="33">
        <f t="shared" si="10"/>
        <v>265476</v>
      </c>
      <c r="N46" s="33">
        <f t="shared" si="10"/>
        <v>344324</v>
      </c>
      <c r="O46" s="33">
        <f t="shared" si="10"/>
        <v>255137</v>
      </c>
      <c r="P46" s="33">
        <f t="shared" si="10"/>
        <v>245981</v>
      </c>
      <c r="Q46" s="33">
        <f t="shared" si="10"/>
        <v>238020.52726899998</v>
      </c>
      <c r="R46" s="33">
        <f t="shared" si="10"/>
        <v>198655</v>
      </c>
      <c r="S46" s="33">
        <f t="shared" si="10"/>
        <v>128988</v>
      </c>
      <c r="T46" s="33">
        <f t="shared" ref="T46" si="11">T22+T28+T34+T36+T37+T38+T45</f>
        <v>138429</v>
      </c>
    </row>
    <row r="47" spans="1:20" ht="9" customHeight="1">
      <c r="C47" s="24"/>
      <c r="D47" s="24"/>
      <c r="E47" s="24"/>
      <c r="F47" s="32"/>
      <c r="G47" s="32"/>
      <c r="H47" s="32"/>
      <c r="I47" s="32"/>
      <c r="J47" s="32"/>
      <c r="K47" s="32"/>
      <c r="L47" s="32"/>
      <c r="M47" s="32"/>
      <c r="N47" s="32"/>
      <c r="O47" s="32"/>
      <c r="P47" s="32"/>
      <c r="Q47" s="32"/>
      <c r="R47" s="32"/>
      <c r="S47" s="32"/>
      <c r="T47" s="32"/>
    </row>
    <row r="48" spans="1:20" ht="12.95" customHeight="1">
      <c r="A48" s="22">
        <v>26</v>
      </c>
      <c r="B48" s="3" t="s">
        <v>27</v>
      </c>
      <c r="C48" s="24"/>
      <c r="D48" s="24"/>
      <c r="E48" s="24"/>
      <c r="F48" s="32">
        <f t="shared" ref="F48:L48" si="12">F15-F46</f>
        <v>11408</v>
      </c>
      <c r="G48" s="32">
        <f t="shared" si="12"/>
        <v>12913</v>
      </c>
      <c r="H48" s="32">
        <f t="shared" si="12"/>
        <v>7729</v>
      </c>
      <c r="I48" s="32">
        <f t="shared" si="12"/>
        <v>8022</v>
      </c>
      <c r="J48" s="32">
        <f t="shared" si="12"/>
        <v>14124</v>
      </c>
      <c r="K48" s="32">
        <f t="shared" si="12"/>
        <v>13526</v>
      </c>
      <c r="L48" s="32">
        <f t="shared" si="12"/>
        <v>15257</v>
      </c>
      <c r="M48" s="32">
        <f t="shared" ref="M48:S48" si="13">M15-M46</f>
        <v>15389</v>
      </c>
      <c r="N48" s="32">
        <f t="shared" si="13"/>
        <v>15865</v>
      </c>
      <c r="O48" s="32">
        <f t="shared" si="13"/>
        <v>14929</v>
      </c>
      <c r="P48" s="32">
        <f t="shared" si="13"/>
        <v>14801</v>
      </c>
      <c r="Q48" s="32">
        <f t="shared" si="13"/>
        <v>16725.472731000016</v>
      </c>
      <c r="R48" s="32">
        <f t="shared" si="13"/>
        <v>15127</v>
      </c>
      <c r="S48" s="32">
        <f t="shared" si="13"/>
        <v>19587</v>
      </c>
      <c r="T48" s="32">
        <f t="shared" ref="T48" si="14">T15-T46</f>
        <v>20409</v>
      </c>
    </row>
    <row r="49" spans="1:20">
      <c r="C49" s="24"/>
      <c r="D49" s="24"/>
      <c r="E49" s="24"/>
      <c r="F49" s="32"/>
      <c r="G49" s="32"/>
      <c r="H49" s="32"/>
      <c r="I49" s="32"/>
      <c r="J49" s="32"/>
      <c r="K49" s="32"/>
      <c r="L49" s="32"/>
      <c r="M49" s="32"/>
      <c r="N49" s="32"/>
      <c r="O49" s="32"/>
      <c r="P49" s="32"/>
      <c r="Q49" s="32"/>
      <c r="R49" s="32"/>
      <c r="S49" s="32"/>
      <c r="T49" s="32"/>
    </row>
    <row r="50" spans="1:20">
      <c r="B50" s="3" t="s">
        <v>28</v>
      </c>
      <c r="C50" s="24"/>
      <c r="D50" s="24"/>
      <c r="E50" s="24"/>
      <c r="F50" s="32"/>
      <c r="G50" s="32"/>
      <c r="H50" s="32"/>
      <c r="I50" s="32"/>
      <c r="J50" s="32"/>
      <c r="K50" s="32"/>
      <c r="L50" s="32"/>
      <c r="M50" s="32"/>
      <c r="N50" s="32"/>
      <c r="O50" s="32"/>
      <c r="P50" s="32"/>
      <c r="Q50" s="32"/>
      <c r="R50" s="32"/>
      <c r="S50" s="32"/>
      <c r="T50" s="32"/>
    </row>
    <row r="51" spans="1:20">
      <c r="A51" s="22">
        <v>27</v>
      </c>
      <c r="B51" s="24" t="s">
        <v>29</v>
      </c>
      <c r="D51" s="24"/>
      <c r="E51" s="24"/>
      <c r="F51" s="32">
        <v>-4775</v>
      </c>
      <c r="G51" s="32">
        <v>-256</v>
      </c>
      <c r="H51" s="32">
        <v>6949</v>
      </c>
      <c r="I51" s="32">
        <v>651</v>
      </c>
      <c r="J51" s="32">
        <v>655</v>
      </c>
      <c r="K51" s="32">
        <v>-3110</v>
      </c>
      <c r="L51" s="32">
        <v>6693</v>
      </c>
      <c r="M51" s="32">
        <v>5010</v>
      </c>
      <c r="N51" s="32">
        <v>506</v>
      </c>
      <c r="O51" s="32">
        <v>2468</v>
      </c>
      <c r="P51" s="32">
        <v>-5811</v>
      </c>
      <c r="Q51" s="32">
        <v>-907.43454415000008</v>
      </c>
      <c r="R51" s="32">
        <v>-1185</v>
      </c>
      <c r="S51" s="32">
        <v>4253</v>
      </c>
      <c r="T51" s="32">
        <v>-6945</v>
      </c>
    </row>
    <row r="52" spans="1:20">
      <c r="A52" s="22">
        <v>28</v>
      </c>
      <c r="B52" s="24" t="s">
        <v>46</v>
      </c>
      <c r="D52" s="24"/>
      <c r="E52" s="24"/>
      <c r="F52" s="32"/>
      <c r="G52" s="32"/>
      <c r="H52" s="32"/>
      <c r="I52" s="32"/>
      <c r="J52" s="32"/>
      <c r="K52" s="32"/>
      <c r="L52" s="32"/>
      <c r="M52" s="32"/>
      <c r="N52" s="32"/>
      <c r="O52" s="32"/>
      <c r="P52" s="32"/>
      <c r="Q52" s="32">
        <v>62.982525000000003</v>
      </c>
      <c r="R52" s="32">
        <v>3</v>
      </c>
      <c r="S52" s="32">
        <v>-56</v>
      </c>
      <c r="T52" s="32">
        <v>-137</v>
      </c>
    </row>
    <row r="53" spans="1:20">
      <c r="A53" s="22">
        <v>29</v>
      </c>
      <c r="B53" s="24" t="s">
        <v>30</v>
      </c>
      <c r="D53" s="24"/>
      <c r="E53" s="24"/>
      <c r="F53" s="32">
        <v>6605</v>
      </c>
      <c r="G53" s="32">
        <v>3078</v>
      </c>
      <c r="H53" s="32">
        <v>-6302</v>
      </c>
      <c r="I53" s="32">
        <v>325</v>
      </c>
      <c r="J53" s="32">
        <v>2340</v>
      </c>
      <c r="K53" s="32">
        <v>5522</v>
      </c>
      <c r="L53" s="32">
        <v>-3072</v>
      </c>
      <c r="M53" s="32">
        <v>-1442</v>
      </c>
      <c r="N53" s="32">
        <v>3320</v>
      </c>
      <c r="O53" s="32">
        <v>1238</v>
      </c>
      <c r="P53" s="32">
        <v>9594</v>
      </c>
      <c r="Q53" s="32">
        <v>5691</v>
      </c>
      <c r="R53" s="32">
        <v>5033</v>
      </c>
      <c r="S53" s="32">
        <v>1403</v>
      </c>
      <c r="T53" s="32">
        <v>13105</v>
      </c>
    </row>
    <row r="54" spans="1:20" s="23" customFormat="1">
      <c r="A54" s="22">
        <v>30</v>
      </c>
      <c r="B54" s="24" t="s">
        <v>31</v>
      </c>
      <c r="C54" s="3"/>
      <c r="D54" s="24"/>
      <c r="E54" s="24"/>
      <c r="F54" s="33">
        <v>-31</v>
      </c>
      <c r="G54" s="33">
        <v>-30</v>
      </c>
      <c r="H54" s="33">
        <v>-31</v>
      </c>
      <c r="I54" s="33">
        <v>-31</v>
      </c>
      <c r="J54" s="33">
        <v>-31</v>
      </c>
      <c r="K54" s="33">
        <v>-30</v>
      </c>
      <c r="L54" s="33">
        <v>-30</v>
      </c>
      <c r="M54" s="33">
        <v>-31</v>
      </c>
      <c r="N54" s="33">
        <v>-31</v>
      </c>
      <c r="O54" s="33">
        <v>-30</v>
      </c>
      <c r="P54" s="33">
        <v>-29</v>
      </c>
      <c r="Q54" s="33">
        <v>-27</v>
      </c>
      <c r="R54" s="33">
        <v>-25</v>
      </c>
      <c r="S54" s="33">
        <v>-24</v>
      </c>
      <c r="T54" s="33">
        <f>-21+1</f>
        <v>-20</v>
      </c>
    </row>
    <row r="55" spans="1:20" ht="12.75" customHeight="1">
      <c r="F55" s="32"/>
      <c r="G55" s="32"/>
      <c r="H55" s="32"/>
      <c r="I55" s="32"/>
      <c r="J55" s="32"/>
      <c r="K55" s="32"/>
      <c r="L55" s="32"/>
      <c r="M55" s="32"/>
      <c r="N55" s="32"/>
      <c r="O55" s="32"/>
      <c r="P55" s="32"/>
      <c r="Q55" s="32"/>
      <c r="R55" s="32"/>
      <c r="S55" s="32"/>
      <c r="T55" s="32"/>
    </row>
    <row r="56" spans="1:20" ht="12.75" customHeight="1" thickBot="1">
      <c r="A56" s="22">
        <v>31</v>
      </c>
      <c r="B56" s="23" t="s">
        <v>32</v>
      </c>
      <c r="C56" s="23"/>
      <c r="D56" s="23"/>
      <c r="E56" s="23"/>
      <c r="F56" s="38">
        <f t="shared" ref="F56:L56" si="15">F48-F51-F52-F53-F54</f>
        <v>9609</v>
      </c>
      <c r="G56" s="38">
        <f t="shared" si="15"/>
        <v>10121</v>
      </c>
      <c r="H56" s="38">
        <f t="shared" si="15"/>
        <v>7113</v>
      </c>
      <c r="I56" s="38">
        <f t="shared" si="15"/>
        <v>7077</v>
      </c>
      <c r="J56" s="38">
        <f t="shared" si="15"/>
        <v>11160</v>
      </c>
      <c r="K56" s="38">
        <f t="shared" si="15"/>
        <v>11144</v>
      </c>
      <c r="L56" s="38">
        <f t="shared" si="15"/>
        <v>11666</v>
      </c>
      <c r="M56" s="38">
        <f t="shared" ref="M56:S56" si="16">M48-M51-M52-M53-M54</f>
        <v>11852</v>
      </c>
      <c r="N56" s="38">
        <f t="shared" si="16"/>
        <v>12070</v>
      </c>
      <c r="O56" s="38">
        <f t="shared" si="16"/>
        <v>11253</v>
      </c>
      <c r="P56" s="38">
        <f t="shared" si="16"/>
        <v>11047</v>
      </c>
      <c r="Q56" s="38">
        <f t="shared" si="16"/>
        <v>11905.924750150018</v>
      </c>
      <c r="R56" s="38">
        <f t="shared" si="16"/>
        <v>11301</v>
      </c>
      <c r="S56" s="38">
        <f t="shared" si="16"/>
        <v>14011</v>
      </c>
      <c r="T56" s="38">
        <f t="shared" ref="T56" si="17">T48-T51-T52-T53-T54</f>
        <v>14406</v>
      </c>
    </row>
    <row r="57" spans="1:20" ht="12.75" customHeight="1" thickTop="1">
      <c r="B57" s="23"/>
      <c r="C57" s="23"/>
      <c r="D57" s="23"/>
      <c r="E57" s="23"/>
      <c r="F57" s="185"/>
      <c r="G57" s="185"/>
      <c r="H57" s="185"/>
      <c r="I57" s="185"/>
      <c r="J57" s="185"/>
      <c r="K57" s="185"/>
      <c r="L57" s="185"/>
      <c r="M57" s="185"/>
      <c r="N57" s="185"/>
      <c r="O57" s="185"/>
      <c r="P57" s="185"/>
      <c r="Q57" s="185"/>
      <c r="R57" s="185"/>
    </row>
    <row r="58" spans="1:20" ht="12.6" customHeight="1">
      <c r="B58" s="23"/>
      <c r="C58" s="23"/>
      <c r="D58" s="186" t="s">
        <v>265</v>
      </c>
      <c r="E58" s="23"/>
      <c r="F58" s="185"/>
      <c r="G58" s="185"/>
      <c r="H58" s="185"/>
      <c r="I58" s="185"/>
      <c r="J58" s="185"/>
      <c r="K58" s="185"/>
      <c r="L58" s="185"/>
      <c r="M58" s="185"/>
      <c r="N58" s="185"/>
      <c r="O58" s="185"/>
      <c r="P58" s="185"/>
      <c r="Q58" s="185"/>
      <c r="R58" s="185"/>
    </row>
    <row r="59" spans="1:20" ht="28.9" customHeight="1">
      <c r="A59" s="579"/>
      <c r="B59" s="579"/>
      <c r="C59" s="579"/>
      <c r="D59" s="579"/>
      <c r="E59" s="579"/>
      <c r="F59" s="579"/>
      <c r="G59" s="579"/>
      <c r="H59" s="579"/>
      <c r="I59" s="579"/>
      <c r="J59" s="579"/>
      <c r="K59" s="579"/>
      <c r="L59" s="579"/>
      <c r="M59" s="579"/>
      <c r="N59" s="579"/>
      <c r="O59" s="579"/>
      <c r="P59" s="579"/>
      <c r="Q59" s="579"/>
      <c r="R59" s="579"/>
    </row>
    <row r="60" spans="1:20" ht="39.75" customHeight="1">
      <c r="A60" s="202" t="s">
        <v>43</v>
      </c>
      <c r="R60" s="4"/>
    </row>
    <row r="61" spans="1:20" ht="14.25" customHeight="1">
      <c r="A61" s="202" t="s">
        <v>48</v>
      </c>
      <c r="E61" s="580" t="str">
        <f>E4</f>
        <v>Commission Basis Results of Operations</v>
      </c>
      <c r="F61" s="580"/>
      <c r="G61" s="580"/>
      <c r="H61" s="580"/>
      <c r="I61" s="580"/>
      <c r="J61" s="580"/>
      <c r="K61" s="580"/>
      <c r="L61" s="580"/>
      <c r="M61" s="580"/>
      <c r="N61" s="580"/>
      <c r="O61" s="580"/>
      <c r="P61" s="580"/>
      <c r="Q61" s="580"/>
      <c r="R61" s="580"/>
    </row>
    <row r="62" spans="1:20" ht="0.75" customHeight="1">
      <c r="A62" s="202"/>
      <c r="R62" s="4"/>
    </row>
    <row r="63" spans="1:20" s="6" customFormat="1" ht="13.9" customHeight="1">
      <c r="A63" s="202" t="s">
        <v>39</v>
      </c>
      <c r="B63" s="2"/>
      <c r="C63" s="2"/>
      <c r="D63" s="2"/>
      <c r="E63" s="2"/>
      <c r="F63" s="4"/>
      <c r="G63" s="4"/>
      <c r="H63" s="4"/>
      <c r="I63" s="4"/>
      <c r="J63" s="4"/>
      <c r="K63" s="4"/>
      <c r="L63" s="4"/>
      <c r="M63" s="4"/>
      <c r="N63" s="4"/>
      <c r="O63" s="4"/>
      <c r="P63" s="4"/>
      <c r="Q63" s="4"/>
      <c r="R63" s="4"/>
      <c r="S63" s="24"/>
      <c r="T63" s="389"/>
    </row>
    <row r="64" spans="1:20" s="6" customFormat="1" ht="5.25" customHeight="1">
      <c r="A64" s="2"/>
      <c r="B64" s="3"/>
      <c r="C64" s="3"/>
      <c r="D64" s="3"/>
      <c r="E64" s="3"/>
      <c r="F64" s="4"/>
      <c r="G64" s="4"/>
      <c r="H64" s="4"/>
      <c r="I64" s="4"/>
      <c r="J64" s="4"/>
      <c r="K64" s="4"/>
      <c r="L64" s="4"/>
      <c r="M64" s="4"/>
      <c r="N64" s="4"/>
      <c r="O64" s="4"/>
      <c r="P64" s="4"/>
      <c r="Q64" s="4"/>
      <c r="R64" s="4"/>
    </row>
    <row r="65" spans="1:20" s="6" customFormat="1" ht="6.75" customHeight="1">
      <c r="A65" s="5"/>
      <c r="F65" s="7"/>
      <c r="G65" s="7"/>
      <c r="H65" s="7"/>
      <c r="I65" s="7"/>
      <c r="J65" s="7"/>
      <c r="K65" s="7"/>
      <c r="L65" s="7"/>
      <c r="M65" s="7"/>
      <c r="N65" s="7"/>
      <c r="O65" s="7"/>
      <c r="P65" s="7"/>
      <c r="Q65" s="7"/>
      <c r="R65" s="7"/>
    </row>
    <row r="66" spans="1:20" s="6" customFormat="1">
      <c r="A66" s="8"/>
      <c r="B66" s="9"/>
      <c r="C66" s="10"/>
      <c r="D66" s="11"/>
      <c r="E66" s="11"/>
      <c r="F66" s="39">
        <v>2000</v>
      </c>
      <c r="G66" s="39">
        <v>2001</v>
      </c>
      <c r="H66" s="39">
        <v>2002</v>
      </c>
      <c r="I66" s="39">
        <v>2003</v>
      </c>
      <c r="J66" s="39">
        <v>2004</v>
      </c>
      <c r="K66" s="39">
        <v>2005</v>
      </c>
      <c r="L66" s="39">
        <v>2006</v>
      </c>
      <c r="M66" s="39">
        <v>2007</v>
      </c>
      <c r="N66" s="39">
        <v>2008</v>
      </c>
      <c r="O66" s="39">
        <v>2009</v>
      </c>
      <c r="P66" s="39">
        <v>2010</v>
      </c>
      <c r="Q66" s="39">
        <v>2011</v>
      </c>
      <c r="R66" s="39">
        <v>2012</v>
      </c>
      <c r="S66" s="39">
        <v>2013</v>
      </c>
      <c r="T66" s="39">
        <v>2014</v>
      </c>
    </row>
    <row r="67" spans="1:20">
      <c r="A67" s="12" t="s">
        <v>0</v>
      </c>
      <c r="B67" s="13"/>
      <c r="C67" s="14"/>
      <c r="D67" s="15"/>
      <c r="E67" s="15"/>
      <c r="F67" s="16" t="s">
        <v>1</v>
      </c>
      <c r="G67" s="16" t="s">
        <v>1</v>
      </c>
      <c r="H67" s="16" t="s">
        <v>1</v>
      </c>
      <c r="I67" s="16" t="s">
        <v>1</v>
      </c>
      <c r="J67" s="16" t="s">
        <v>1</v>
      </c>
      <c r="K67" s="16" t="s">
        <v>1</v>
      </c>
      <c r="L67" s="16" t="s">
        <v>1</v>
      </c>
      <c r="M67" s="16" t="s">
        <v>1</v>
      </c>
      <c r="N67" s="16" t="s">
        <v>1</v>
      </c>
      <c r="O67" s="16" t="s">
        <v>1</v>
      </c>
      <c r="P67" s="16" t="s">
        <v>1</v>
      </c>
      <c r="Q67" s="16" t="s">
        <v>1</v>
      </c>
      <c r="R67" s="16" t="s">
        <v>1</v>
      </c>
      <c r="S67" s="16" t="s">
        <v>1</v>
      </c>
      <c r="T67" s="16" t="s">
        <v>1</v>
      </c>
    </row>
    <row r="68" spans="1:20">
      <c r="A68" s="17" t="s">
        <v>2</v>
      </c>
      <c r="B68" s="18"/>
      <c r="C68" s="19"/>
      <c r="D68" s="20" t="s">
        <v>3</v>
      </c>
      <c r="E68" s="20"/>
      <c r="F68" s="21" t="s">
        <v>5</v>
      </c>
      <c r="G68" s="21" t="s">
        <v>5</v>
      </c>
      <c r="H68" s="21" t="s">
        <v>5</v>
      </c>
      <c r="I68" s="21" t="s">
        <v>5</v>
      </c>
      <c r="J68" s="21" t="s">
        <v>5</v>
      </c>
      <c r="K68" s="21" t="s">
        <v>5</v>
      </c>
      <c r="L68" s="21" t="s">
        <v>5</v>
      </c>
      <c r="M68" s="21" t="s">
        <v>5</v>
      </c>
      <c r="N68" s="21" t="s">
        <v>5</v>
      </c>
      <c r="O68" s="21" t="s">
        <v>5</v>
      </c>
      <c r="P68" s="21" t="s">
        <v>5</v>
      </c>
      <c r="Q68" s="21" t="s">
        <v>5</v>
      </c>
      <c r="R68" s="21" t="s">
        <v>5</v>
      </c>
      <c r="S68" s="21" t="s">
        <v>5</v>
      </c>
      <c r="T68" s="21" t="s">
        <v>5</v>
      </c>
    </row>
    <row r="69" spans="1:20" ht="8.25" customHeight="1">
      <c r="F69" s="32"/>
      <c r="G69" s="32"/>
      <c r="H69" s="32"/>
      <c r="I69" s="32"/>
      <c r="J69" s="32"/>
      <c r="K69" s="32"/>
      <c r="L69" s="32"/>
      <c r="M69" s="32"/>
      <c r="N69" s="32"/>
      <c r="O69" s="32"/>
      <c r="P69" s="32"/>
      <c r="Q69" s="32"/>
      <c r="R69" s="32"/>
      <c r="S69" s="32"/>
      <c r="T69" s="32"/>
    </row>
    <row r="70" spans="1:20">
      <c r="B70" s="3" t="s">
        <v>40</v>
      </c>
      <c r="F70" s="32"/>
      <c r="G70" s="32"/>
      <c r="H70" s="32"/>
      <c r="I70" s="32"/>
      <c r="J70" s="32"/>
      <c r="K70" s="32"/>
      <c r="L70" s="32"/>
      <c r="M70" s="32"/>
      <c r="N70" s="32"/>
      <c r="O70" s="32"/>
      <c r="P70" s="32"/>
      <c r="Q70" s="32"/>
      <c r="R70" s="32"/>
      <c r="S70" s="32"/>
      <c r="T70" s="32"/>
    </row>
    <row r="71" spans="1:20">
      <c r="B71" s="3" t="s">
        <v>41</v>
      </c>
      <c r="F71" s="32"/>
      <c r="G71" s="32"/>
      <c r="H71" s="32"/>
      <c r="I71" s="32"/>
      <c r="J71" s="32"/>
      <c r="K71" s="32"/>
      <c r="L71" s="32"/>
      <c r="M71" s="32"/>
      <c r="N71" s="32"/>
      <c r="O71" s="32"/>
      <c r="P71" s="32"/>
      <c r="Q71" s="32"/>
      <c r="R71" s="32"/>
      <c r="S71" s="32"/>
      <c r="T71" s="32"/>
    </row>
    <row r="72" spans="1:20">
      <c r="A72" s="22">
        <v>32</v>
      </c>
      <c r="B72" s="24"/>
      <c r="C72" s="24" t="s">
        <v>16</v>
      </c>
      <c r="D72" s="24"/>
      <c r="E72" s="24"/>
      <c r="F72" s="36">
        <v>13695</v>
      </c>
      <c r="G72" s="36">
        <v>13533</v>
      </c>
      <c r="H72" s="36">
        <v>13439</v>
      </c>
      <c r="I72" s="36">
        <v>13712</v>
      </c>
      <c r="J72" s="36">
        <v>13632</v>
      </c>
      <c r="K72" s="36">
        <v>13708</v>
      </c>
      <c r="L72" s="36">
        <v>13854</v>
      </c>
      <c r="M72" s="36">
        <v>13758</v>
      </c>
      <c r="N72" s="36">
        <v>15260</v>
      </c>
      <c r="O72" s="36">
        <v>21798</v>
      </c>
      <c r="P72" s="36">
        <v>20047</v>
      </c>
      <c r="Q72" s="36">
        <v>22008</v>
      </c>
      <c r="R72" s="36">
        <v>24365</v>
      </c>
      <c r="S72" s="36">
        <v>24711</v>
      </c>
      <c r="T72" s="36">
        <v>25235</v>
      </c>
    </row>
    <row r="73" spans="1:20" ht="18" customHeight="1">
      <c r="A73" s="22">
        <v>33</v>
      </c>
      <c r="B73" s="24"/>
      <c r="C73" s="24" t="s">
        <v>33</v>
      </c>
      <c r="D73" s="24"/>
      <c r="E73" s="24"/>
      <c r="F73" s="32">
        <f>'Reg Amort and Other RB'!E36-'Reg Amort and Other RB'!E66</f>
        <v>169436</v>
      </c>
      <c r="G73" s="32">
        <f>'Reg Amort and Other RB'!F36-'Reg Amort and Other RB'!F66</f>
        <v>178943</v>
      </c>
      <c r="H73" s="32">
        <f>'Reg Amort and Other RB'!G36-'Reg Amort and Other RB'!G66</f>
        <v>185314</v>
      </c>
      <c r="I73" s="32">
        <f>'Reg Amort and Other RB'!H36-'Reg Amort and Other RB'!H66</f>
        <v>191970</v>
      </c>
      <c r="J73" s="32">
        <f>'Reg Amort and Other RB'!I36-'Reg Amort and Other RB'!I66</f>
        <v>200079</v>
      </c>
      <c r="K73" s="32">
        <f>'Reg Amort and Other RB'!J36-'Reg Amort and Other RB'!J66</f>
        <v>208396</v>
      </c>
      <c r="L73" s="32">
        <f>'Reg Amort and Other RB'!K36-'Reg Amort and Other RB'!K66</f>
        <v>219287</v>
      </c>
      <c r="M73" s="32">
        <f>'Reg Amort and Other RB'!L36-'Reg Amort and Other RB'!L66</f>
        <v>229417</v>
      </c>
      <c r="N73" s="32">
        <f>'Reg Amort and Other RB'!M36-'Reg Amort and Other RB'!M66</f>
        <v>240778</v>
      </c>
      <c r="O73" s="32">
        <f>'Reg Amort and Other RB'!N36-'Reg Amort and Other RB'!N66</f>
        <v>255976</v>
      </c>
      <c r="P73" s="32">
        <f>'Reg Amort and Other RB'!O36-'Reg Amort and Other RB'!O66</f>
        <v>269469</v>
      </c>
      <c r="Q73" s="32">
        <f>'Reg Amort and Other RB'!P36-'Reg Amort and Other RB'!P66</f>
        <v>281279</v>
      </c>
      <c r="R73" s="32">
        <f>'Reg Amort and Other RB'!Q36-'Reg Amort and Other RB'!Q66</f>
        <v>296152</v>
      </c>
      <c r="S73" s="243">
        <f>'Reg Amort and Other RB'!R36-'Reg Amort and Other RB'!R66</f>
        <v>313469</v>
      </c>
      <c r="T73" s="243">
        <f>'Reg Amort and Other RB'!S36-'Reg Amort and Other RB'!S66</f>
        <v>337894</v>
      </c>
    </row>
    <row r="74" spans="1:20" ht="12.6" customHeight="1">
      <c r="A74" s="22">
        <v>34</v>
      </c>
      <c r="B74" s="24"/>
      <c r="C74" s="24" t="s">
        <v>34</v>
      </c>
      <c r="D74" s="24"/>
      <c r="E74" s="24"/>
      <c r="F74" s="33">
        <v>14347</v>
      </c>
      <c r="G74" s="33">
        <v>15060</v>
      </c>
      <c r="H74" s="33">
        <v>15368</v>
      </c>
      <c r="I74" s="33">
        <v>16112</v>
      </c>
      <c r="J74" s="33">
        <v>16499</v>
      </c>
      <c r="K74" s="33">
        <v>17878</v>
      </c>
      <c r="L74" s="33">
        <v>20791</v>
      </c>
      <c r="M74" s="33">
        <v>21708</v>
      </c>
      <c r="N74" s="33">
        <v>24256</v>
      </c>
      <c r="O74" s="33">
        <v>27747</v>
      </c>
      <c r="P74" s="33">
        <v>33401</v>
      </c>
      <c r="Q74" s="33">
        <v>38971</v>
      </c>
      <c r="R74" s="33">
        <v>44809</v>
      </c>
      <c r="S74" s="33">
        <v>52223</v>
      </c>
      <c r="T74" s="33">
        <v>59169</v>
      </c>
    </row>
    <row r="75" spans="1:20">
      <c r="A75" s="22">
        <v>35</v>
      </c>
      <c r="B75" s="24" t="s">
        <v>35</v>
      </c>
      <c r="C75" s="24"/>
      <c r="F75" s="32">
        <f t="shared" ref="F75:S75" si="18">SUM(F72:F74)</f>
        <v>197478</v>
      </c>
      <c r="G75" s="32">
        <f t="shared" si="18"/>
        <v>207536</v>
      </c>
      <c r="H75" s="32">
        <f t="shared" si="18"/>
        <v>214121</v>
      </c>
      <c r="I75" s="32">
        <f t="shared" si="18"/>
        <v>221794</v>
      </c>
      <c r="J75" s="32">
        <f t="shared" si="18"/>
        <v>230210</v>
      </c>
      <c r="K75" s="32">
        <f t="shared" si="18"/>
        <v>239982</v>
      </c>
      <c r="L75" s="32">
        <f t="shared" si="18"/>
        <v>253932</v>
      </c>
      <c r="M75" s="32">
        <f t="shared" si="18"/>
        <v>264883</v>
      </c>
      <c r="N75" s="32">
        <f t="shared" si="18"/>
        <v>280294</v>
      </c>
      <c r="O75" s="32">
        <f t="shared" si="18"/>
        <v>305521</v>
      </c>
      <c r="P75" s="32">
        <f t="shared" si="18"/>
        <v>322917</v>
      </c>
      <c r="Q75" s="32">
        <f t="shared" si="18"/>
        <v>342258</v>
      </c>
      <c r="R75" s="32">
        <f t="shared" si="18"/>
        <v>365326</v>
      </c>
      <c r="S75" s="32">
        <f t="shared" si="18"/>
        <v>390403</v>
      </c>
      <c r="T75" s="32">
        <f t="shared" ref="T75" si="19">SUM(T72:T74)</f>
        <v>422298</v>
      </c>
    </row>
    <row r="76" spans="1:20">
      <c r="B76" s="24"/>
      <c r="C76" s="24"/>
      <c r="F76" s="32"/>
      <c r="G76" s="32"/>
      <c r="H76" s="32"/>
      <c r="I76" s="32"/>
      <c r="J76" s="32"/>
      <c r="K76" s="32"/>
      <c r="L76" s="32"/>
      <c r="M76" s="32"/>
      <c r="N76" s="32"/>
      <c r="O76" s="32"/>
      <c r="P76" s="32"/>
      <c r="Q76" s="32"/>
      <c r="R76" s="32"/>
      <c r="S76" s="32"/>
      <c r="T76" s="32"/>
    </row>
    <row r="77" spans="1:20">
      <c r="B77" s="24" t="s">
        <v>49</v>
      </c>
      <c r="C77" s="24"/>
      <c r="D77" s="24"/>
      <c r="E77" s="24"/>
      <c r="F77" s="32"/>
      <c r="G77" s="32"/>
      <c r="H77" s="32"/>
      <c r="I77" s="32"/>
      <c r="J77" s="32"/>
      <c r="K77" s="32"/>
      <c r="L77" s="32"/>
      <c r="M77" s="32"/>
      <c r="N77" s="32"/>
      <c r="O77" s="32"/>
      <c r="P77" s="32"/>
      <c r="Q77" s="32"/>
      <c r="R77" s="32"/>
      <c r="S77" s="32"/>
      <c r="T77" s="32"/>
    </row>
    <row r="78" spans="1:20">
      <c r="A78" s="22">
        <v>36</v>
      </c>
      <c r="B78" s="24"/>
      <c r="C78" s="24" t="s">
        <v>16</v>
      </c>
      <c r="D78" s="24"/>
      <c r="E78" s="24"/>
      <c r="F78" s="32">
        <v>6192</v>
      </c>
      <c r="G78" s="32">
        <v>6220</v>
      </c>
      <c r="H78" s="32">
        <v>6115</v>
      </c>
      <c r="I78" s="32">
        <v>6495</v>
      </c>
      <c r="J78" s="32">
        <v>6659</v>
      </c>
      <c r="K78" s="32">
        <v>6924</v>
      </c>
      <c r="L78" s="32">
        <v>7249</v>
      </c>
      <c r="M78" s="32">
        <v>7427</v>
      </c>
      <c r="N78" s="32">
        <v>7581</v>
      </c>
      <c r="O78" s="32">
        <v>7807</v>
      </c>
      <c r="P78" s="32">
        <v>7912</v>
      </c>
      <c r="Q78" s="32">
        <v>8286</v>
      </c>
      <c r="R78" s="32">
        <v>8677</v>
      </c>
      <c r="S78" s="32">
        <v>9088</v>
      </c>
      <c r="T78" s="32">
        <v>9521</v>
      </c>
    </row>
    <row r="79" spans="1:20">
      <c r="A79" s="22">
        <v>37</v>
      </c>
      <c r="B79" s="24"/>
      <c r="C79" s="24" t="s">
        <v>33</v>
      </c>
      <c r="D79" s="24"/>
      <c r="E79" s="24"/>
      <c r="F79" s="32">
        <v>47423</v>
      </c>
      <c r="G79" s="32">
        <v>51645</v>
      </c>
      <c r="H79" s="32">
        <v>55845</v>
      </c>
      <c r="I79" s="32">
        <v>60239</v>
      </c>
      <c r="J79" s="32">
        <v>64817</v>
      </c>
      <c r="K79" s="32">
        <v>69428</v>
      </c>
      <c r="L79" s="32">
        <v>74019</v>
      </c>
      <c r="M79" s="32">
        <v>77997</v>
      </c>
      <c r="N79" s="32">
        <v>81405</v>
      </c>
      <c r="O79" s="32">
        <v>84021</v>
      </c>
      <c r="P79" s="32">
        <v>89620</v>
      </c>
      <c r="Q79" s="32">
        <v>97489</v>
      </c>
      <c r="R79" s="32">
        <v>102678</v>
      </c>
      <c r="S79" s="32">
        <v>108662</v>
      </c>
      <c r="T79" s="32">
        <v>114795</v>
      </c>
    </row>
    <row r="80" spans="1:20">
      <c r="A80" s="22">
        <v>38</v>
      </c>
      <c r="B80" s="24"/>
      <c r="C80" s="24" t="s">
        <v>34</v>
      </c>
      <c r="D80" s="24"/>
      <c r="E80" s="24"/>
      <c r="F80" s="32">
        <v>5661</v>
      </c>
      <c r="G80" s="32">
        <v>5695</v>
      </c>
      <c r="H80" s="32">
        <v>6442</v>
      </c>
      <c r="I80" s="32">
        <v>7446</v>
      </c>
      <c r="J80" s="32">
        <v>6984</v>
      </c>
      <c r="K80" s="32">
        <v>7208</v>
      </c>
      <c r="L80" s="32">
        <v>7230</v>
      </c>
      <c r="M80" s="32">
        <v>7136</v>
      </c>
      <c r="N80" s="32">
        <v>8309</v>
      </c>
      <c r="O80" s="32">
        <v>8882</v>
      </c>
      <c r="P80" s="32">
        <v>10722</v>
      </c>
      <c r="Q80" s="32">
        <v>10926</v>
      </c>
      <c r="R80" s="32">
        <v>12186</v>
      </c>
      <c r="S80" s="32">
        <v>14724</v>
      </c>
      <c r="T80" s="32">
        <v>17429</v>
      </c>
    </row>
    <row r="81" spans="1:20" s="27" customFormat="1" ht="18.95" customHeight="1">
      <c r="A81" s="22">
        <v>39</v>
      </c>
      <c r="B81" s="24" t="s">
        <v>53</v>
      </c>
      <c r="C81" s="24"/>
      <c r="D81" s="3"/>
      <c r="E81" s="3"/>
      <c r="F81" s="34">
        <f t="shared" ref="F81:S81" si="20">SUM(F78:F80)</f>
        <v>59276</v>
      </c>
      <c r="G81" s="34">
        <f t="shared" si="20"/>
        <v>63560</v>
      </c>
      <c r="H81" s="34">
        <f t="shared" si="20"/>
        <v>68402</v>
      </c>
      <c r="I81" s="34">
        <f t="shared" si="20"/>
        <v>74180</v>
      </c>
      <c r="J81" s="34">
        <f t="shared" si="20"/>
        <v>78460</v>
      </c>
      <c r="K81" s="34">
        <f t="shared" si="20"/>
        <v>83560</v>
      </c>
      <c r="L81" s="34">
        <f t="shared" si="20"/>
        <v>88498</v>
      </c>
      <c r="M81" s="34">
        <f t="shared" si="20"/>
        <v>92560</v>
      </c>
      <c r="N81" s="34">
        <f t="shared" si="20"/>
        <v>97295</v>
      </c>
      <c r="O81" s="34">
        <f t="shared" si="20"/>
        <v>100710</v>
      </c>
      <c r="P81" s="34">
        <f t="shared" si="20"/>
        <v>108254</v>
      </c>
      <c r="Q81" s="34">
        <f t="shared" si="20"/>
        <v>116701</v>
      </c>
      <c r="R81" s="34">
        <f t="shared" si="20"/>
        <v>123541</v>
      </c>
      <c r="S81" s="34">
        <f t="shared" si="20"/>
        <v>132474</v>
      </c>
      <c r="T81" s="34">
        <f t="shared" ref="T81" si="21">SUM(T78:T80)</f>
        <v>141745</v>
      </c>
    </row>
    <row r="82" spans="1:20" s="27" customFormat="1" ht="18.95" customHeight="1">
      <c r="A82" s="22">
        <v>40</v>
      </c>
      <c r="B82" s="24" t="s">
        <v>44</v>
      </c>
      <c r="C82" s="24"/>
      <c r="D82" s="24"/>
      <c r="E82" s="24"/>
      <c r="F82" s="35">
        <f t="shared" ref="F82:S82" si="22">F75-F81</f>
        <v>138202</v>
      </c>
      <c r="G82" s="35">
        <f t="shared" si="22"/>
        <v>143976</v>
      </c>
      <c r="H82" s="35">
        <f t="shared" si="22"/>
        <v>145719</v>
      </c>
      <c r="I82" s="35">
        <f t="shared" si="22"/>
        <v>147614</v>
      </c>
      <c r="J82" s="35">
        <f t="shared" si="22"/>
        <v>151750</v>
      </c>
      <c r="K82" s="35">
        <f t="shared" si="22"/>
        <v>156422</v>
      </c>
      <c r="L82" s="35">
        <f t="shared" si="22"/>
        <v>165434</v>
      </c>
      <c r="M82" s="35">
        <f t="shared" si="22"/>
        <v>172323</v>
      </c>
      <c r="N82" s="35">
        <f t="shared" si="22"/>
        <v>182999</v>
      </c>
      <c r="O82" s="35">
        <f t="shared" si="22"/>
        <v>204811</v>
      </c>
      <c r="P82" s="35">
        <f t="shared" si="22"/>
        <v>214663</v>
      </c>
      <c r="Q82" s="35">
        <f t="shared" si="22"/>
        <v>225557</v>
      </c>
      <c r="R82" s="35">
        <f t="shared" si="22"/>
        <v>241785</v>
      </c>
      <c r="S82" s="35">
        <f t="shared" si="22"/>
        <v>257929</v>
      </c>
      <c r="T82" s="35">
        <f t="shared" ref="T82" si="23">T75-T81</f>
        <v>280553</v>
      </c>
    </row>
    <row r="83" spans="1:20">
      <c r="A83" s="25">
        <v>41</v>
      </c>
      <c r="B83" s="26" t="s">
        <v>42</v>
      </c>
      <c r="C83" s="26"/>
      <c r="D83" s="26"/>
      <c r="E83" s="26"/>
      <c r="F83" s="33">
        <f>'Reg Amort and Other RB'!E46-'Reg Amort and Other RB'!E67</f>
        <v>-13317</v>
      </c>
      <c r="G83" s="33">
        <f>'Reg Amort and Other RB'!F46-'Reg Amort and Other RB'!F67</f>
        <v>-14476</v>
      </c>
      <c r="H83" s="33">
        <f>'Reg Amort and Other RB'!G46-'Reg Amort and Other RB'!G67</f>
        <v>-15979</v>
      </c>
      <c r="I83" s="33">
        <f>'Reg Amort and Other RB'!H46-'Reg Amort and Other RB'!H67</f>
        <v>-22570</v>
      </c>
      <c r="J83" s="33">
        <f>'Reg Amort and Other RB'!I46-'Reg Amort and Other RB'!I67</f>
        <v>-26800</v>
      </c>
      <c r="K83" s="33">
        <f>'Reg Amort and Other RB'!J46-'Reg Amort and Other RB'!J67</f>
        <v>-23805</v>
      </c>
      <c r="L83" s="33">
        <f>'Reg Amort and Other RB'!K46-'Reg Amort and Other RB'!K67</f>
        <v>-24645</v>
      </c>
      <c r="M83" s="33">
        <f>'Reg Amort and Other RB'!L46-'Reg Amort and Other RB'!L67</f>
        <v>-26823</v>
      </c>
      <c r="N83" s="33">
        <f>'Reg Amort and Other RB'!M46-'Reg Amort and Other RB'!M67</f>
        <v>-28945</v>
      </c>
      <c r="O83" s="33">
        <f>'Reg Amort and Other RB'!N46-'Reg Amort and Other RB'!N67</f>
        <v>-31005</v>
      </c>
      <c r="P83" s="33">
        <f>'Reg Amort and Other RB'!O46-'Reg Amort and Other RB'!O67</f>
        <v>-36762</v>
      </c>
      <c r="Q83" s="33">
        <f>'Reg Amort and Other RB'!P46-'Reg Amort and Other RB'!P67</f>
        <v>-42004</v>
      </c>
      <c r="R83" s="33">
        <f>'Reg Amort and Other RB'!Q46-'Reg Amort and Other RB'!Q67</f>
        <v>-46498</v>
      </c>
      <c r="S83" s="245">
        <f>'Reg Amort and Other RB'!R46-'Reg Amort and Other RB'!R67</f>
        <v>-50170</v>
      </c>
      <c r="T83" s="245">
        <f>'Reg Amort and Other RB'!S46-'Reg Amort and Other RB'!S67</f>
        <v>-54652</v>
      </c>
    </row>
    <row r="84" spans="1:20" s="27" customFormat="1">
      <c r="A84" s="25">
        <v>42</v>
      </c>
      <c r="B84" s="26" t="s">
        <v>50</v>
      </c>
      <c r="C84" s="26"/>
      <c r="D84" s="26"/>
      <c r="E84" s="26"/>
      <c r="F84" s="35">
        <f t="shared" ref="F84:S84" si="24">F82+F83</f>
        <v>124885</v>
      </c>
      <c r="G84" s="35">
        <f t="shared" si="24"/>
        <v>129500</v>
      </c>
      <c r="H84" s="35">
        <f t="shared" si="24"/>
        <v>129740</v>
      </c>
      <c r="I84" s="35">
        <f t="shared" si="24"/>
        <v>125044</v>
      </c>
      <c r="J84" s="35">
        <f t="shared" si="24"/>
        <v>124950</v>
      </c>
      <c r="K84" s="35">
        <f t="shared" si="24"/>
        <v>132617</v>
      </c>
      <c r="L84" s="35">
        <f t="shared" si="24"/>
        <v>140789</v>
      </c>
      <c r="M84" s="35">
        <f t="shared" si="24"/>
        <v>145500</v>
      </c>
      <c r="N84" s="35">
        <f t="shared" si="24"/>
        <v>154054</v>
      </c>
      <c r="O84" s="35">
        <f t="shared" si="24"/>
        <v>173806</v>
      </c>
      <c r="P84" s="35">
        <f t="shared" si="24"/>
        <v>177901</v>
      </c>
      <c r="Q84" s="35">
        <f t="shared" si="24"/>
        <v>183553</v>
      </c>
      <c r="R84" s="35">
        <f t="shared" si="24"/>
        <v>195287</v>
      </c>
      <c r="S84" s="35">
        <f t="shared" si="24"/>
        <v>207759</v>
      </c>
      <c r="T84" s="35">
        <f t="shared" ref="T84" si="25">T82+T83</f>
        <v>225901</v>
      </c>
    </row>
    <row r="85" spans="1:20" s="27" customFormat="1">
      <c r="A85" s="22">
        <v>43</v>
      </c>
      <c r="B85" s="24" t="s">
        <v>36</v>
      </c>
      <c r="C85" s="24"/>
      <c r="D85" s="24"/>
      <c r="E85" s="24"/>
      <c r="F85" s="32">
        <v>2810</v>
      </c>
      <c r="G85" s="32">
        <v>3190</v>
      </c>
      <c r="H85" s="32">
        <v>4191</v>
      </c>
      <c r="I85" s="32">
        <v>4568</v>
      </c>
      <c r="J85" s="32">
        <v>4807</v>
      </c>
      <c r="K85" s="32">
        <v>6936</v>
      </c>
      <c r="L85" s="32">
        <v>7628</v>
      </c>
      <c r="M85" s="32">
        <v>5607</v>
      </c>
      <c r="N85" s="32">
        <v>15327</v>
      </c>
      <c r="O85" s="32">
        <v>8440</v>
      </c>
      <c r="P85" s="32">
        <v>10226</v>
      </c>
      <c r="Q85" s="32">
        <v>13753</v>
      </c>
      <c r="R85" s="32">
        <v>13107</v>
      </c>
      <c r="S85" s="32">
        <v>11702</v>
      </c>
      <c r="T85" s="32">
        <v>14762</v>
      </c>
    </row>
    <row r="86" spans="1:20">
      <c r="A86" s="25">
        <v>44</v>
      </c>
      <c r="B86" s="26" t="s">
        <v>37</v>
      </c>
      <c r="C86" s="26"/>
      <c r="D86" s="26"/>
      <c r="E86" s="26"/>
      <c r="F86" s="35">
        <v>-517</v>
      </c>
      <c r="G86" s="35">
        <v>-470</v>
      </c>
      <c r="H86" s="35">
        <v>-424</v>
      </c>
      <c r="I86" s="35">
        <v>-378</v>
      </c>
      <c r="J86" s="35">
        <v>-243</v>
      </c>
      <c r="K86" s="35">
        <v>-286</v>
      </c>
      <c r="L86" s="35">
        <v>-153</v>
      </c>
      <c r="M86" s="35">
        <v>-197</v>
      </c>
      <c r="N86" s="35">
        <v>-152</v>
      </c>
      <c r="O86" s="35">
        <v>-109</v>
      </c>
      <c r="P86" s="35">
        <v>-44</v>
      </c>
      <c r="Q86" s="35">
        <v>-14</v>
      </c>
      <c r="R86" s="35">
        <v>0</v>
      </c>
      <c r="S86" s="35">
        <v>0</v>
      </c>
      <c r="T86" s="35">
        <v>0</v>
      </c>
    </row>
    <row r="87" spans="1:20" ht="15" customHeight="1">
      <c r="A87" s="25">
        <v>45</v>
      </c>
      <c r="B87" s="26" t="s">
        <v>54</v>
      </c>
      <c r="C87" s="26"/>
      <c r="D87" s="26"/>
      <c r="E87" s="26"/>
      <c r="F87" s="35">
        <f>'Reg Amort and Other RB'!E64</f>
        <v>3742</v>
      </c>
      <c r="G87" s="35">
        <f>'Reg Amort and Other RB'!F64</f>
        <v>3304</v>
      </c>
      <c r="H87" s="35">
        <f>'Reg Amort and Other RB'!G64</f>
        <v>2855</v>
      </c>
      <c r="I87" s="35">
        <f>'Reg Amort and Other RB'!H64</f>
        <v>2393</v>
      </c>
      <c r="J87" s="35">
        <f>'Reg Amort and Other RB'!I64</f>
        <v>1204</v>
      </c>
      <c r="K87" s="35">
        <f>'Reg Amort and Other RB'!J64</f>
        <v>1529</v>
      </c>
      <c r="L87" s="35">
        <f>'Reg Amort and Other RB'!K64</f>
        <v>1098</v>
      </c>
      <c r="M87" s="35">
        <f>'Reg Amort and Other RB'!L64</f>
        <v>789</v>
      </c>
      <c r="N87" s="35">
        <f>'Reg Amort and Other RB'!M64</f>
        <v>452</v>
      </c>
      <c r="O87" s="35">
        <f>'Reg Amort and Other RB'!N64</f>
        <v>-1359</v>
      </c>
      <c r="P87" s="35">
        <f>'Reg Amort and Other RB'!O64</f>
        <v>-1163</v>
      </c>
      <c r="Q87" s="35">
        <f>'Reg Amort and Other RB'!P64</f>
        <v>-1012</v>
      </c>
      <c r="R87" s="35">
        <f>'Reg Amort and Other RB'!Q64</f>
        <v>-816</v>
      </c>
      <c r="S87" s="246">
        <f>'Reg Amort and Other RB'!R64</f>
        <v>-332</v>
      </c>
      <c r="T87" s="246">
        <f>'Reg Amort and Other RB'!S64</f>
        <v>-479</v>
      </c>
    </row>
    <row r="88" spans="1:20" ht="13.15" customHeight="1">
      <c r="A88" s="22">
        <v>46</v>
      </c>
      <c r="B88" s="24" t="s">
        <v>45</v>
      </c>
      <c r="C88" s="24"/>
      <c r="D88" s="24"/>
      <c r="E88" s="24"/>
      <c r="F88" s="33">
        <v>0</v>
      </c>
      <c r="G88" s="33">
        <v>0</v>
      </c>
      <c r="H88" s="33">
        <v>0</v>
      </c>
      <c r="I88" s="33">
        <v>0</v>
      </c>
      <c r="J88" s="33">
        <v>0</v>
      </c>
      <c r="K88" s="33">
        <v>0</v>
      </c>
      <c r="L88" s="33">
        <v>0</v>
      </c>
      <c r="M88" s="33">
        <v>0</v>
      </c>
      <c r="N88" s="33">
        <v>0</v>
      </c>
      <c r="O88" s="33">
        <v>0</v>
      </c>
      <c r="P88" s="33">
        <v>0</v>
      </c>
      <c r="Q88" s="33">
        <v>0</v>
      </c>
      <c r="R88" s="33">
        <v>0</v>
      </c>
      <c r="S88" s="33">
        <v>5695</v>
      </c>
      <c r="T88" s="33">
        <v>10073</v>
      </c>
    </row>
    <row r="89" spans="1:20" s="37" customFormat="1">
      <c r="A89" s="22"/>
      <c r="B89" s="3"/>
      <c r="C89" s="3"/>
      <c r="D89" s="3"/>
      <c r="E89" s="3"/>
      <c r="F89" s="4"/>
      <c r="G89" s="4"/>
      <c r="H89" s="4"/>
      <c r="I89" s="4"/>
      <c r="J89" s="4"/>
      <c r="K89" s="4"/>
      <c r="L89" s="4"/>
      <c r="M89" s="4"/>
      <c r="N89" s="4"/>
      <c r="O89" s="4"/>
      <c r="P89" s="4"/>
      <c r="Q89" s="4"/>
      <c r="R89" s="4"/>
      <c r="S89" s="4"/>
      <c r="T89" s="4"/>
    </row>
    <row r="90" spans="1:20" s="28" customFormat="1">
      <c r="A90" s="22"/>
      <c r="B90" s="3"/>
      <c r="C90" s="3"/>
      <c r="D90" s="3"/>
      <c r="E90" s="3"/>
      <c r="F90" s="32"/>
      <c r="G90" s="32"/>
      <c r="H90" s="32"/>
      <c r="I90" s="32"/>
      <c r="J90" s="32"/>
      <c r="K90" s="32"/>
      <c r="L90" s="32"/>
      <c r="M90" s="32"/>
      <c r="N90" s="32"/>
      <c r="O90" s="32"/>
      <c r="P90" s="32"/>
      <c r="Q90" s="32"/>
      <c r="R90" s="32"/>
      <c r="S90" s="32"/>
      <c r="T90" s="32"/>
    </row>
    <row r="91" spans="1:20" s="28" customFormat="1" ht="12.75" thickBot="1">
      <c r="A91" s="5">
        <v>47</v>
      </c>
      <c r="B91" s="37" t="s">
        <v>38</v>
      </c>
      <c r="C91" s="37"/>
      <c r="D91" s="37"/>
      <c r="E91" s="37"/>
      <c r="F91" s="38">
        <f t="shared" ref="F91:L91" si="26">SUM(F84:F88)</f>
        <v>130920</v>
      </c>
      <c r="G91" s="38">
        <f t="shared" si="26"/>
        <v>135524</v>
      </c>
      <c r="H91" s="38">
        <f t="shared" si="26"/>
        <v>136362</v>
      </c>
      <c r="I91" s="38">
        <f t="shared" si="26"/>
        <v>131627</v>
      </c>
      <c r="J91" s="38">
        <f t="shared" si="26"/>
        <v>130718</v>
      </c>
      <c r="K91" s="38">
        <f t="shared" si="26"/>
        <v>140796</v>
      </c>
      <c r="L91" s="38">
        <f t="shared" si="26"/>
        <v>149362</v>
      </c>
      <c r="M91" s="38">
        <f t="shared" ref="M91:S91" si="27">SUM(M84:M88)</f>
        <v>151699</v>
      </c>
      <c r="N91" s="38">
        <f t="shared" si="27"/>
        <v>169681</v>
      </c>
      <c r="O91" s="38">
        <f t="shared" si="27"/>
        <v>180778</v>
      </c>
      <c r="P91" s="38">
        <f t="shared" si="27"/>
        <v>186920</v>
      </c>
      <c r="Q91" s="38">
        <f t="shared" si="27"/>
        <v>196280</v>
      </c>
      <c r="R91" s="38">
        <f t="shared" si="27"/>
        <v>207578</v>
      </c>
      <c r="S91" s="38">
        <f t="shared" si="27"/>
        <v>224824</v>
      </c>
      <c r="T91" s="38">
        <f t="shared" ref="T91" si="28">SUM(T84:T88)</f>
        <v>250257</v>
      </c>
    </row>
    <row r="92" spans="1:20" s="28" customFormat="1" ht="12.75" thickTop="1">
      <c r="A92" s="5"/>
      <c r="B92" s="37"/>
      <c r="C92" s="37"/>
      <c r="D92" s="37"/>
      <c r="E92" s="37"/>
      <c r="F92" s="185"/>
      <c r="G92" s="185"/>
      <c r="H92" s="185"/>
      <c r="I92" s="185"/>
      <c r="J92" s="185"/>
      <c r="K92" s="185"/>
      <c r="L92" s="185"/>
      <c r="M92" s="185"/>
      <c r="N92" s="185"/>
      <c r="O92" s="185"/>
      <c r="P92" s="185"/>
      <c r="Q92" s="185"/>
      <c r="R92" s="185"/>
    </row>
    <row r="93" spans="1:20" s="28" customFormat="1">
      <c r="A93" s="30"/>
      <c r="D93" s="186" t="s">
        <v>223</v>
      </c>
      <c r="E93" s="31"/>
      <c r="F93" s="29"/>
      <c r="G93" s="29"/>
      <c r="H93" s="29"/>
      <c r="I93" s="29"/>
      <c r="J93" s="29"/>
      <c r="K93" s="29"/>
      <c r="L93" s="29"/>
      <c r="M93" s="29"/>
      <c r="N93" s="29"/>
      <c r="O93" s="29"/>
      <c r="P93" s="29"/>
      <c r="Q93" s="29"/>
      <c r="R93" s="29"/>
    </row>
    <row r="94" spans="1:20" s="28" customFormat="1" ht="5.45" customHeight="1">
      <c r="A94" s="30"/>
      <c r="D94" s="186"/>
      <c r="E94" s="31"/>
      <c r="F94" s="29"/>
      <c r="G94" s="29"/>
      <c r="H94" s="29"/>
      <c r="I94" s="29"/>
      <c r="J94" s="29"/>
      <c r="K94" s="29"/>
      <c r="L94" s="29"/>
      <c r="M94" s="29"/>
      <c r="N94" s="29"/>
      <c r="O94" s="29"/>
      <c r="P94" s="29"/>
      <c r="Q94" s="29"/>
      <c r="R94" s="29"/>
    </row>
    <row r="95" spans="1:20" s="28" customFormat="1" ht="12.75">
      <c r="A95" s="206" t="s">
        <v>43</v>
      </c>
      <c r="D95" s="186"/>
      <c r="E95" s="31"/>
      <c r="F95" s="29"/>
      <c r="G95" s="29"/>
      <c r="H95" s="29"/>
      <c r="I95" s="29"/>
      <c r="J95" s="29"/>
      <c r="K95" s="29"/>
      <c r="L95" s="29"/>
      <c r="M95" s="29"/>
      <c r="N95" s="29"/>
      <c r="O95" s="29"/>
      <c r="P95" s="29"/>
      <c r="Q95" s="29"/>
      <c r="R95" s="29"/>
    </row>
    <row r="96" spans="1:20" s="28" customFormat="1" ht="12.75">
      <c r="A96" s="206" t="s">
        <v>48</v>
      </c>
      <c r="D96" s="186"/>
      <c r="E96" s="31"/>
      <c r="F96" s="29"/>
      <c r="G96" s="29"/>
      <c r="H96" s="29"/>
      <c r="I96" s="29"/>
      <c r="J96" s="29"/>
      <c r="K96" s="29"/>
      <c r="L96" s="29"/>
      <c r="M96" s="29"/>
      <c r="N96" s="29"/>
      <c r="O96" s="29"/>
      <c r="P96" s="29"/>
      <c r="Q96" s="29"/>
      <c r="R96" s="29"/>
    </row>
    <row r="97" spans="1:20" s="28" customFormat="1" ht="12.75">
      <c r="A97" s="206" t="s">
        <v>39</v>
      </c>
      <c r="D97" s="186"/>
      <c r="E97" s="31"/>
      <c r="F97" s="29"/>
      <c r="G97" s="29"/>
      <c r="H97" s="29"/>
      <c r="I97" s="29"/>
      <c r="J97" s="29"/>
      <c r="K97" s="29"/>
      <c r="L97" s="29"/>
      <c r="M97" s="29"/>
      <c r="N97" s="29"/>
      <c r="O97" s="29"/>
      <c r="P97" s="29"/>
      <c r="Q97" s="29"/>
      <c r="R97" s="29"/>
    </row>
    <row r="98" spans="1:20" s="28" customFormat="1" ht="15.75">
      <c r="A98" s="30"/>
      <c r="D98" s="186"/>
      <c r="E98" s="577" t="s">
        <v>241</v>
      </c>
      <c r="F98" s="577"/>
      <c r="G98" s="577"/>
      <c r="H98" s="577"/>
      <c r="I98" s="577"/>
      <c r="J98" s="577"/>
      <c r="K98" s="577"/>
      <c r="L98" s="577"/>
      <c r="M98" s="577"/>
      <c r="N98" s="577"/>
      <c r="O98" s="577"/>
      <c r="P98" s="577"/>
      <c r="Q98" s="577"/>
      <c r="R98" s="577"/>
      <c r="T98" s="389"/>
    </row>
    <row r="99" spans="1:20" s="28" customFormat="1" ht="3" customHeight="1">
      <c r="A99" s="30"/>
      <c r="D99" s="186"/>
      <c r="E99" s="31"/>
      <c r="F99" s="187"/>
      <c r="G99" s="187"/>
      <c r="H99" s="187"/>
      <c r="I99" s="187"/>
      <c r="J99" s="187"/>
      <c r="K99" s="187"/>
      <c r="L99" s="187"/>
      <c r="M99" s="187"/>
      <c r="N99" s="187"/>
      <c r="O99" s="187"/>
      <c r="P99" s="187"/>
      <c r="Q99" s="187"/>
      <c r="R99" s="187"/>
    </row>
    <row r="100" spans="1:20" s="28" customFormat="1" ht="12" customHeight="1">
      <c r="A100" s="30"/>
      <c r="D100" s="186"/>
      <c r="E100" s="31"/>
      <c r="F100" s="214">
        <f>F8</f>
        <v>2000</v>
      </c>
      <c r="G100" s="214">
        <f t="shared" ref="G100:R100" si="29">G8</f>
        <v>2001</v>
      </c>
      <c r="H100" s="214">
        <f t="shared" si="29"/>
        <v>2002</v>
      </c>
      <c r="I100" s="214">
        <f t="shared" si="29"/>
        <v>2003</v>
      </c>
      <c r="J100" s="214">
        <f t="shared" si="29"/>
        <v>2004</v>
      </c>
      <c r="K100" s="214">
        <f t="shared" si="29"/>
        <v>2005</v>
      </c>
      <c r="L100" s="214">
        <f t="shared" si="29"/>
        <v>2006</v>
      </c>
      <c r="M100" s="214">
        <f t="shared" si="29"/>
        <v>2007</v>
      </c>
      <c r="N100" s="214">
        <f t="shared" si="29"/>
        <v>2008</v>
      </c>
      <c r="O100" s="214">
        <f t="shared" si="29"/>
        <v>2009</v>
      </c>
      <c r="P100" s="214">
        <f t="shared" si="29"/>
        <v>2010</v>
      </c>
      <c r="Q100" s="214">
        <f t="shared" si="29"/>
        <v>2011</v>
      </c>
      <c r="R100" s="214">
        <f t="shared" si="29"/>
        <v>2012</v>
      </c>
      <c r="S100" s="214">
        <f>S8</f>
        <v>2013</v>
      </c>
      <c r="T100" s="214">
        <f>T8</f>
        <v>2014</v>
      </c>
    </row>
    <row r="101" spans="1:20" s="28" customFormat="1" ht="24">
      <c r="A101" s="207" t="s">
        <v>258</v>
      </c>
      <c r="D101" s="213" t="s">
        <v>273</v>
      </c>
      <c r="E101" s="31"/>
      <c r="F101" s="29"/>
      <c r="G101" s="29"/>
      <c r="H101" s="29"/>
      <c r="I101" s="29"/>
      <c r="J101" s="29"/>
      <c r="K101" s="29"/>
      <c r="L101" s="29"/>
      <c r="M101" s="29"/>
      <c r="N101" s="29"/>
      <c r="O101" s="29"/>
      <c r="P101" s="29"/>
      <c r="Q101" s="29"/>
      <c r="R101" s="29"/>
      <c r="S101" s="29"/>
      <c r="T101" s="29"/>
    </row>
    <row r="102" spans="1:20" s="28" customFormat="1">
      <c r="A102" s="30">
        <v>1</v>
      </c>
      <c r="C102" s="28" t="s">
        <v>16</v>
      </c>
      <c r="E102" s="188" t="s">
        <v>224</v>
      </c>
      <c r="F102" s="83">
        <f>F25</f>
        <v>312</v>
      </c>
      <c r="G102" s="83">
        <f t="shared" ref="G102:R102" si="30">G25</f>
        <v>322</v>
      </c>
      <c r="H102" s="83">
        <f t="shared" si="30"/>
        <v>357</v>
      </c>
      <c r="I102" s="83">
        <f t="shared" si="30"/>
        <v>342</v>
      </c>
      <c r="J102" s="83">
        <f t="shared" si="30"/>
        <v>381</v>
      </c>
      <c r="K102" s="83">
        <f t="shared" si="30"/>
        <v>450</v>
      </c>
      <c r="L102" s="83">
        <f t="shared" si="30"/>
        <v>492</v>
      </c>
      <c r="M102" s="83">
        <f t="shared" si="30"/>
        <v>451</v>
      </c>
      <c r="N102" s="83">
        <f t="shared" si="30"/>
        <v>436</v>
      </c>
      <c r="O102" s="83">
        <f t="shared" si="30"/>
        <v>403</v>
      </c>
      <c r="P102" s="83">
        <f t="shared" si="30"/>
        <v>380</v>
      </c>
      <c r="Q102" s="83">
        <f t="shared" si="30"/>
        <v>585</v>
      </c>
      <c r="R102" s="83">
        <f t="shared" si="30"/>
        <v>712</v>
      </c>
      <c r="S102" s="83">
        <f>S25</f>
        <v>820</v>
      </c>
      <c r="T102" s="83">
        <f>T25</f>
        <v>893</v>
      </c>
    </row>
    <row r="103" spans="1:20" s="28" customFormat="1">
      <c r="A103" s="30">
        <v>2</v>
      </c>
      <c r="C103" s="28" t="s">
        <v>19</v>
      </c>
      <c r="E103" s="188" t="s">
        <v>228</v>
      </c>
      <c r="F103" s="83">
        <f>F31</f>
        <v>3956</v>
      </c>
      <c r="G103" s="83">
        <f t="shared" ref="G103:R103" si="31">G31</f>
        <v>4655</v>
      </c>
      <c r="H103" s="83">
        <f t="shared" si="31"/>
        <v>5482</v>
      </c>
      <c r="I103" s="83">
        <f t="shared" si="31"/>
        <v>5762</v>
      </c>
      <c r="J103" s="83">
        <f t="shared" si="31"/>
        <v>5958</v>
      </c>
      <c r="K103" s="83">
        <f t="shared" si="31"/>
        <v>6084</v>
      </c>
      <c r="L103" s="83">
        <f t="shared" si="31"/>
        <v>6359</v>
      </c>
      <c r="M103" s="83">
        <f t="shared" si="31"/>
        <v>6467</v>
      </c>
      <c r="N103" s="83">
        <f t="shared" si="31"/>
        <v>6123</v>
      </c>
      <c r="O103" s="83">
        <f t="shared" si="31"/>
        <v>7700</v>
      </c>
      <c r="P103" s="83">
        <f t="shared" si="31"/>
        <v>7696</v>
      </c>
      <c r="Q103" s="83">
        <f t="shared" si="31"/>
        <v>8854</v>
      </c>
      <c r="R103" s="83">
        <f t="shared" si="31"/>
        <v>9511</v>
      </c>
      <c r="S103" s="83">
        <f>S31</f>
        <v>10820</v>
      </c>
      <c r="T103" s="83">
        <f>T31</f>
        <v>10704</v>
      </c>
    </row>
    <row r="104" spans="1:20" s="28" customFormat="1">
      <c r="A104" s="30">
        <v>3</v>
      </c>
      <c r="C104" s="28" t="s">
        <v>21</v>
      </c>
      <c r="E104" s="188" t="s">
        <v>229</v>
      </c>
      <c r="F104" s="83">
        <f>F36</f>
        <v>3175</v>
      </c>
      <c r="G104" s="83">
        <f t="shared" ref="G104:R104" si="32">G36</f>
        <v>3367</v>
      </c>
      <c r="H104" s="83">
        <f t="shared" si="32"/>
        <v>4108</v>
      </c>
      <c r="I104" s="83">
        <f t="shared" si="32"/>
        <v>4121</v>
      </c>
      <c r="J104" s="83">
        <f t="shared" si="32"/>
        <v>4337</v>
      </c>
      <c r="K104" s="83">
        <f t="shared" si="32"/>
        <v>4249</v>
      </c>
      <c r="L104" s="83">
        <f t="shared" si="32"/>
        <v>4225</v>
      </c>
      <c r="M104" s="83">
        <f t="shared" si="32"/>
        <v>4487</v>
      </c>
      <c r="N104" s="83">
        <f t="shared" si="32"/>
        <v>4692</v>
      </c>
      <c r="O104" s="83">
        <f t="shared" si="32"/>
        <v>5586</v>
      </c>
      <c r="P104" s="83">
        <f t="shared" si="32"/>
        <v>5234</v>
      </c>
      <c r="Q104" s="83">
        <f t="shared" si="32"/>
        <v>5739.734942</v>
      </c>
      <c r="R104" s="83">
        <f t="shared" si="32"/>
        <v>5796</v>
      </c>
      <c r="S104" s="83">
        <f t="shared" ref="S104:T106" si="33">S36</f>
        <v>6270</v>
      </c>
      <c r="T104" s="83">
        <f t="shared" si="33"/>
        <v>6108</v>
      </c>
    </row>
    <row r="105" spans="1:20" s="28" customFormat="1">
      <c r="A105" s="30">
        <v>4</v>
      </c>
      <c r="C105" s="28" t="s">
        <v>225</v>
      </c>
      <c r="E105" s="188" t="s">
        <v>230</v>
      </c>
      <c r="F105" s="83">
        <f t="shared" ref="F105:R106" si="34">F37</f>
        <v>507</v>
      </c>
      <c r="G105" s="83">
        <f t="shared" si="34"/>
        <v>1513</v>
      </c>
      <c r="H105" s="83">
        <f t="shared" si="34"/>
        <v>2252</v>
      </c>
      <c r="I105" s="83">
        <f t="shared" si="34"/>
        <v>2747</v>
      </c>
      <c r="J105" s="83">
        <f t="shared" si="34"/>
        <v>480</v>
      </c>
      <c r="K105" s="83">
        <f t="shared" si="34"/>
        <v>3523</v>
      </c>
      <c r="L105" s="83">
        <f t="shared" si="34"/>
        <v>1061</v>
      </c>
      <c r="M105" s="83">
        <f t="shared" si="34"/>
        <v>4658</v>
      </c>
      <c r="N105" s="83">
        <f t="shared" si="34"/>
        <v>5169</v>
      </c>
      <c r="O105" s="83">
        <f t="shared" si="34"/>
        <v>7609</v>
      </c>
      <c r="P105" s="83">
        <f t="shared" si="34"/>
        <v>9505</v>
      </c>
      <c r="Q105" s="83">
        <f t="shared" si="34"/>
        <v>9777</v>
      </c>
      <c r="R105" s="83">
        <f t="shared" si="34"/>
        <v>6955</v>
      </c>
      <c r="S105" s="83">
        <f t="shared" si="33"/>
        <v>983</v>
      </c>
      <c r="T105" s="83">
        <f t="shared" si="33"/>
        <v>865</v>
      </c>
    </row>
    <row r="106" spans="1:20" s="28" customFormat="1">
      <c r="A106" s="30">
        <v>5</v>
      </c>
      <c r="C106" s="28" t="s">
        <v>226</v>
      </c>
      <c r="E106" s="188" t="s">
        <v>231</v>
      </c>
      <c r="F106" s="83">
        <f t="shared" si="34"/>
        <v>703</v>
      </c>
      <c r="G106" s="83">
        <f t="shared" si="34"/>
        <v>445</v>
      </c>
      <c r="H106" s="83">
        <f t="shared" si="34"/>
        <v>375</v>
      </c>
      <c r="I106" s="83">
        <f t="shared" si="34"/>
        <v>492</v>
      </c>
      <c r="J106" s="83">
        <f t="shared" si="34"/>
        <v>427</v>
      </c>
      <c r="K106" s="83">
        <f t="shared" si="34"/>
        <v>320</v>
      </c>
      <c r="L106" s="83">
        <f t="shared" si="34"/>
        <v>496</v>
      </c>
      <c r="M106" s="83">
        <f t="shared" si="34"/>
        <v>516</v>
      </c>
      <c r="N106" s="83">
        <f t="shared" si="34"/>
        <v>442</v>
      </c>
      <c r="O106" s="83">
        <f t="shared" si="34"/>
        <v>497</v>
      </c>
      <c r="P106" s="83">
        <f t="shared" si="34"/>
        <v>105</v>
      </c>
      <c r="Q106" s="83">
        <f t="shared" si="34"/>
        <v>3</v>
      </c>
      <c r="R106" s="83">
        <f t="shared" si="34"/>
        <v>3</v>
      </c>
      <c r="S106" s="83">
        <f t="shared" si="33"/>
        <v>3</v>
      </c>
      <c r="T106" s="83">
        <f t="shared" si="33"/>
        <v>0</v>
      </c>
    </row>
    <row r="107" spans="1:20" s="28" customFormat="1">
      <c r="A107" s="30">
        <v>6</v>
      </c>
      <c r="C107" s="28" t="s">
        <v>227</v>
      </c>
      <c r="E107" s="188" t="s">
        <v>232</v>
      </c>
      <c r="F107" s="83">
        <f>F41</f>
        <v>8004</v>
      </c>
      <c r="G107" s="83">
        <f t="shared" ref="G107:R107" si="35">G41</f>
        <v>7578</v>
      </c>
      <c r="H107" s="83">
        <f t="shared" si="35"/>
        <v>9399</v>
      </c>
      <c r="I107" s="83">
        <f t="shared" si="35"/>
        <v>9827</v>
      </c>
      <c r="J107" s="83">
        <f t="shared" si="35"/>
        <v>8911</v>
      </c>
      <c r="K107" s="83">
        <f t="shared" si="35"/>
        <v>9196</v>
      </c>
      <c r="L107" s="83">
        <f t="shared" si="35"/>
        <v>8393</v>
      </c>
      <c r="M107" s="83">
        <f t="shared" si="35"/>
        <v>8901</v>
      </c>
      <c r="N107" s="83">
        <f t="shared" si="35"/>
        <v>9706</v>
      </c>
      <c r="O107" s="83">
        <f t="shared" si="35"/>
        <v>9770</v>
      </c>
      <c r="P107" s="83">
        <f t="shared" si="35"/>
        <v>11383</v>
      </c>
      <c r="Q107" s="83">
        <f t="shared" si="35"/>
        <v>11585.118</v>
      </c>
      <c r="R107" s="83">
        <f t="shared" si="35"/>
        <v>13419</v>
      </c>
      <c r="S107" s="83">
        <f>S41</f>
        <v>11862</v>
      </c>
      <c r="T107" s="83">
        <f>T41</f>
        <v>12777</v>
      </c>
    </row>
    <row r="108" spans="1:20" s="28" customFormat="1">
      <c r="A108" s="30">
        <v>7</v>
      </c>
      <c r="B108" s="28" t="s">
        <v>66</v>
      </c>
      <c r="F108" s="189">
        <f>SUM(F102:F107)</f>
        <v>16657</v>
      </c>
      <c r="G108" s="189">
        <f t="shared" ref="G108:R108" si="36">SUM(G102:G107)</f>
        <v>17880</v>
      </c>
      <c r="H108" s="189">
        <f t="shared" si="36"/>
        <v>21973</v>
      </c>
      <c r="I108" s="189">
        <f t="shared" si="36"/>
        <v>23291</v>
      </c>
      <c r="J108" s="189">
        <f t="shared" si="36"/>
        <v>20494</v>
      </c>
      <c r="K108" s="189">
        <f t="shared" si="36"/>
        <v>23822</v>
      </c>
      <c r="L108" s="189">
        <f t="shared" si="36"/>
        <v>21026</v>
      </c>
      <c r="M108" s="189">
        <f t="shared" si="36"/>
        <v>25480</v>
      </c>
      <c r="N108" s="189">
        <f t="shared" si="36"/>
        <v>26568</v>
      </c>
      <c r="O108" s="189">
        <f t="shared" si="36"/>
        <v>31565</v>
      </c>
      <c r="P108" s="189">
        <f t="shared" si="36"/>
        <v>34303</v>
      </c>
      <c r="Q108" s="189">
        <f t="shared" si="36"/>
        <v>36543.852941999998</v>
      </c>
      <c r="R108" s="189">
        <f t="shared" si="36"/>
        <v>36396</v>
      </c>
      <c r="S108" s="189">
        <f>SUM(S102:S107)</f>
        <v>30758</v>
      </c>
      <c r="T108" s="189">
        <f>SUM(T102:T107)</f>
        <v>31347</v>
      </c>
    </row>
    <row r="109" spans="1:20" s="28" customFormat="1">
      <c r="A109" s="30">
        <v>8</v>
      </c>
      <c r="C109" s="28" t="s">
        <v>161</v>
      </c>
      <c r="F109" s="83">
        <f>'Riders and Gas Cost Revenue'!H63</f>
        <v>163</v>
      </c>
      <c r="G109" s="83">
        <f>'Riders and Gas Cost Revenue'!J63</f>
        <v>232</v>
      </c>
      <c r="H109" s="83">
        <f>'Riders and Gas Cost Revenue'!L63</f>
        <v>261</v>
      </c>
      <c r="I109" s="83">
        <f>'Riders and Gas Cost Revenue'!N63</f>
        <v>285</v>
      </c>
      <c r="J109" s="83">
        <f>'Riders and Gas Cost Revenue'!P63</f>
        <v>369</v>
      </c>
      <c r="K109" s="83">
        <f>'Riders and Gas Cost Revenue'!R63</f>
        <v>651</v>
      </c>
      <c r="L109" s="83">
        <f>'Riders and Gas Cost Revenue'!T63</f>
        <v>653</v>
      </c>
      <c r="M109" s="83">
        <f>'Riders and Gas Cost Revenue'!W63</f>
        <v>792</v>
      </c>
      <c r="N109" s="83">
        <f>'Riders and Gas Cost Revenue'!Z63</f>
        <v>783</v>
      </c>
      <c r="O109" s="83">
        <f>'Riders and Gas Cost Revenue'!AC63</f>
        <v>802</v>
      </c>
      <c r="P109" s="83">
        <f>'Riders and Gas Cost Revenue'!AF63</f>
        <v>800</v>
      </c>
      <c r="Q109" s="83">
        <f>'Riders and Gas Cost Revenue'!AI63</f>
        <v>981</v>
      </c>
      <c r="R109" s="83">
        <f>'Riders and Gas Cost Revenue'!AL63</f>
        <v>928</v>
      </c>
      <c r="S109" s="83">
        <f>'Riders and Gas Cost Revenue'!AO63</f>
        <v>891</v>
      </c>
      <c r="T109" s="83">
        <f>'Riders and Gas Cost Revenue'!AR63</f>
        <v>779</v>
      </c>
    </row>
    <row r="110" spans="1:20" s="28" customFormat="1" ht="12" customHeight="1">
      <c r="A110" s="30">
        <v>9</v>
      </c>
      <c r="C110" s="28" t="s">
        <v>270</v>
      </c>
      <c r="F110" s="83">
        <f>SUM('Riders and Gas Cost Revenue'!H35:H40)</f>
        <v>-442</v>
      </c>
      <c r="G110" s="83">
        <f>SUM('Riders and Gas Cost Revenue'!J35:J40)</f>
        <v>-823</v>
      </c>
      <c r="H110" s="83">
        <f>SUM('Riders and Gas Cost Revenue'!L35:L40)</f>
        <v>-849</v>
      </c>
      <c r="I110" s="83">
        <f>SUM('Riders and Gas Cost Revenue'!N35:N40)</f>
        <v>-749</v>
      </c>
      <c r="J110" s="83">
        <f>SUM('Riders and Gas Cost Revenue'!P35:P40)</f>
        <v>-882</v>
      </c>
      <c r="K110" s="83">
        <f>SUM('Riders and Gas Cost Revenue'!R35:R40)</f>
        <v>-1006</v>
      </c>
      <c r="L110" s="83">
        <f>SUM('Riders and Gas Cost Revenue'!T35:T40)</f>
        <v>-1154</v>
      </c>
      <c r="M110" s="83">
        <f>SUM('Riders and Gas Cost Revenue'!W35:W40)</f>
        <v>-1202</v>
      </c>
      <c r="N110" s="83">
        <f>SUM('Riders and Gas Cost Revenue'!Z35:Z40)</f>
        <v>-1136</v>
      </c>
      <c r="O110" s="83">
        <f>SUM('Riders and Gas Cost Revenue'!AC35:AC40)</f>
        <v>-933</v>
      </c>
      <c r="P110" s="83">
        <f>SUM('Riders and Gas Cost Revenue'!AF35:AF40)</f>
        <v>-609</v>
      </c>
      <c r="Q110" s="83">
        <f>SUM('Riders and Gas Cost Revenue'!AI35:AI40)</f>
        <v>-647</v>
      </c>
      <c r="R110" s="83">
        <f>SUM('Riders and Gas Cost Revenue'!AL35:AL40)</f>
        <v>-577</v>
      </c>
      <c r="S110" s="83">
        <f>SUM('Riders and Gas Cost Revenue'!AO35:AO40)</f>
        <v>-592</v>
      </c>
      <c r="T110" s="83">
        <f>SUM('Riders and Gas Cost Revenue'!AR35:AR40)</f>
        <v>-648</v>
      </c>
    </row>
    <row r="111" spans="1:20" s="28" customFormat="1">
      <c r="A111" s="30">
        <v>10</v>
      </c>
      <c r="C111" s="28" t="s">
        <v>271</v>
      </c>
      <c r="F111" s="83">
        <f>'Riders and Gas Cost Revenue'!G35+'Riders and Gas Cost Revenue'!G36+'Riders and Gas Cost Revenue'!G40</f>
        <v>0</v>
      </c>
      <c r="G111" s="83">
        <f>'Riders and Gas Cost Revenue'!I35+'Riders and Gas Cost Revenue'!I36+'Riders and Gas Cost Revenue'!I40</f>
        <v>-956</v>
      </c>
      <c r="H111" s="83">
        <f>'Riders and Gas Cost Revenue'!K35+'Riders and Gas Cost Revenue'!K36+'Riders and Gas Cost Revenue'!K40</f>
        <v>-1710</v>
      </c>
      <c r="I111" s="83">
        <f>'Riders and Gas Cost Revenue'!M35+'Riders and Gas Cost Revenue'!M36+'Riders and Gas Cost Revenue'!M40</f>
        <v>-2044</v>
      </c>
      <c r="J111" s="83">
        <f>'Riders and Gas Cost Revenue'!O35+'Riders and Gas Cost Revenue'!O36+'Riders and Gas Cost Revenue'!O40</f>
        <v>0</v>
      </c>
      <c r="K111" s="83">
        <f>'Riders and Gas Cost Revenue'!Q35+'Riders and Gas Cost Revenue'!Q36+'Riders and Gas Cost Revenue'!Q40</f>
        <v>-2864</v>
      </c>
      <c r="L111" s="83">
        <f>'Riders and Gas Cost Revenue'!S35+'Riders and Gas Cost Revenue'!S36+'Riders and Gas Cost Revenue'!S40</f>
        <v>0</v>
      </c>
      <c r="M111" s="83">
        <f>'Riders and Gas Cost Revenue'!U35+'Riders and Gas Cost Revenue'!U36+'Riders and Gas Cost Revenue'!U40</f>
        <v>-3865</v>
      </c>
      <c r="N111" s="83">
        <f>'Riders and Gas Cost Revenue'!X35+'Riders and Gas Cost Revenue'!X36+'Riders and Gas Cost Revenue'!X40</f>
        <v>-4415</v>
      </c>
      <c r="O111" s="83">
        <f>'Riders and Gas Cost Revenue'!AA35+'Riders and Gas Cost Revenue'!AA36+'Riders and Gas Cost Revenue'!AA40</f>
        <v>-6829</v>
      </c>
      <c r="P111" s="83">
        <f>'Riders and Gas Cost Revenue'!AD35+'Riders and Gas Cost Revenue'!AD36+'Riders and Gas Cost Revenue'!AD40</f>
        <v>-8481</v>
      </c>
      <c r="Q111" s="83">
        <f>'Riders and Gas Cost Revenue'!AG35+'Riders and Gas Cost Revenue'!AG36+'Riders and Gas Cost Revenue'!AG40</f>
        <v>-9022</v>
      </c>
      <c r="R111" s="83">
        <f>'Riders and Gas Cost Revenue'!AJ35+'Riders and Gas Cost Revenue'!AJ36+'Riders and Gas Cost Revenue'!AJ40</f>
        <v>-5987</v>
      </c>
      <c r="S111" s="83">
        <f>'Riders and Gas Cost Revenue'!AM35+'Riders and Gas Cost Revenue'!AM36+'Riders and Gas Cost Revenue'!AM40</f>
        <v>0</v>
      </c>
      <c r="T111" s="83">
        <f>'Riders and Gas Cost Revenue'!AP35+'Riders and Gas Cost Revenue'!AP36+'Riders and Gas Cost Revenue'!AP40</f>
        <v>0</v>
      </c>
    </row>
    <row r="112" spans="1:20">
      <c r="A112" s="30">
        <v>11</v>
      </c>
      <c r="B112" s="28"/>
      <c r="C112" s="28" t="s">
        <v>272</v>
      </c>
      <c r="D112" s="28"/>
      <c r="E112" s="28"/>
      <c r="F112" s="190">
        <v>0</v>
      </c>
      <c r="G112" s="190">
        <v>0</v>
      </c>
      <c r="H112" s="190">
        <v>0</v>
      </c>
      <c r="I112" s="190">
        <v>0</v>
      </c>
      <c r="J112" s="190">
        <v>0</v>
      </c>
      <c r="K112" s="190">
        <v>0</v>
      </c>
      <c r="L112" s="190">
        <v>0</v>
      </c>
      <c r="M112" s="190">
        <f>'Riders and Gas Cost Revenue'!V35+'Riders and Gas Cost Revenue'!V40</f>
        <v>0</v>
      </c>
      <c r="N112" s="190">
        <f>'Riders and Gas Cost Revenue'!Y35+'Riders and Gas Cost Revenue'!Y40</f>
        <v>-3</v>
      </c>
      <c r="O112" s="190">
        <f>'Riders and Gas Cost Revenue'!AB35+'Riders and Gas Cost Revenue'!AB40</f>
        <v>-5</v>
      </c>
      <c r="P112" s="190">
        <f>'Riders and Gas Cost Revenue'!AE35+'Riders and Gas Cost Revenue'!AE40</f>
        <v>-4</v>
      </c>
      <c r="Q112" s="190">
        <f>'Riders and Gas Cost Revenue'!AH35+'Riders and Gas Cost Revenue'!AH40</f>
        <v>-4</v>
      </c>
      <c r="R112" s="190">
        <f>'Riders and Gas Cost Revenue'!AK35+'Riders and Gas Cost Revenue'!AK40</f>
        <v>-1</v>
      </c>
      <c r="S112" s="190">
        <f>'Riders and Gas Cost Revenue'!AN35+'Riders and Gas Cost Revenue'!AN40</f>
        <v>0</v>
      </c>
      <c r="T112" s="190">
        <f>'Riders and Gas Cost Revenue'!AQ35+'Riders and Gas Cost Revenue'!AQ40</f>
        <v>0</v>
      </c>
    </row>
    <row r="113" spans="1:20" ht="12.75" thickBot="1">
      <c r="A113" s="30">
        <v>12</v>
      </c>
      <c r="B113" s="66" t="s">
        <v>269</v>
      </c>
      <c r="C113" s="66"/>
      <c r="D113" s="66"/>
      <c r="E113" s="66"/>
      <c r="F113" s="63">
        <f>SUM(F103:F112)</f>
        <v>32723</v>
      </c>
      <c r="G113" s="63">
        <f>SUM(G108:G112)</f>
        <v>16333</v>
      </c>
      <c r="H113" s="63">
        <f t="shared" ref="H113:S113" si="37">SUM(H108:H112)</f>
        <v>19675</v>
      </c>
      <c r="I113" s="63">
        <f t="shared" si="37"/>
        <v>20783</v>
      </c>
      <c r="J113" s="63">
        <f t="shared" si="37"/>
        <v>19981</v>
      </c>
      <c r="K113" s="63">
        <f t="shared" si="37"/>
        <v>20603</v>
      </c>
      <c r="L113" s="63">
        <f t="shared" si="37"/>
        <v>20525</v>
      </c>
      <c r="M113" s="63">
        <f t="shared" si="37"/>
        <v>21205</v>
      </c>
      <c r="N113" s="63">
        <f t="shared" si="37"/>
        <v>21797</v>
      </c>
      <c r="O113" s="63">
        <f t="shared" si="37"/>
        <v>24600</v>
      </c>
      <c r="P113" s="63">
        <f t="shared" si="37"/>
        <v>26009</v>
      </c>
      <c r="Q113" s="63">
        <f t="shared" si="37"/>
        <v>27851.852941999998</v>
      </c>
      <c r="R113" s="63">
        <f t="shared" si="37"/>
        <v>30759</v>
      </c>
      <c r="S113" s="63">
        <f t="shared" si="37"/>
        <v>31057</v>
      </c>
      <c r="T113" s="63">
        <f t="shared" ref="T113" si="38">SUM(T108:T112)</f>
        <v>31478</v>
      </c>
    </row>
    <row r="114" spans="1:20" ht="12.75" thickTop="1">
      <c r="A114" s="30"/>
      <c r="D114" s="3" t="s">
        <v>260</v>
      </c>
      <c r="G114" s="123">
        <f>(G113-F113)/F113</f>
        <v>-0.50087094704030799</v>
      </c>
      <c r="H114" s="123">
        <f t="shared" ref="H114:T114" si="39">(H113-G113)/G113</f>
        <v>0.20461642074328049</v>
      </c>
      <c r="I114" s="123">
        <f t="shared" si="39"/>
        <v>5.6315120711562895E-2</v>
      </c>
      <c r="J114" s="123">
        <f t="shared" si="39"/>
        <v>-3.8589231583505752E-2</v>
      </c>
      <c r="K114" s="123">
        <f t="shared" si="39"/>
        <v>3.1129573094439717E-2</v>
      </c>
      <c r="L114" s="123">
        <f t="shared" si="39"/>
        <v>-3.7858564286754356E-3</v>
      </c>
      <c r="M114" s="123">
        <f t="shared" si="39"/>
        <v>3.3130328867235076E-2</v>
      </c>
      <c r="N114" s="123">
        <f t="shared" si="39"/>
        <v>2.7917943881160104E-2</v>
      </c>
      <c r="O114" s="123">
        <f t="shared" si="39"/>
        <v>0.12859567830435381</v>
      </c>
      <c r="P114" s="123">
        <f t="shared" si="39"/>
        <v>5.727642276422764E-2</v>
      </c>
      <c r="Q114" s="123">
        <f t="shared" si="39"/>
        <v>7.0854432773270706E-2</v>
      </c>
      <c r="R114" s="123">
        <f t="shared" si="39"/>
        <v>0.10437894613525288</v>
      </c>
      <c r="S114" s="123">
        <f t="shared" si="39"/>
        <v>9.6882213335934206E-3</v>
      </c>
      <c r="T114" s="123">
        <f t="shared" si="39"/>
        <v>1.3555720127507486E-2</v>
      </c>
    </row>
    <row r="115" spans="1:20" ht="9.75" customHeight="1">
      <c r="A115" s="30"/>
      <c r="E115" s="28"/>
      <c r="F115" s="29"/>
      <c r="G115" s="29"/>
      <c r="R115" s="4"/>
      <c r="S115" s="4"/>
      <c r="T115" s="4"/>
    </row>
    <row r="116" spans="1:20">
      <c r="A116" s="30"/>
      <c r="D116" s="212" t="s">
        <v>47</v>
      </c>
      <c r="R116" s="4"/>
      <c r="S116" s="4"/>
      <c r="T116" s="4"/>
    </row>
    <row r="117" spans="1:20">
      <c r="A117" s="30">
        <v>13</v>
      </c>
      <c r="C117" s="28" t="s">
        <v>16</v>
      </c>
      <c r="D117" s="212"/>
      <c r="E117" s="188" t="s">
        <v>261</v>
      </c>
      <c r="F117" s="211">
        <f>F26</f>
        <v>314</v>
      </c>
      <c r="G117" s="211">
        <f t="shared" ref="G117:R117" si="40">G26</f>
        <v>314</v>
      </c>
      <c r="H117" s="211">
        <f t="shared" si="40"/>
        <v>297</v>
      </c>
      <c r="I117" s="211">
        <f t="shared" si="40"/>
        <v>309</v>
      </c>
      <c r="J117" s="211">
        <f t="shared" si="40"/>
        <v>309</v>
      </c>
      <c r="K117" s="211">
        <f t="shared" si="40"/>
        <v>310</v>
      </c>
      <c r="L117" s="211">
        <f t="shared" si="40"/>
        <v>312</v>
      </c>
      <c r="M117" s="211">
        <f t="shared" si="40"/>
        <v>310</v>
      </c>
      <c r="N117" s="211">
        <f t="shared" si="40"/>
        <v>276</v>
      </c>
      <c r="O117" s="211">
        <f t="shared" si="40"/>
        <v>393</v>
      </c>
      <c r="P117" s="211">
        <f t="shared" si="40"/>
        <v>348</v>
      </c>
      <c r="Q117" s="211">
        <f t="shared" si="40"/>
        <v>395</v>
      </c>
      <c r="R117" s="211">
        <f t="shared" si="40"/>
        <v>438</v>
      </c>
      <c r="S117" s="211">
        <f>S26</f>
        <v>380</v>
      </c>
      <c r="T117" s="211">
        <f>T26</f>
        <v>402</v>
      </c>
    </row>
    <row r="118" spans="1:20">
      <c r="A118" s="30">
        <v>14</v>
      </c>
      <c r="C118" s="28" t="s">
        <v>19</v>
      </c>
      <c r="E118" s="188" t="s">
        <v>262</v>
      </c>
      <c r="F118" s="211">
        <f>F32</f>
        <v>4184</v>
      </c>
      <c r="G118" s="211">
        <f t="shared" ref="G118:R118" si="41">G32</f>
        <v>4390</v>
      </c>
      <c r="H118" s="211">
        <f t="shared" si="41"/>
        <v>4496</v>
      </c>
      <c r="I118" s="211">
        <f t="shared" si="41"/>
        <v>4707</v>
      </c>
      <c r="J118" s="211">
        <f t="shared" si="41"/>
        <v>4902</v>
      </c>
      <c r="K118" s="211">
        <f t="shared" si="41"/>
        <v>5088</v>
      </c>
      <c r="L118" s="211">
        <f t="shared" si="41"/>
        <v>5369</v>
      </c>
      <c r="M118" s="211">
        <f t="shared" si="41"/>
        <v>5605</v>
      </c>
      <c r="N118" s="211">
        <f t="shared" si="41"/>
        <v>5673</v>
      </c>
      <c r="O118" s="211">
        <f t="shared" si="41"/>
        <v>6064</v>
      </c>
      <c r="P118" s="211">
        <f t="shared" si="41"/>
        <v>6367</v>
      </c>
      <c r="Q118" s="211">
        <f t="shared" si="41"/>
        <v>6649</v>
      </c>
      <c r="R118" s="211">
        <f t="shared" si="41"/>
        <v>6978</v>
      </c>
      <c r="S118" s="211">
        <f>S32</f>
        <v>7925</v>
      </c>
      <c r="T118" s="211">
        <f>T32</f>
        <v>8513</v>
      </c>
    </row>
    <row r="119" spans="1:20">
      <c r="A119" s="30">
        <v>15</v>
      </c>
      <c r="C119" s="3" t="s">
        <v>24</v>
      </c>
      <c r="E119" s="188" t="s">
        <v>263</v>
      </c>
      <c r="F119" s="211">
        <f>F42</f>
        <v>1027</v>
      </c>
      <c r="G119" s="211">
        <f t="shared" ref="G119:R119" si="42">G42</f>
        <v>1020</v>
      </c>
      <c r="H119" s="211">
        <f t="shared" si="42"/>
        <v>1275</v>
      </c>
      <c r="I119" s="211">
        <f t="shared" si="42"/>
        <v>1363</v>
      </c>
      <c r="J119" s="211">
        <f t="shared" si="42"/>
        <v>1180</v>
      </c>
      <c r="K119" s="211">
        <f t="shared" si="42"/>
        <v>1343</v>
      </c>
      <c r="L119" s="211">
        <f t="shared" si="42"/>
        <v>1282</v>
      </c>
      <c r="M119" s="211">
        <f t="shared" si="42"/>
        <v>1498</v>
      </c>
      <c r="N119" s="211">
        <f t="shared" si="42"/>
        <v>1803</v>
      </c>
      <c r="O119" s="211">
        <f t="shared" si="42"/>
        <v>1999</v>
      </c>
      <c r="P119" s="211">
        <f t="shared" si="42"/>
        <v>2412</v>
      </c>
      <c r="Q119" s="211">
        <f t="shared" si="42"/>
        <v>2734</v>
      </c>
      <c r="R119" s="211">
        <f t="shared" si="42"/>
        <v>3276</v>
      </c>
      <c r="S119" s="211">
        <f>S42</f>
        <v>3868</v>
      </c>
      <c r="T119" s="211">
        <f>T42</f>
        <v>4389</v>
      </c>
    </row>
    <row r="120" spans="1:20" ht="12.75" thickBot="1">
      <c r="A120" s="30">
        <v>16</v>
      </c>
      <c r="B120" s="219" t="s">
        <v>259</v>
      </c>
      <c r="E120" s="188"/>
      <c r="F120" s="64">
        <f>SUM(F117:F119)</f>
        <v>5525</v>
      </c>
      <c r="G120" s="64">
        <f t="shared" ref="G120:R120" si="43">SUM(G117:G119)</f>
        <v>5724</v>
      </c>
      <c r="H120" s="64">
        <f t="shared" si="43"/>
        <v>6068</v>
      </c>
      <c r="I120" s="64">
        <f t="shared" si="43"/>
        <v>6379</v>
      </c>
      <c r="J120" s="64">
        <f t="shared" si="43"/>
        <v>6391</v>
      </c>
      <c r="K120" s="64">
        <f t="shared" si="43"/>
        <v>6741</v>
      </c>
      <c r="L120" s="64">
        <f t="shared" si="43"/>
        <v>6963</v>
      </c>
      <c r="M120" s="64">
        <f t="shared" si="43"/>
        <v>7413</v>
      </c>
      <c r="N120" s="64">
        <f t="shared" si="43"/>
        <v>7752</v>
      </c>
      <c r="O120" s="64">
        <f t="shared" si="43"/>
        <v>8456</v>
      </c>
      <c r="P120" s="64">
        <f t="shared" si="43"/>
        <v>9127</v>
      </c>
      <c r="Q120" s="64">
        <f t="shared" si="43"/>
        <v>9778</v>
      </c>
      <c r="R120" s="64">
        <f t="shared" si="43"/>
        <v>10692</v>
      </c>
      <c r="S120" s="64">
        <f>SUM(S117:S119)</f>
        <v>12173</v>
      </c>
      <c r="T120" s="64">
        <f>SUM(T117:T119)</f>
        <v>13304</v>
      </c>
    </row>
    <row r="121" spans="1:20" ht="12.75" thickTop="1">
      <c r="A121" s="30"/>
      <c r="B121" s="212"/>
      <c r="D121" s="3" t="s">
        <v>260</v>
      </c>
      <c r="E121" s="188"/>
      <c r="F121" s="93"/>
      <c r="G121" s="123">
        <f>(G120-F120)/F120</f>
        <v>3.6018099547511312E-2</v>
      </c>
      <c r="H121" s="123">
        <f t="shared" ref="H121:T121" si="44">(H120-G120)/G120</f>
        <v>6.0097833682739341E-2</v>
      </c>
      <c r="I121" s="123">
        <f t="shared" si="44"/>
        <v>5.1252471984179301E-2</v>
      </c>
      <c r="J121" s="123">
        <f t="shared" si="44"/>
        <v>1.8811725975858284E-3</v>
      </c>
      <c r="K121" s="123">
        <f t="shared" si="44"/>
        <v>5.4764512595837894E-2</v>
      </c>
      <c r="L121" s="123">
        <f t="shared" si="44"/>
        <v>3.2932799287939477E-2</v>
      </c>
      <c r="M121" s="123">
        <f t="shared" si="44"/>
        <v>6.4627315812149935E-2</v>
      </c>
      <c r="N121" s="123">
        <f t="shared" si="44"/>
        <v>4.5730473492513156E-2</v>
      </c>
      <c r="O121" s="123">
        <f t="shared" si="44"/>
        <v>9.0815273477812181E-2</v>
      </c>
      <c r="P121" s="123">
        <f t="shared" si="44"/>
        <v>7.9351939451277206E-2</v>
      </c>
      <c r="Q121" s="123">
        <f t="shared" si="44"/>
        <v>7.1326832475073959E-2</v>
      </c>
      <c r="R121" s="123">
        <f t="shared" si="44"/>
        <v>9.3475148292084267E-2</v>
      </c>
      <c r="S121" s="123">
        <f t="shared" si="44"/>
        <v>0.1385147774036663</v>
      </c>
      <c r="T121" s="123">
        <f t="shared" si="44"/>
        <v>9.2910539719050361E-2</v>
      </c>
    </row>
    <row r="122" spans="1:20">
      <c r="A122" s="30"/>
      <c r="E122" s="188"/>
      <c r="F122" s="211"/>
      <c r="R122" s="4"/>
      <c r="S122" s="4"/>
      <c r="T122" s="4"/>
    </row>
    <row r="123" spans="1:20">
      <c r="A123" s="30"/>
      <c r="D123" s="3" t="s">
        <v>267</v>
      </c>
      <c r="E123" s="188"/>
      <c r="F123" s="211"/>
      <c r="R123" s="4"/>
      <c r="S123" s="4"/>
      <c r="T123" s="4"/>
    </row>
    <row r="124" spans="1:20">
      <c r="A124" s="30">
        <v>17</v>
      </c>
      <c r="B124" s="212" t="s">
        <v>52</v>
      </c>
      <c r="D124" s="212"/>
      <c r="E124" s="188" t="s">
        <v>264</v>
      </c>
      <c r="F124" s="211">
        <f>F43</f>
        <v>0</v>
      </c>
      <c r="G124" s="211">
        <f t="shared" ref="G124:R124" si="45">G43</f>
        <v>167</v>
      </c>
      <c r="H124" s="211">
        <f t="shared" si="45"/>
        <v>185</v>
      </c>
      <c r="I124" s="211">
        <f t="shared" si="45"/>
        <v>159</v>
      </c>
      <c r="J124" s="211">
        <f t="shared" si="45"/>
        <v>169</v>
      </c>
      <c r="K124" s="211">
        <f t="shared" si="45"/>
        <v>0</v>
      </c>
      <c r="L124" s="211">
        <f t="shared" si="45"/>
        <v>0</v>
      </c>
      <c r="M124" s="211">
        <f t="shared" si="45"/>
        <v>-815</v>
      </c>
      <c r="N124" s="211">
        <f t="shared" si="45"/>
        <v>-242</v>
      </c>
      <c r="O124" s="211">
        <f t="shared" si="45"/>
        <v>440</v>
      </c>
      <c r="P124" s="211">
        <f t="shared" si="45"/>
        <v>216</v>
      </c>
      <c r="Q124" s="211">
        <f t="shared" si="45"/>
        <v>-186</v>
      </c>
      <c r="R124" s="211">
        <f t="shared" si="45"/>
        <v>171</v>
      </c>
      <c r="S124" s="83">
        <f>S43</f>
        <v>91</v>
      </c>
      <c r="T124" s="83">
        <f>T43</f>
        <v>-91</v>
      </c>
    </row>
    <row r="125" spans="1:20">
      <c r="A125" s="30">
        <v>18</v>
      </c>
      <c r="B125" s="28"/>
      <c r="C125" s="28" t="str">
        <f>C112</f>
        <v>Deduct Decoupling Surcharge/Rebate Expenses</v>
      </c>
      <c r="F125" s="211">
        <f>-'Reg Amort and Other RB'!E22</f>
        <v>0</v>
      </c>
      <c r="G125" s="211">
        <f>-'Reg Amort and Other RB'!F22</f>
        <v>0</v>
      </c>
      <c r="H125" s="211">
        <f>-'Reg Amort and Other RB'!G22</f>
        <v>0</v>
      </c>
      <c r="I125" s="211">
        <f>-'Reg Amort and Other RB'!H22</f>
        <v>0</v>
      </c>
      <c r="J125" s="211">
        <f>-'Reg Amort and Other RB'!I22</f>
        <v>0</v>
      </c>
      <c r="K125" s="211">
        <f>-'Reg Amort and Other RB'!J22</f>
        <v>0</v>
      </c>
      <c r="L125" s="211">
        <f>-'Reg Amort and Other RB'!K22</f>
        <v>0</v>
      </c>
      <c r="M125" s="211">
        <f>-'Reg Amort and Other RB'!L22</f>
        <v>-85</v>
      </c>
      <c r="N125" s="211">
        <f>-'Reg Amort and Other RB'!M22</f>
        <v>-432</v>
      </c>
      <c r="O125" s="211">
        <f>-'Reg Amort and Other RB'!N22</f>
        <v>-710</v>
      </c>
      <c r="P125" s="211">
        <f>-'Reg Amort and Other RB'!O22</f>
        <v>-494</v>
      </c>
      <c r="Q125" s="211">
        <f>-'Reg Amort and Other RB'!P22</f>
        <v>-494</v>
      </c>
      <c r="R125" s="211">
        <f>-'Reg Amort and Other RB'!Q22</f>
        <v>-184</v>
      </c>
      <c r="S125" s="83">
        <f>-'Reg Amort and Other RB'!R22</f>
        <v>0</v>
      </c>
      <c r="T125" s="83">
        <f>-'Reg Amort and Other RB'!S22</f>
        <v>0</v>
      </c>
    </row>
    <row r="126" spans="1:20" ht="12.75" thickBot="1">
      <c r="A126" s="30">
        <v>19</v>
      </c>
      <c r="B126" s="66" t="s">
        <v>268</v>
      </c>
      <c r="C126" s="66"/>
      <c r="D126" s="67"/>
      <c r="E126" s="67"/>
      <c r="F126" s="64">
        <f t="shared" ref="F126:R126" si="46">SUM(F124:F125)</f>
        <v>0</v>
      </c>
      <c r="G126" s="64">
        <f t="shared" si="46"/>
        <v>167</v>
      </c>
      <c r="H126" s="64">
        <f t="shared" si="46"/>
        <v>185</v>
      </c>
      <c r="I126" s="64">
        <f t="shared" si="46"/>
        <v>159</v>
      </c>
      <c r="J126" s="64">
        <f t="shared" si="46"/>
        <v>169</v>
      </c>
      <c r="K126" s="64">
        <f t="shared" si="46"/>
        <v>0</v>
      </c>
      <c r="L126" s="64">
        <f t="shared" si="46"/>
        <v>0</v>
      </c>
      <c r="M126" s="64">
        <f t="shared" si="46"/>
        <v>-900</v>
      </c>
      <c r="N126" s="64">
        <f t="shared" si="46"/>
        <v>-674</v>
      </c>
      <c r="O126" s="64">
        <f t="shared" si="46"/>
        <v>-270</v>
      </c>
      <c r="P126" s="64">
        <f t="shared" si="46"/>
        <v>-278</v>
      </c>
      <c r="Q126" s="64">
        <f t="shared" si="46"/>
        <v>-680</v>
      </c>
      <c r="R126" s="64">
        <f t="shared" si="46"/>
        <v>-13</v>
      </c>
      <c r="S126" s="63">
        <f>SUM(S124:S125)</f>
        <v>91</v>
      </c>
      <c r="T126" s="63">
        <f>SUM(T124:T125)</f>
        <v>-91</v>
      </c>
    </row>
    <row r="127" spans="1:20" ht="9" customHeight="1" thickTop="1">
      <c r="A127" s="30"/>
      <c r="R127" s="4"/>
      <c r="S127" s="4"/>
      <c r="T127" s="4"/>
    </row>
    <row r="128" spans="1:20">
      <c r="A128" s="30"/>
      <c r="D128" s="3" t="s">
        <v>274</v>
      </c>
      <c r="R128" s="4"/>
      <c r="S128" s="4"/>
      <c r="T128" s="4"/>
    </row>
    <row r="129" spans="1:20">
      <c r="A129" s="30">
        <v>20</v>
      </c>
      <c r="C129" s="28" t="s">
        <v>16</v>
      </c>
      <c r="D129" s="212"/>
      <c r="E129" s="188" t="s">
        <v>276</v>
      </c>
      <c r="F129" s="211">
        <f>F27</f>
        <v>111</v>
      </c>
      <c r="G129" s="211">
        <f t="shared" ref="G129:R129" si="47">G27</f>
        <v>108</v>
      </c>
      <c r="H129" s="211">
        <f t="shared" si="47"/>
        <v>120</v>
      </c>
      <c r="I129" s="211">
        <f t="shared" si="47"/>
        <v>118</v>
      </c>
      <c r="J129" s="211">
        <f t="shared" si="47"/>
        <v>120</v>
      </c>
      <c r="K129" s="211">
        <f t="shared" si="47"/>
        <v>115</v>
      </c>
      <c r="L129" s="211">
        <f t="shared" si="47"/>
        <v>122</v>
      </c>
      <c r="M129" s="211">
        <f t="shared" si="47"/>
        <v>95</v>
      </c>
      <c r="N129" s="211">
        <f t="shared" si="47"/>
        <v>113</v>
      </c>
      <c r="O129" s="211">
        <f t="shared" si="47"/>
        <v>121</v>
      </c>
      <c r="P129" s="211">
        <f t="shared" si="47"/>
        <v>116</v>
      </c>
      <c r="Q129" s="211">
        <f t="shared" si="47"/>
        <v>19</v>
      </c>
      <c r="R129" s="211">
        <f t="shared" si="47"/>
        <v>17</v>
      </c>
      <c r="S129" s="211">
        <f>S27</f>
        <v>158</v>
      </c>
      <c r="T129" s="211">
        <f>T27</f>
        <v>184</v>
      </c>
    </row>
    <row r="130" spans="1:20">
      <c r="A130" s="30">
        <v>21</v>
      </c>
      <c r="C130" s="28" t="s">
        <v>19</v>
      </c>
      <c r="E130" s="188" t="s">
        <v>277</v>
      </c>
      <c r="F130" s="211">
        <f>F33</f>
        <v>4919</v>
      </c>
      <c r="G130" s="211">
        <f t="shared" ref="G130:R130" si="48">G33</f>
        <v>7315</v>
      </c>
      <c r="H130" s="211">
        <f t="shared" si="48"/>
        <v>8070</v>
      </c>
      <c r="I130" s="211">
        <f t="shared" si="48"/>
        <v>7205</v>
      </c>
      <c r="J130" s="211">
        <f t="shared" si="48"/>
        <v>8213</v>
      </c>
      <c r="K130" s="211">
        <f t="shared" si="48"/>
        <v>8573</v>
      </c>
      <c r="L130" s="211">
        <f t="shared" si="48"/>
        <v>9457</v>
      </c>
      <c r="M130" s="211">
        <f t="shared" si="48"/>
        <v>9844</v>
      </c>
      <c r="N130" s="211">
        <f t="shared" si="48"/>
        <v>8941</v>
      </c>
      <c r="O130" s="211">
        <f t="shared" si="48"/>
        <v>8746</v>
      </c>
      <c r="P130" s="211">
        <f t="shared" si="48"/>
        <v>7223</v>
      </c>
      <c r="Q130" s="211">
        <f t="shared" si="48"/>
        <v>8050.6743270000006</v>
      </c>
      <c r="R130" s="211">
        <f t="shared" si="48"/>
        <v>7825</v>
      </c>
      <c r="S130" s="211">
        <f>S33</f>
        <v>8116</v>
      </c>
      <c r="T130" s="211">
        <f>T33</f>
        <v>8719</v>
      </c>
    </row>
    <row r="131" spans="1:20">
      <c r="A131" s="30">
        <v>22</v>
      </c>
      <c r="C131" s="3" t="s">
        <v>24</v>
      </c>
      <c r="E131" s="188" t="s">
        <v>278</v>
      </c>
      <c r="F131" s="211">
        <f>F44</f>
        <v>22</v>
      </c>
      <c r="G131" s="211">
        <f t="shared" ref="G131:R131" si="49">G44</f>
        <v>21</v>
      </c>
      <c r="H131" s="211">
        <f t="shared" si="49"/>
        <v>23</v>
      </c>
      <c r="I131" s="211">
        <f t="shared" si="49"/>
        <v>24</v>
      </c>
      <c r="J131" s="211">
        <f t="shared" si="49"/>
        <v>24</v>
      </c>
      <c r="K131" s="211">
        <f t="shared" si="49"/>
        <v>23</v>
      </c>
      <c r="L131" s="211">
        <f t="shared" si="49"/>
        <v>24</v>
      </c>
      <c r="M131" s="211">
        <f t="shared" si="49"/>
        <v>20</v>
      </c>
      <c r="N131" s="211">
        <f t="shared" si="49"/>
        <v>17</v>
      </c>
      <c r="O131" s="211">
        <f t="shared" si="49"/>
        <v>19</v>
      </c>
      <c r="P131" s="211">
        <f t="shared" si="49"/>
        <v>24</v>
      </c>
      <c r="Q131" s="211">
        <f t="shared" si="49"/>
        <v>0</v>
      </c>
      <c r="R131" s="211">
        <f t="shared" si="49"/>
        <v>-1</v>
      </c>
      <c r="S131" s="211">
        <f>S44</f>
        <v>0</v>
      </c>
      <c r="T131" s="211">
        <f>T44</f>
        <v>0</v>
      </c>
    </row>
    <row r="132" spans="1:20">
      <c r="A132" s="30">
        <v>23</v>
      </c>
      <c r="B132" s="3" t="s">
        <v>279</v>
      </c>
      <c r="F132" s="210">
        <f>F27+F33+F44</f>
        <v>5052</v>
      </c>
      <c r="G132" s="210">
        <f t="shared" ref="G132:R132" si="50">G27+G33+G44</f>
        <v>7444</v>
      </c>
      <c r="H132" s="210">
        <f t="shared" si="50"/>
        <v>8213</v>
      </c>
      <c r="I132" s="210">
        <f t="shared" si="50"/>
        <v>7347</v>
      </c>
      <c r="J132" s="210">
        <f t="shared" si="50"/>
        <v>8357</v>
      </c>
      <c r="K132" s="210">
        <f t="shared" si="50"/>
        <v>8711</v>
      </c>
      <c r="L132" s="210">
        <f t="shared" si="50"/>
        <v>9603</v>
      </c>
      <c r="M132" s="210">
        <f t="shared" si="50"/>
        <v>9959</v>
      </c>
      <c r="N132" s="210">
        <f t="shared" si="50"/>
        <v>9071</v>
      </c>
      <c r="O132" s="210">
        <f t="shared" si="50"/>
        <v>8886</v>
      </c>
      <c r="P132" s="210">
        <f t="shared" si="50"/>
        <v>7363</v>
      </c>
      <c r="Q132" s="210">
        <f t="shared" si="50"/>
        <v>8069.6743270000006</v>
      </c>
      <c r="R132" s="210">
        <f t="shared" si="50"/>
        <v>7841</v>
      </c>
      <c r="S132" s="210">
        <f>S27+S33+S44</f>
        <v>8274</v>
      </c>
      <c r="T132" s="210">
        <f>T27+T33+T44</f>
        <v>8903</v>
      </c>
    </row>
    <row r="133" spans="1:20">
      <c r="A133" s="30">
        <v>24</v>
      </c>
      <c r="B133" s="28"/>
      <c r="C133" s="28" t="s">
        <v>281</v>
      </c>
      <c r="F133" s="83">
        <f>'Riders and Gas Cost Revenue'!H32</f>
        <v>-2304</v>
      </c>
      <c r="G133" s="83">
        <f>'Riders and Gas Cost Revenue'!J32</f>
        <v>-4287</v>
      </c>
      <c r="H133" s="83">
        <f>'Riders and Gas Cost Revenue'!L32</f>
        <v>-4425</v>
      </c>
      <c r="I133" s="83">
        <f>'Riders and Gas Cost Revenue'!N32</f>
        <v>-3899</v>
      </c>
      <c r="J133" s="83">
        <f>'Riders and Gas Cost Revenue'!P32</f>
        <v>-4592</v>
      </c>
      <c r="K133" s="83">
        <f>'Riders and Gas Cost Revenue'!R32</f>
        <v>-5240</v>
      </c>
      <c r="L133" s="83">
        <f>'Riders and Gas Cost Revenue'!T32</f>
        <v>-6014</v>
      </c>
      <c r="M133" s="83">
        <f>'Riders and Gas Cost Revenue'!W32</f>
        <v>-6261</v>
      </c>
      <c r="N133" s="83">
        <f>'Riders and Gas Cost Revenue'!Z32</f>
        <v>-5917</v>
      </c>
      <c r="O133" s="83">
        <f>'Riders and Gas Cost Revenue'!AC32</f>
        <v>-4858</v>
      </c>
      <c r="P133" s="83">
        <f>'Riders and Gas Cost Revenue'!AF32</f>
        <v>-3171</v>
      </c>
      <c r="Q133" s="83">
        <f>'Riders and Gas Cost Revenue'!AI32</f>
        <v>-3374</v>
      </c>
      <c r="R133" s="83">
        <f>'Riders and Gas Cost Revenue'!AL32</f>
        <v>-3003</v>
      </c>
      <c r="S133" s="83">
        <f>'Riders and Gas Cost Revenue'!AO32</f>
        <v>-3083</v>
      </c>
      <c r="T133" s="83">
        <f>'Riders and Gas Cost Revenue'!AR32</f>
        <v>-3380</v>
      </c>
    </row>
    <row r="134" spans="1:20">
      <c r="A134" s="30">
        <v>25</v>
      </c>
      <c r="C134" s="3" t="s">
        <v>280</v>
      </c>
      <c r="F134" s="211">
        <f>'Riders and Gas Cost Revenue'!G32</f>
        <v>0</v>
      </c>
      <c r="G134" s="211">
        <f>'Riders and Gas Cost Revenue'!I32</f>
        <v>-38</v>
      </c>
      <c r="H134" s="211">
        <f>'Riders and Gas Cost Revenue'!K32</f>
        <v>-68</v>
      </c>
      <c r="I134" s="211">
        <f>'Riders and Gas Cost Revenue'!M32</f>
        <v>-81</v>
      </c>
      <c r="J134" s="211">
        <f>'Riders and Gas Cost Revenue'!O32</f>
        <v>0</v>
      </c>
      <c r="K134" s="211">
        <f>'Riders and Gas Cost Revenue'!Q32</f>
        <v>-114</v>
      </c>
      <c r="L134" s="211">
        <f>'Riders and Gas Cost Revenue'!S32</f>
        <v>0</v>
      </c>
      <c r="M134" s="211">
        <f>'Riders and Gas Cost Revenue'!U32</f>
        <v>-154</v>
      </c>
      <c r="N134" s="211">
        <f>'Riders and Gas Cost Revenue'!X32</f>
        <v>-176</v>
      </c>
      <c r="O134" s="211">
        <f>'Riders and Gas Cost Revenue'!AA32</f>
        <v>-272</v>
      </c>
      <c r="P134" s="211">
        <f>'Riders and Gas Cost Revenue'!AD32</f>
        <v>-338</v>
      </c>
      <c r="Q134" s="211">
        <f>'Riders and Gas Cost Revenue'!AG32</f>
        <v>-359</v>
      </c>
      <c r="R134" s="211">
        <f>'Riders and Gas Cost Revenue'!AJ32</f>
        <v>-239</v>
      </c>
      <c r="S134" s="211">
        <f>'Riders and Gas Cost Revenue'!AM32</f>
        <v>0</v>
      </c>
      <c r="T134" s="211">
        <f>'Riders and Gas Cost Revenue'!AP32</f>
        <v>0</v>
      </c>
    </row>
    <row r="135" spans="1:20">
      <c r="A135" s="30">
        <v>26</v>
      </c>
      <c r="C135" s="3" t="s">
        <v>282</v>
      </c>
      <c r="F135" s="209">
        <v>0</v>
      </c>
      <c r="G135" s="209">
        <v>0</v>
      </c>
      <c r="H135" s="209">
        <v>0</v>
      </c>
      <c r="I135" s="209">
        <v>0</v>
      </c>
      <c r="J135" s="209">
        <v>0</v>
      </c>
      <c r="K135" s="209">
        <v>0</v>
      </c>
      <c r="L135" s="209">
        <v>0</v>
      </c>
      <c r="M135" s="209">
        <f>'Riders and Gas Cost Revenue'!V32</f>
        <v>-3</v>
      </c>
      <c r="N135" s="209">
        <f>'Riders and Gas Cost Revenue'!Y32</f>
        <v>-17</v>
      </c>
      <c r="O135" s="209">
        <f>'Riders and Gas Cost Revenue'!AB32</f>
        <v>-28</v>
      </c>
      <c r="P135" s="209">
        <f>'Riders and Gas Cost Revenue'!AE32</f>
        <v>-20</v>
      </c>
      <c r="Q135" s="209">
        <f>'Riders and Gas Cost Revenue'!AH32</f>
        <v>-20</v>
      </c>
      <c r="R135" s="209">
        <f>'Riders and Gas Cost Revenue'!AK32</f>
        <v>-7</v>
      </c>
      <c r="S135" s="209">
        <f>'Riders and Gas Cost Revenue'!AN32</f>
        <v>0</v>
      </c>
      <c r="T135" s="209">
        <f>'Riders and Gas Cost Revenue'!AQ32</f>
        <v>0</v>
      </c>
    </row>
    <row r="136" spans="1:20" ht="12.75" thickBot="1">
      <c r="A136" s="30">
        <v>27</v>
      </c>
      <c r="B136" s="67" t="s">
        <v>275</v>
      </c>
      <c r="C136" s="67"/>
      <c r="D136" s="67"/>
      <c r="E136" s="67"/>
      <c r="F136" s="64">
        <f>SUM(F132:F135)</f>
        <v>2748</v>
      </c>
      <c r="G136" s="64">
        <f t="shared" ref="G136:L136" si="51">SUM(G132:G135)</f>
        <v>3119</v>
      </c>
      <c r="H136" s="64">
        <f t="shared" si="51"/>
        <v>3720</v>
      </c>
      <c r="I136" s="64">
        <f t="shared" si="51"/>
        <v>3367</v>
      </c>
      <c r="J136" s="64">
        <f t="shared" si="51"/>
        <v>3765</v>
      </c>
      <c r="K136" s="64">
        <f t="shared" si="51"/>
        <v>3357</v>
      </c>
      <c r="L136" s="64">
        <f t="shared" si="51"/>
        <v>3589</v>
      </c>
      <c r="M136" s="64">
        <f t="shared" ref="M136:S136" si="52">SUM(M132:M135)</f>
        <v>3541</v>
      </c>
      <c r="N136" s="64">
        <f t="shared" si="52"/>
        <v>2961</v>
      </c>
      <c r="O136" s="64">
        <f t="shared" si="52"/>
        <v>3728</v>
      </c>
      <c r="P136" s="64">
        <f t="shared" si="52"/>
        <v>3834</v>
      </c>
      <c r="Q136" s="64">
        <f t="shared" si="52"/>
        <v>4316.6743270000006</v>
      </c>
      <c r="R136" s="64">
        <f t="shared" si="52"/>
        <v>4592</v>
      </c>
      <c r="S136" s="64">
        <f t="shared" si="52"/>
        <v>5191</v>
      </c>
      <c r="T136" s="64">
        <f t="shared" ref="T136" si="53">SUM(T132:T135)</f>
        <v>5523</v>
      </c>
    </row>
    <row r="137" spans="1:20" ht="12.75" thickTop="1">
      <c r="A137" s="150"/>
      <c r="B137" s="67"/>
      <c r="C137" s="67"/>
      <c r="D137" s="3" t="s">
        <v>260</v>
      </c>
      <c r="E137" s="67"/>
      <c r="F137" s="93"/>
      <c r="G137" s="123">
        <f>(G136-F136)/F136</f>
        <v>0.13500727802037846</v>
      </c>
      <c r="H137" s="123">
        <f t="shared" ref="H137:T137" si="54">(H136-G136)/G136</f>
        <v>0.192689964732286</v>
      </c>
      <c r="I137" s="123">
        <f t="shared" si="54"/>
        <v>-9.4892473118279572E-2</v>
      </c>
      <c r="J137" s="123">
        <f t="shared" si="54"/>
        <v>0.1182061182061182</v>
      </c>
      <c r="K137" s="123">
        <f t="shared" si="54"/>
        <v>-0.10836653386454183</v>
      </c>
      <c r="L137" s="123">
        <f t="shared" si="54"/>
        <v>6.9109323801012812E-2</v>
      </c>
      <c r="M137" s="123">
        <f t="shared" si="54"/>
        <v>-1.337419894120925E-2</v>
      </c>
      <c r="N137" s="123">
        <f t="shared" si="54"/>
        <v>-0.16379553798362045</v>
      </c>
      <c r="O137" s="123">
        <f t="shared" si="54"/>
        <v>0.25903411009793986</v>
      </c>
      <c r="P137" s="123">
        <f t="shared" si="54"/>
        <v>2.8433476394849784E-2</v>
      </c>
      <c r="Q137" s="123">
        <f t="shared" si="54"/>
        <v>0.12589314736567569</v>
      </c>
      <c r="R137" s="123">
        <f t="shared" si="54"/>
        <v>6.3781896002181149E-2</v>
      </c>
      <c r="S137" s="123">
        <f t="shared" si="54"/>
        <v>0.13044425087108014</v>
      </c>
      <c r="T137" s="123">
        <f t="shared" si="54"/>
        <v>6.3956848391446733E-2</v>
      </c>
    </row>
    <row r="138" spans="1:20">
      <c r="A138" s="150"/>
      <c r="B138" s="67"/>
      <c r="C138" s="67"/>
      <c r="E138" s="67"/>
      <c r="F138" s="93"/>
      <c r="G138" s="123"/>
      <c r="H138" s="123"/>
      <c r="I138" s="123"/>
      <c r="J138" s="123"/>
      <c r="K138" s="123"/>
      <c r="L138" s="123"/>
      <c r="M138" s="123"/>
      <c r="N138" s="123"/>
      <c r="O138" s="123"/>
      <c r="P138" s="123"/>
      <c r="Q138" s="123"/>
      <c r="R138" s="123"/>
      <c r="S138" s="123"/>
      <c r="T138" s="123"/>
    </row>
    <row r="139" spans="1:20" ht="12.75" thickBot="1">
      <c r="A139" s="30">
        <v>28</v>
      </c>
      <c r="B139" s="67" t="s">
        <v>283</v>
      </c>
      <c r="C139" s="67"/>
      <c r="E139" s="188" t="s">
        <v>284</v>
      </c>
      <c r="F139" s="64">
        <f>F84</f>
        <v>124885</v>
      </c>
      <c r="G139" s="64">
        <f t="shared" ref="G139:R139" si="55">G84</f>
        <v>129500</v>
      </c>
      <c r="H139" s="64">
        <f t="shared" si="55"/>
        <v>129740</v>
      </c>
      <c r="I139" s="64">
        <f t="shared" si="55"/>
        <v>125044</v>
      </c>
      <c r="J139" s="64">
        <f t="shared" si="55"/>
        <v>124950</v>
      </c>
      <c r="K139" s="64">
        <f t="shared" si="55"/>
        <v>132617</v>
      </c>
      <c r="L139" s="64">
        <f t="shared" si="55"/>
        <v>140789</v>
      </c>
      <c r="M139" s="64">
        <f t="shared" si="55"/>
        <v>145500</v>
      </c>
      <c r="N139" s="64">
        <f t="shared" si="55"/>
        <v>154054</v>
      </c>
      <c r="O139" s="64">
        <f t="shared" si="55"/>
        <v>173806</v>
      </c>
      <c r="P139" s="64">
        <f t="shared" si="55"/>
        <v>177901</v>
      </c>
      <c r="Q139" s="64">
        <f t="shared" si="55"/>
        <v>183553</v>
      </c>
      <c r="R139" s="64">
        <f t="shared" si="55"/>
        <v>195287</v>
      </c>
      <c r="S139" s="64">
        <f>S84</f>
        <v>207759</v>
      </c>
      <c r="T139" s="64">
        <f>T84</f>
        <v>225901</v>
      </c>
    </row>
    <row r="140" spans="1:20" ht="12.75" thickTop="1">
      <c r="A140" s="150"/>
      <c r="B140" s="67"/>
      <c r="C140" s="67"/>
      <c r="D140" s="3" t="s">
        <v>260</v>
      </c>
      <c r="E140" s="67"/>
      <c r="F140" s="93"/>
      <c r="G140" s="123">
        <f>(G139-F139)/F139</f>
        <v>3.6953997677863636E-2</v>
      </c>
      <c r="H140" s="123">
        <f t="shared" ref="H140:T140" si="56">(H139-G139)/G139</f>
        <v>1.8532818532818532E-3</v>
      </c>
      <c r="I140" s="123">
        <f t="shared" si="56"/>
        <v>-3.619546785879451E-2</v>
      </c>
      <c r="J140" s="123">
        <f t="shared" si="56"/>
        <v>-7.5173538914302164E-4</v>
      </c>
      <c r="K140" s="123">
        <f t="shared" si="56"/>
        <v>6.1360544217687073E-2</v>
      </c>
      <c r="L140" s="123">
        <f t="shared" si="56"/>
        <v>6.1621059140230888E-2</v>
      </c>
      <c r="M140" s="123">
        <f t="shared" si="56"/>
        <v>3.3461420991696793E-2</v>
      </c>
      <c r="N140" s="123">
        <f t="shared" si="56"/>
        <v>5.8790378006872854E-2</v>
      </c>
      <c r="O140" s="123">
        <f t="shared" si="56"/>
        <v>0.12821478182974802</v>
      </c>
      <c r="P140" s="123">
        <f t="shared" si="56"/>
        <v>2.3560751642636043E-2</v>
      </c>
      <c r="Q140" s="123">
        <f t="shared" si="56"/>
        <v>3.177047908668304E-2</v>
      </c>
      <c r="R140" s="123">
        <f t="shared" si="56"/>
        <v>6.3927040146442723E-2</v>
      </c>
      <c r="S140" s="123">
        <f t="shared" si="56"/>
        <v>6.3864978211555304E-2</v>
      </c>
      <c r="T140" s="123">
        <f t="shared" si="56"/>
        <v>8.7322330199895076E-2</v>
      </c>
    </row>
    <row r="141" spans="1:20">
      <c r="A141" s="150"/>
      <c r="B141" s="67"/>
      <c r="C141" s="67"/>
      <c r="E141" s="67"/>
      <c r="F141" s="93"/>
      <c r="G141" s="123"/>
      <c r="H141" s="123"/>
      <c r="I141" s="123"/>
      <c r="J141" s="123"/>
      <c r="K141" s="123"/>
      <c r="L141" s="123"/>
      <c r="M141" s="123"/>
      <c r="N141" s="123"/>
      <c r="O141" s="123"/>
      <c r="P141" s="123"/>
      <c r="Q141" s="123"/>
      <c r="R141" s="123"/>
      <c r="S141" s="123"/>
      <c r="T141" s="123"/>
    </row>
    <row r="142" spans="1:20" ht="12.75" thickBot="1">
      <c r="A142" s="30">
        <v>29</v>
      </c>
      <c r="B142" s="67" t="s">
        <v>285</v>
      </c>
      <c r="C142" s="67"/>
      <c r="E142" s="188" t="s">
        <v>286</v>
      </c>
      <c r="F142" s="64">
        <f>F91</f>
        <v>130920</v>
      </c>
      <c r="G142" s="64">
        <f t="shared" ref="G142:R142" si="57">G91</f>
        <v>135524</v>
      </c>
      <c r="H142" s="64">
        <f t="shared" si="57"/>
        <v>136362</v>
      </c>
      <c r="I142" s="64">
        <f t="shared" si="57"/>
        <v>131627</v>
      </c>
      <c r="J142" s="64">
        <f t="shared" si="57"/>
        <v>130718</v>
      </c>
      <c r="K142" s="64">
        <f t="shared" si="57"/>
        <v>140796</v>
      </c>
      <c r="L142" s="64">
        <f t="shared" si="57"/>
        <v>149362</v>
      </c>
      <c r="M142" s="64">
        <f t="shared" si="57"/>
        <v>151699</v>
      </c>
      <c r="N142" s="64">
        <f t="shared" si="57"/>
        <v>169681</v>
      </c>
      <c r="O142" s="64">
        <f t="shared" si="57"/>
        <v>180778</v>
      </c>
      <c r="P142" s="64">
        <f t="shared" si="57"/>
        <v>186920</v>
      </c>
      <c r="Q142" s="64">
        <f t="shared" si="57"/>
        <v>196280</v>
      </c>
      <c r="R142" s="64">
        <f t="shared" si="57"/>
        <v>207578</v>
      </c>
      <c r="S142" s="64">
        <f>S91</f>
        <v>224824</v>
      </c>
      <c r="T142" s="64">
        <f>T91</f>
        <v>250257</v>
      </c>
    </row>
    <row r="143" spans="1:20" ht="12.75" thickTop="1">
      <c r="A143" s="150"/>
      <c r="B143" s="67"/>
      <c r="C143" s="67"/>
      <c r="E143" s="67"/>
      <c r="F143" s="93"/>
      <c r="G143" s="123">
        <f>(G142-F142)/F142</f>
        <v>3.516651390161931E-2</v>
      </c>
      <c r="H143" s="123">
        <f t="shared" ref="H143:T143" si="58">(H142-G142)/G142</f>
        <v>6.1834066290841474E-3</v>
      </c>
      <c r="I143" s="123">
        <f t="shared" si="58"/>
        <v>-3.4723750018333555E-2</v>
      </c>
      <c r="J143" s="123">
        <f t="shared" si="58"/>
        <v>-6.9058779733641275E-3</v>
      </c>
      <c r="K143" s="123">
        <f t="shared" si="58"/>
        <v>7.709726281001851E-2</v>
      </c>
      <c r="L143" s="123">
        <f t="shared" si="58"/>
        <v>6.0839796585130258E-2</v>
      </c>
      <c r="M143" s="123">
        <f t="shared" si="58"/>
        <v>1.5646549992635341E-2</v>
      </c>
      <c r="N143" s="123">
        <f t="shared" si="58"/>
        <v>0.11853736675917442</v>
      </c>
      <c r="O143" s="123">
        <f t="shared" si="58"/>
        <v>6.5399190245224864E-2</v>
      </c>
      <c r="P143" s="123">
        <f t="shared" si="58"/>
        <v>3.3975373109559795E-2</v>
      </c>
      <c r="Q143" s="123">
        <f t="shared" si="58"/>
        <v>5.0074898352236254E-2</v>
      </c>
      <c r="R143" s="123">
        <f t="shared" si="58"/>
        <v>5.7560627674750356E-2</v>
      </c>
      <c r="S143" s="123">
        <f t="shared" si="58"/>
        <v>8.3082022179614412E-2</v>
      </c>
      <c r="T143" s="123">
        <f t="shared" si="58"/>
        <v>0.11312404369640251</v>
      </c>
    </row>
    <row r="144" spans="1:20" ht="7.5" customHeight="1">
      <c r="A144" s="150"/>
      <c r="B144" s="67"/>
      <c r="C144" s="67"/>
      <c r="E144" s="67"/>
      <c r="F144" s="93"/>
      <c r="G144" s="123"/>
      <c r="H144" s="123"/>
      <c r="I144" s="123"/>
      <c r="J144" s="123"/>
      <c r="K144" s="123"/>
      <c r="L144" s="123"/>
      <c r="M144" s="123"/>
      <c r="N144" s="123"/>
      <c r="O144" s="123"/>
      <c r="P144" s="123"/>
      <c r="Q144" s="123"/>
      <c r="R144" s="123"/>
      <c r="S144" s="123"/>
      <c r="T144" s="123"/>
    </row>
    <row r="145" spans="1:20">
      <c r="A145" s="150"/>
      <c r="B145" s="67"/>
      <c r="C145" s="67"/>
      <c r="D145" s="3" t="s">
        <v>289</v>
      </c>
      <c r="E145" s="67"/>
      <c r="F145" s="93"/>
      <c r="G145" s="93"/>
      <c r="H145" s="93"/>
      <c r="I145" s="93"/>
      <c r="J145" s="93"/>
      <c r="K145" s="93"/>
      <c r="L145" s="93"/>
      <c r="M145" s="93"/>
      <c r="N145" s="93"/>
      <c r="O145" s="93"/>
      <c r="P145" s="93"/>
      <c r="Q145" s="93"/>
      <c r="R145" s="93"/>
      <c r="S145" s="93"/>
      <c r="T145" s="93"/>
    </row>
    <row r="146" spans="1:20">
      <c r="A146" s="30">
        <v>30</v>
      </c>
      <c r="B146" s="3" t="s">
        <v>291</v>
      </c>
      <c r="C146" s="67"/>
      <c r="D146" s="67"/>
      <c r="E146" s="188" t="s">
        <v>287</v>
      </c>
      <c r="F146" s="93">
        <f>F14</f>
        <v>2377</v>
      </c>
      <c r="G146" s="93">
        <f t="shared" ref="G146:R146" si="59">G14</f>
        <v>2541</v>
      </c>
      <c r="H146" s="93">
        <f t="shared" si="59"/>
        <v>2340</v>
      </c>
      <c r="I146" s="93">
        <f t="shared" si="59"/>
        <v>2183</v>
      </c>
      <c r="J146" s="93">
        <f t="shared" si="59"/>
        <v>2168</v>
      </c>
      <c r="K146" s="93">
        <f t="shared" si="59"/>
        <v>30131</v>
      </c>
      <c r="L146" s="93">
        <f t="shared" si="59"/>
        <v>2372</v>
      </c>
      <c r="M146" s="93">
        <f t="shared" si="59"/>
        <v>68416</v>
      </c>
      <c r="N146" s="93">
        <f t="shared" si="59"/>
        <v>153093</v>
      </c>
      <c r="O146" s="93">
        <f t="shared" si="59"/>
        <v>84085</v>
      </c>
      <c r="P146" s="93">
        <f t="shared" si="59"/>
        <v>115257</v>
      </c>
      <c r="Q146" s="93">
        <f t="shared" si="59"/>
        <v>98841</v>
      </c>
      <c r="R146" s="93">
        <f t="shared" si="59"/>
        <v>68107</v>
      </c>
      <c r="S146" s="93">
        <f>S14</f>
        <v>403</v>
      </c>
      <c r="T146" s="93">
        <f>T14</f>
        <v>332</v>
      </c>
    </row>
    <row r="147" spans="1:20">
      <c r="A147" s="30">
        <v>31</v>
      </c>
      <c r="B147" s="3" t="s">
        <v>288</v>
      </c>
      <c r="C147" s="67"/>
      <c r="D147" s="67"/>
      <c r="E147" s="67"/>
      <c r="F147" s="93">
        <f>'Riders and Gas Cost Revenue'!H13</f>
        <v>-242</v>
      </c>
      <c r="G147" s="93">
        <f>'Riders and Gas Cost Revenue'!J13</f>
        <v>-244</v>
      </c>
      <c r="H147" s="93">
        <f>'Riders and Gas Cost Revenue'!L13</f>
        <v>-144</v>
      </c>
      <c r="I147" s="93">
        <f>'Riders and Gas Cost Revenue'!N13</f>
        <v>0</v>
      </c>
      <c r="J147" s="93">
        <f>'Riders and Gas Cost Revenue'!P13</f>
        <v>0</v>
      </c>
      <c r="K147" s="93">
        <f>'Riders and Gas Cost Revenue'!R13</f>
        <v>-28334</v>
      </c>
      <c r="L147" s="93">
        <f>'Riders and Gas Cost Revenue'!T13</f>
        <v>0</v>
      </c>
      <c r="M147" s="93">
        <f>'Riders and Gas Cost Revenue'!W13</f>
        <v>-66686</v>
      </c>
      <c r="N147" s="93">
        <f>'Riders and Gas Cost Revenue'!Z13</f>
        <v>-153018</v>
      </c>
      <c r="O147" s="93">
        <f>'Riders and Gas Cost Revenue'!AC13</f>
        <v>-83992</v>
      </c>
      <c r="P147" s="93">
        <f>'Riders and Gas Cost Revenue'!AF13</f>
        <v>-115193</v>
      </c>
      <c r="Q147" s="93">
        <f>'Riders and Gas Cost Revenue'!AI13</f>
        <v>-98794</v>
      </c>
      <c r="R147" s="93">
        <f>'Riders and Gas Cost Revenue'!AL13</f>
        <v>-67822</v>
      </c>
      <c r="S147" s="248">
        <f>'Riders and Gas Cost Revenue'!AO13</f>
        <v>0</v>
      </c>
      <c r="T147" s="248">
        <f>'Riders and Gas Cost Revenue'!AR13</f>
        <v>0</v>
      </c>
    </row>
    <row r="148" spans="1:20">
      <c r="A148" s="30">
        <v>32</v>
      </c>
      <c r="B148" s="3" t="s">
        <v>292</v>
      </c>
      <c r="C148" s="67"/>
      <c r="D148" s="67"/>
      <c r="E148" s="67"/>
      <c r="F148" s="93">
        <v>-2130</v>
      </c>
      <c r="G148" s="93">
        <v>-2289</v>
      </c>
      <c r="H148" s="93">
        <v>-2187</v>
      </c>
      <c r="I148" s="93">
        <v>-2174</v>
      </c>
      <c r="J148" s="93">
        <v>-2156</v>
      </c>
      <c r="K148" s="93">
        <v>-1723</v>
      </c>
      <c r="L148" s="93">
        <v>-2361</v>
      </c>
      <c r="M148" s="93">
        <v>-1717</v>
      </c>
      <c r="N148" s="93">
        <v>0</v>
      </c>
      <c r="O148" s="93">
        <v>0</v>
      </c>
      <c r="P148" s="93">
        <v>0</v>
      </c>
      <c r="Q148" s="93">
        <v>0</v>
      </c>
      <c r="R148" s="93">
        <v>0</v>
      </c>
      <c r="S148" s="93">
        <v>0</v>
      </c>
      <c r="T148" s="93">
        <v>0</v>
      </c>
    </row>
    <row r="149" spans="1:20" ht="12.75" thickBot="1">
      <c r="A149" s="30">
        <v>33</v>
      </c>
      <c r="B149" s="67" t="s">
        <v>290</v>
      </c>
      <c r="C149" s="67"/>
      <c r="D149" s="67"/>
      <c r="E149" s="67"/>
      <c r="F149" s="64">
        <f>SUM(F146:F148)</f>
        <v>5</v>
      </c>
      <c r="G149" s="64">
        <f t="shared" ref="G149:R149" si="60">SUM(G146:G148)</f>
        <v>8</v>
      </c>
      <c r="H149" s="64">
        <f t="shared" si="60"/>
        <v>9</v>
      </c>
      <c r="I149" s="64">
        <f t="shared" si="60"/>
        <v>9</v>
      </c>
      <c r="J149" s="64">
        <f t="shared" si="60"/>
        <v>12</v>
      </c>
      <c r="K149" s="64">
        <f t="shared" si="60"/>
        <v>74</v>
      </c>
      <c r="L149" s="64">
        <f t="shared" si="60"/>
        <v>11</v>
      </c>
      <c r="M149" s="64">
        <f t="shared" si="60"/>
        <v>13</v>
      </c>
      <c r="N149" s="64">
        <f t="shared" si="60"/>
        <v>75</v>
      </c>
      <c r="O149" s="64">
        <f t="shared" si="60"/>
        <v>93</v>
      </c>
      <c r="P149" s="64">
        <f t="shared" si="60"/>
        <v>64</v>
      </c>
      <c r="Q149" s="64">
        <f t="shared" si="60"/>
        <v>47</v>
      </c>
      <c r="R149" s="64">
        <f t="shared" si="60"/>
        <v>285</v>
      </c>
      <c r="S149" s="64">
        <f>SUM(S146:S148)</f>
        <v>403</v>
      </c>
      <c r="T149" s="64">
        <f>SUM(T146:T148)</f>
        <v>332</v>
      </c>
    </row>
    <row r="150" spans="1:20" ht="12.75" thickTop="1">
      <c r="A150" s="30"/>
      <c r="B150" s="67"/>
      <c r="C150" s="67"/>
      <c r="D150" s="3" t="s">
        <v>260</v>
      </c>
      <c r="E150" s="67"/>
      <c r="F150" s="93"/>
      <c r="G150" s="123">
        <f>(G149-F149)/F149</f>
        <v>0.6</v>
      </c>
      <c r="H150" s="123">
        <f t="shared" ref="H150:T150" si="61">(H149-G149)/G149</f>
        <v>0.125</v>
      </c>
      <c r="I150" s="123">
        <f t="shared" si="61"/>
        <v>0</v>
      </c>
      <c r="J150" s="123">
        <f t="shared" si="61"/>
        <v>0.33333333333333331</v>
      </c>
      <c r="K150" s="123">
        <f t="shared" si="61"/>
        <v>5.166666666666667</v>
      </c>
      <c r="L150" s="123">
        <f t="shared" si="61"/>
        <v>-0.85135135135135132</v>
      </c>
      <c r="M150" s="123">
        <f t="shared" si="61"/>
        <v>0.18181818181818182</v>
      </c>
      <c r="N150" s="123">
        <f t="shared" si="61"/>
        <v>4.7692307692307692</v>
      </c>
      <c r="O150" s="123">
        <f t="shared" si="61"/>
        <v>0.24</v>
      </c>
      <c r="P150" s="123">
        <f t="shared" si="61"/>
        <v>-0.31182795698924731</v>
      </c>
      <c r="Q150" s="123">
        <f t="shared" si="61"/>
        <v>-0.265625</v>
      </c>
      <c r="R150" s="123">
        <f t="shared" si="61"/>
        <v>5.0638297872340425</v>
      </c>
      <c r="S150" s="123">
        <f t="shared" si="61"/>
        <v>0.41403508771929826</v>
      </c>
      <c r="T150" s="123">
        <f t="shared" si="61"/>
        <v>-0.17617866004962779</v>
      </c>
    </row>
    <row r="151" spans="1:20" ht="6.75" customHeight="1">
      <c r="A151" s="150"/>
      <c r="B151" s="67"/>
      <c r="C151" s="67"/>
      <c r="D151" s="67"/>
      <c r="E151" s="67"/>
      <c r="F151" s="93"/>
      <c r="G151" s="93"/>
      <c r="H151" s="93"/>
      <c r="I151" s="93"/>
      <c r="J151" s="93"/>
      <c r="K151" s="93"/>
      <c r="L151" s="93"/>
      <c r="M151" s="93"/>
      <c r="N151" s="93"/>
      <c r="O151" s="93"/>
      <c r="P151" s="93"/>
      <c r="Q151" s="93"/>
      <c r="R151" s="93"/>
    </row>
    <row r="152" spans="1:20" ht="12.75">
      <c r="A152" s="206" t="s">
        <v>43</v>
      </c>
      <c r="B152"/>
      <c r="C152"/>
      <c r="D152"/>
      <c r="E152"/>
      <c r="F152"/>
      <c r="G152"/>
      <c r="H152"/>
      <c r="I152"/>
      <c r="J152"/>
      <c r="K152"/>
      <c r="L152"/>
      <c r="M152"/>
      <c r="N152"/>
      <c r="O152"/>
      <c r="R152" s="4"/>
    </row>
    <row r="153" spans="1:20" ht="12.75">
      <c r="A153" s="206" t="s">
        <v>48</v>
      </c>
      <c r="B153"/>
      <c r="C153"/>
      <c r="D153"/>
      <c r="E153"/>
      <c r="F153"/>
      <c r="G153"/>
      <c r="H153"/>
      <c r="I153"/>
      <c r="J153"/>
      <c r="K153"/>
      <c r="L153"/>
      <c r="M153"/>
      <c r="N153"/>
      <c r="O153"/>
      <c r="R153" s="4"/>
    </row>
    <row r="154" spans="1:20" ht="12.75">
      <c r="A154" s="206" t="s">
        <v>118</v>
      </c>
      <c r="B154"/>
      <c r="C154"/>
      <c r="D154"/>
      <c r="E154"/>
      <c r="F154"/>
      <c r="G154"/>
      <c r="H154"/>
      <c r="I154"/>
      <c r="J154"/>
      <c r="K154"/>
      <c r="L154"/>
      <c r="M154"/>
      <c r="N154"/>
      <c r="O154"/>
      <c r="R154" s="4"/>
    </row>
    <row r="155" spans="1:20" ht="3.6" customHeight="1">
      <c r="A155"/>
      <c r="B155"/>
      <c r="C155"/>
      <c r="D155"/>
      <c r="E155"/>
      <c r="F155"/>
      <c r="G155"/>
      <c r="H155"/>
      <c r="I155"/>
      <c r="J155"/>
      <c r="K155"/>
      <c r="L155"/>
      <c r="M155"/>
      <c r="N155"/>
      <c r="O155"/>
      <c r="R155" s="4"/>
    </row>
    <row r="156" spans="1:20" ht="15.75">
      <c r="A156" s="30" t="s">
        <v>0</v>
      </c>
      <c r="B156"/>
      <c r="C156"/>
      <c r="D156"/>
      <c r="E156" s="577" t="s">
        <v>242</v>
      </c>
      <c r="F156" s="577"/>
      <c r="G156" s="577"/>
      <c r="H156" s="577"/>
      <c r="I156" s="577"/>
      <c r="J156" s="577"/>
      <c r="K156" s="577"/>
      <c r="L156" s="577"/>
      <c r="M156" s="577"/>
      <c r="N156" s="577"/>
      <c r="O156" s="577"/>
      <c r="P156" s="577"/>
      <c r="Q156" s="577"/>
      <c r="R156" s="577"/>
      <c r="T156" s="389"/>
    </row>
    <row r="157" spans="1:20" ht="12.75">
      <c r="A157" s="74" t="s">
        <v>2</v>
      </c>
      <c r="B157" s="72" t="s">
        <v>73</v>
      </c>
      <c r="C157" s="72"/>
      <c r="D157" s="73"/>
      <c r="E157" s="73"/>
      <c r="F157" s="62"/>
      <c r="G157" s="208"/>
      <c r="H157" s="208" t="s">
        <v>74</v>
      </c>
      <c r="I157" s="208" t="s">
        <v>75</v>
      </c>
      <c r="J157" s="208" t="s">
        <v>76</v>
      </c>
      <c r="K157" s="208" t="s">
        <v>77</v>
      </c>
      <c r="L157" s="208" t="s">
        <v>78</v>
      </c>
      <c r="M157" s="208" t="s">
        <v>79</v>
      </c>
      <c r="N157" s="208" t="s">
        <v>80</v>
      </c>
      <c r="O157" s="208" t="s">
        <v>81</v>
      </c>
      <c r="P157" s="208" t="s">
        <v>82</v>
      </c>
      <c r="Q157" s="208" t="s">
        <v>83</v>
      </c>
      <c r="R157" s="208" t="s">
        <v>133</v>
      </c>
      <c r="S157" s="208" t="s">
        <v>392</v>
      </c>
      <c r="T157" s="208" t="s">
        <v>485</v>
      </c>
    </row>
    <row r="158" spans="1:20" ht="12.75">
      <c r="B158"/>
      <c r="C158"/>
      <c r="D158"/>
      <c r="E158"/>
      <c r="F158"/>
      <c r="G158"/>
      <c r="H158"/>
      <c r="I158"/>
      <c r="J158"/>
      <c r="K158"/>
      <c r="L158"/>
      <c r="M158"/>
      <c r="N158"/>
      <c r="O158"/>
      <c r="R158" s="4"/>
      <c r="S158" s="4"/>
      <c r="T158" s="4"/>
    </row>
    <row r="159" spans="1:20" ht="12.75">
      <c r="A159" s="22">
        <v>1</v>
      </c>
      <c r="B159" s="66" t="s">
        <v>269</v>
      </c>
      <c r="C159"/>
      <c r="D159"/>
      <c r="E159"/>
      <c r="F159"/>
      <c r="G159" s="71"/>
      <c r="H159" s="71">
        <f t="shared" ref="H159:R159" si="62">(H113-G113)/G113</f>
        <v>0.20461642074328049</v>
      </c>
      <c r="I159" s="71">
        <f t="shared" si="62"/>
        <v>5.6315120711562895E-2</v>
      </c>
      <c r="J159" s="71">
        <f t="shared" si="62"/>
        <v>-3.8589231583505752E-2</v>
      </c>
      <c r="K159" s="71">
        <f t="shared" si="62"/>
        <v>3.1129573094439717E-2</v>
      </c>
      <c r="L159" s="71">
        <f t="shared" si="62"/>
        <v>-3.7858564286754356E-3</v>
      </c>
      <c r="M159" s="71">
        <f t="shared" si="62"/>
        <v>3.3130328867235076E-2</v>
      </c>
      <c r="N159" s="71">
        <f t="shared" si="62"/>
        <v>2.7917943881160104E-2</v>
      </c>
      <c r="O159" s="71">
        <f t="shared" si="62"/>
        <v>0.12859567830435381</v>
      </c>
      <c r="P159" s="71">
        <f t="shared" si="62"/>
        <v>5.727642276422764E-2</v>
      </c>
      <c r="Q159" s="71">
        <f t="shared" si="62"/>
        <v>7.0854432773270706E-2</v>
      </c>
      <c r="R159" s="71">
        <f t="shared" si="62"/>
        <v>0.10437894613525288</v>
      </c>
      <c r="S159" s="71">
        <f>(S113-R113)/R113</f>
        <v>9.6882213335934206E-3</v>
      </c>
      <c r="T159" s="71">
        <f>(T113-S113)/S113</f>
        <v>1.3555720127507486E-2</v>
      </c>
    </row>
    <row r="160" spans="1:20" ht="12.75">
      <c r="B160"/>
      <c r="C160"/>
      <c r="D160"/>
      <c r="E160"/>
      <c r="F160"/>
      <c r="G160"/>
      <c r="H160"/>
      <c r="I160"/>
      <c r="J160"/>
      <c r="K160"/>
      <c r="L160"/>
      <c r="M160"/>
      <c r="N160"/>
      <c r="O160"/>
      <c r="R160" s="4"/>
      <c r="S160" s="4"/>
      <c r="T160" s="4"/>
    </row>
    <row r="161" spans="1:25" ht="12.75">
      <c r="A161" s="22">
        <v>2</v>
      </c>
      <c r="B161" s="66" t="s">
        <v>476</v>
      </c>
      <c r="C161"/>
      <c r="D161"/>
      <c r="E161"/>
      <c r="F161"/>
      <c r="G161" s="71"/>
      <c r="H161" s="71">
        <f t="shared" ref="H161:T161" si="63">(H120-G120)/G120</f>
        <v>6.0097833682739341E-2</v>
      </c>
      <c r="I161" s="71">
        <f t="shared" si="63"/>
        <v>5.1252471984179301E-2</v>
      </c>
      <c r="J161" s="71">
        <f t="shared" si="63"/>
        <v>1.8811725975858284E-3</v>
      </c>
      <c r="K161" s="71">
        <f t="shared" si="63"/>
        <v>5.4764512595837894E-2</v>
      </c>
      <c r="L161" s="71">
        <f t="shared" si="63"/>
        <v>3.2932799287939477E-2</v>
      </c>
      <c r="M161" s="71">
        <f t="shared" si="63"/>
        <v>6.4627315812149935E-2</v>
      </c>
      <c r="N161" s="71">
        <f t="shared" si="63"/>
        <v>4.5730473492513156E-2</v>
      </c>
      <c r="O161" s="71">
        <f t="shared" si="63"/>
        <v>9.0815273477812181E-2</v>
      </c>
      <c r="P161" s="71">
        <f t="shared" si="63"/>
        <v>7.9351939451277206E-2</v>
      </c>
      <c r="Q161" s="71">
        <f t="shared" si="63"/>
        <v>7.1326832475073959E-2</v>
      </c>
      <c r="R161" s="71">
        <f t="shared" si="63"/>
        <v>9.3475148292084267E-2</v>
      </c>
      <c r="S161" s="71">
        <f t="shared" si="63"/>
        <v>0.1385147774036663</v>
      </c>
      <c r="T161" s="71">
        <f t="shared" si="63"/>
        <v>9.2910539719050361E-2</v>
      </c>
    </row>
    <row r="162" spans="1:25" ht="12.75">
      <c r="B162"/>
      <c r="C162"/>
      <c r="D162"/>
      <c r="E162"/>
      <c r="F162"/>
      <c r="G162"/>
      <c r="H162"/>
      <c r="I162"/>
      <c r="J162"/>
      <c r="K162"/>
      <c r="L162"/>
      <c r="M162"/>
      <c r="N162"/>
      <c r="O162"/>
      <c r="R162" s="4"/>
      <c r="S162" s="4"/>
      <c r="T162" s="4"/>
    </row>
    <row r="163" spans="1:25" ht="12.75">
      <c r="A163" s="22">
        <v>3</v>
      </c>
      <c r="B163" s="67" t="s">
        <v>478</v>
      </c>
      <c r="C163"/>
      <c r="D163"/>
      <c r="E163"/>
      <c r="F163"/>
      <c r="G163" s="71"/>
      <c r="H163" s="71">
        <f t="shared" ref="H163:T163" si="64">(H136-G136)/G136</f>
        <v>0.192689964732286</v>
      </c>
      <c r="I163" s="71">
        <f t="shared" si="64"/>
        <v>-9.4892473118279572E-2</v>
      </c>
      <c r="J163" s="71">
        <f t="shared" si="64"/>
        <v>0.1182061182061182</v>
      </c>
      <c r="K163" s="97">
        <f t="shared" si="64"/>
        <v>-0.10836653386454183</v>
      </c>
      <c r="L163" s="71">
        <f t="shared" si="64"/>
        <v>6.9109323801012812E-2</v>
      </c>
      <c r="M163" s="71">
        <f t="shared" si="64"/>
        <v>-1.337419894120925E-2</v>
      </c>
      <c r="N163" s="71">
        <f t="shared" si="64"/>
        <v>-0.16379553798362045</v>
      </c>
      <c r="O163" s="71">
        <f t="shared" si="64"/>
        <v>0.25903411009793986</v>
      </c>
      <c r="P163" s="71">
        <f t="shared" si="64"/>
        <v>2.8433476394849784E-2</v>
      </c>
      <c r="Q163" s="71">
        <f t="shared" si="64"/>
        <v>0.12589314736567569</v>
      </c>
      <c r="R163" s="71">
        <f t="shared" si="64"/>
        <v>6.3781896002181149E-2</v>
      </c>
      <c r="S163" s="71">
        <f t="shared" si="64"/>
        <v>0.13044425087108014</v>
      </c>
      <c r="T163" s="71">
        <f t="shared" si="64"/>
        <v>6.3956848391446733E-2</v>
      </c>
    </row>
    <row r="164" spans="1:25" ht="12.75">
      <c r="B164"/>
      <c r="C164"/>
      <c r="D164"/>
      <c r="E164"/>
      <c r="F164"/>
      <c r="G164"/>
      <c r="H164"/>
      <c r="I164"/>
      <c r="J164"/>
      <c r="K164"/>
      <c r="L164"/>
      <c r="M164"/>
      <c r="N164"/>
      <c r="O164"/>
      <c r="R164" s="4"/>
      <c r="S164" s="4"/>
      <c r="T164" s="4"/>
    </row>
    <row r="165" spans="1:25" ht="12.75">
      <c r="A165" s="22">
        <v>4</v>
      </c>
      <c r="B165" s="68" t="s">
        <v>50</v>
      </c>
      <c r="C165"/>
      <c r="D165"/>
      <c r="E165"/>
      <c r="F165"/>
      <c r="G165" s="71"/>
      <c r="H165" s="71">
        <f t="shared" ref="H165:T165" si="65">(H84-G84)/G84</f>
        <v>1.8532818532818532E-3</v>
      </c>
      <c r="I165" s="71">
        <f t="shared" si="65"/>
        <v>-3.619546785879451E-2</v>
      </c>
      <c r="J165" s="71">
        <f t="shared" si="65"/>
        <v>-7.5173538914302164E-4</v>
      </c>
      <c r="K165" s="71">
        <f t="shared" si="65"/>
        <v>6.1360544217687073E-2</v>
      </c>
      <c r="L165" s="71">
        <f t="shared" si="65"/>
        <v>6.1621059140230888E-2</v>
      </c>
      <c r="M165" s="71">
        <f t="shared" si="65"/>
        <v>3.3461420991696793E-2</v>
      </c>
      <c r="N165" s="71">
        <f t="shared" si="65"/>
        <v>5.8790378006872854E-2</v>
      </c>
      <c r="O165" s="71">
        <f t="shared" si="65"/>
        <v>0.12821478182974802</v>
      </c>
      <c r="P165" s="71">
        <f t="shared" si="65"/>
        <v>2.3560751642636043E-2</v>
      </c>
      <c r="Q165" s="71">
        <f t="shared" si="65"/>
        <v>3.177047908668304E-2</v>
      </c>
      <c r="R165" s="71">
        <f t="shared" si="65"/>
        <v>6.3927040146442723E-2</v>
      </c>
      <c r="S165" s="71">
        <f t="shared" si="65"/>
        <v>6.3864978211555304E-2</v>
      </c>
      <c r="T165" s="71">
        <f t="shared" si="65"/>
        <v>8.7322330199895076E-2</v>
      </c>
    </row>
    <row r="166" spans="1:25" ht="12.75">
      <c r="B166" s="68"/>
      <c r="C166"/>
      <c r="D166"/>
      <c r="E166"/>
      <c r="F166"/>
      <c r="G166" s="71"/>
      <c r="H166" s="71"/>
      <c r="I166" s="71"/>
      <c r="J166" s="71"/>
      <c r="K166" s="71"/>
      <c r="L166" s="71"/>
      <c r="M166" s="71"/>
      <c r="N166" s="71"/>
      <c r="O166" s="71"/>
      <c r="P166" s="71"/>
      <c r="Q166" s="71"/>
      <c r="R166" s="71"/>
      <c r="S166" s="71"/>
      <c r="T166" s="71"/>
    </row>
    <row r="167" spans="1:25" ht="12.75">
      <c r="A167" s="22">
        <v>5</v>
      </c>
      <c r="B167" s="68" t="s">
        <v>72</v>
      </c>
      <c r="C167"/>
      <c r="D167"/>
      <c r="E167"/>
      <c r="F167"/>
      <c r="G167" s="71"/>
      <c r="H167" s="71">
        <f t="shared" ref="H167:T167" si="66">(H91-G91)/G91</f>
        <v>6.1834066290841474E-3</v>
      </c>
      <c r="I167" s="71">
        <f t="shared" si="66"/>
        <v>-3.4723750018333555E-2</v>
      </c>
      <c r="J167" s="71">
        <f t="shared" si="66"/>
        <v>-6.9058779733641275E-3</v>
      </c>
      <c r="K167" s="71">
        <f t="shared" si="66"/>
        <v>7.709726281001851E-2</v>
      </c>
      <c r="L167" s="71">
        <f t="shared" si="66"/>
        <v>6.0839796585130258E-2</v>
      </c>
      <c r="M167" s="71">
        <f t="shared" si="66"/>
        <v>1.5646549992635341E-2</v>
      </c>
      <c r="N167" s="71">
        <f t="shared" si="66"/>
        <v>0.11853736675917442</v>
      </c>
      <c r="O167" s="71">
        <f t="shared" si="66"/>
        <v>6.5399190245224864E-2</v>
      </c>
      <c r="P167" s="71">
        <f t="shared" si="66"/>
        <v>3.3975373109559795E-2</v>
      </c>
      <c r="Q167" s="71">
        <f t="shared" si="66"/>
        <v>5.0074898352236254E-2</v>
      </c>
      <c r="R167" s="71">
        <f t="shared" si="66"/>
        <v>5.7560627674750356E-2</v>
      </c>
      <c r="S167" s="71">
        <f t="shared" si="66"/>
        <v>8.3082022179614412E-2</v>
      </c>
      <c r="T167" s="71">
        <f t="shared" si="66"/>
        <v>0.11312404369640251</v>
      </c>
    </row>
    <row r="168" spans="1:25" ht="12.75">
      <c r="B168" s="68"/>
      <c r="C168"/>
      <c r="D168"/>
      <c r="E168"/>
      <c r="F168"/>
      <c r="G168" s="71"/>
      <c r="H168" s="71"/>
      <c r="I168" s="71"/>
      <c r="J168" s="71"/>
      <c r="K168" s="71"/>
      <c r="L168" s="71"/>
      <c r="M168" s="71"/>
      <c r="N168" s="71"/>
      <c r="O168" s="71"/>
      <c r="P168" s="71"/>
      <c r="Q168" s="71"/>
      <c r="R168" s="71"/>
      <c r="S168" s="71"/>
      <c r="T168" s="71"/>
    </row>
    <row r="169" spans="1:25" ht="12.75">
      <c r="A169" s="22">
        <v>6</v>
      </c>
      <c r="B169" s="68" t="s">
        <v>165</v>
      </c>
      <c r="C169"/>
      <c r="D169"/>
      <c r="E169"/>
      <c r="F169"/>
      <c r="H169" s="220" t="s">
        <v>295</v>
      </c>
      <c r="I169" s="71"/>
      <c r="J169" s="71"/>
      <c r="K169" s="71"/>
      <c r="L169" s="71"/>
      <c r="M169" s="71"/>
      <c r="N169" s="71"/>
      <c r="O169" s="71"/>
      <c r="P169" s="71"/>
      <c r="Q169" s="71"/>
      <c r="R169" s="71"/>
      <c r="S169" s="71"/>
      <c r="T169" s="71"/>
      <c r="Y169" s="331"/>
    </row>
    <row r="170" spans="1:25" ht="12.75">
      <c r="B170"/>
      <c r="C170"/>
      <c r="D170"/>
      <c r="E170"/>
      <c r="F170"/>
      <c r="G170"/>
      <c r="H170"/>
      <c r="I170"/>
      <c r="J170"/>
      <c r="K170"/>
      <c r="L170"/>
      <c r="M170"/>
      <c r="N170"/>
      <c r="O170"/>
      <c r="R170" s="4"/>
      <c r="S170" s="4"/>
      <c r="T170" s="4"/>
    </row>
    <row r="171" spans="1:25" ht="12.75">
      <c r="B171" s="72" t="s">
        <v>521</v>
      </c>
      <c r="C171" s="72"/>
      <c r="D171" s="73"/>
      <c r="E171" s="73"/>
      <c r="F171" s="62"/>
      <c r="G171" s="208"/>
      <c r="H171" s="208" t="s">
        <v>486</v>
      </c>
      <c r="I171" s="208" t="s">
        <v>487</v>
      </c>
      <c r="J171" s="208" t="s">
        <v>488</v>
      </c>
      <c r="K171" s="208" t="s">
        <v>489</v>
      </c>
      <c r="L171" s="208" t="s">
        <v>490</v>
      </c>
      <c r="M171" s="208" t="s">
        <v>491</v>
      </c>
      <c r="N171" s="208" t="s">
        <v>492</v>
      </c>
      <c r="O171" s="208" t="s">
        <v>493</v>
      </c>
      <c r="P171" s="208" t="s">
        <v>494</v>
      </c>
      <c r="Q171" s="208" t="s">
        <v>495</v>
      </c>
      <c r="R171" s="208" t="s">
        <v>496</v>
      </c>
      <c r="S171" s="208" t="s">
        <v>484</v>
      </c>
      <c r="T171" s="208" t="s">
        <v>485</v>
      </c>
    </row>
    <row r="172" spans="1:25" ht="6.75" customHeight="1" thickBot="1">
      <c r="B172"/>
      <c r="C172"/>
      <c r="D172"/>
      <c r="E172"/>
      <c r="F172"/>
      <c r="G172"/>
      <c r="H172"/>
      <c r="I172"/>
      <c r="J172"/>
      <c r="K172"/>
      <c r="L172"/>
      <c r="M172"/>
      <c r="N172"/>
      <c r="O172"/>
      <c r="R172" s="4"/>
      <c r="S172" s="4"/>
      <c r="T172" s="4"/>
    </row>
    <row r="173" spans="1:25" ht="12.75">
      <c r="A173" s="22">
        <v>7</v>
      </c>
      <c r="B173" s="66" t="s">
        <v>269</v>
      </c>
      <c r="C173"/>
      <c r="D173"/>
      <c r="E173"/>
      <c r="F173"/>
      <c r="G173" s="71"/>
      <c r="H173" s="71">
        <f>RATE(13,,-G113,$T113)</f>
        <v>5.1764605082836222E-2</v>
      </c>
      <c r="I173" s="71">
        <f>RATE(12,,-H113,$T113)</f>
        <v>3.9938601684621704E-2</v>
      </c>
      <c r="J173" s="71">
        <f>RATE(11,,-I113,$T113)</f>
        <v>3.8462476521519906E-2</v>
      </c>
      <c r="K173" s="71">
        <f>RATE(10,,-J113,$T113)</f>
        <v>4.6499417944423221E-2</v>
      </c>
      <c r="L173" s="71">
        <f>RATE(9,,-K113,$T113)</f>
        <v>4.8221258456456605E-2</v>
      </c>
      <c r="M173" s="71">
        <f>RATE(8,,-L113,$T113)</f>
        <v>5.4910209918298244E-2</v>
      </c>
      <c r="N173" s="355">
        <f>RATE(7,,-M113,$T113)</f>
        <v>5.8058879663492262E-2</v>
      </c>
      <c r="O173" s="71">
        <f>RATE(6,,-N113,$T113)</f>
        <v>6.3167603545933274E-2</v>
      </c>
      <c r="P173" s="71">
        <f>RATE(5,,-O113,$T113)</f>
        <v>5.0544382393573797E-2</v>
      </c>
      <c r="Q173" s="71">
        <f>RATE(4,,-P113,$T113)</f>
        <v>4.8868080680144206E-2</v>
      </c>
      <c r="R173" s="71">
        <f>RATE(3,,-Q113,$T113)</f>
        <v>4.1640072729124365E-2</v>
      </c>
      <c r="S173" s="71">
        <f>RATE(2,,-R113,$T113)</f>
        <v>1.1620122515379841E-2</v>
      </c>
      <c r="T173" s="71">
        <f>RATE(1,,-S113,$T113)</f>
        <v>1.3555720127507465E-2</v>
      </c>
    </row>
    <row r="174" spans="1:25" ht="8.25" customHeight="1">
      <c r="B174" s="66"/>
      <c r="C174"/>
      <c r="D174"/>
      <c r="E174"/>
      <c r="F174"/>
      <c r="G174" s="71"/>
      <c r="H174" s="71"/>
      <c r="I174" s="71"/>
      <c r="J174" s="71"/>
      <c r="K174" s="71"/>
      <c r="L174" s="71"/>
      <c r="M174" s="71"/>
      <c r="N174" s="354"/>
      <c r="O174" s="71"/>
      <c r="P174" s="71"/>
      <c r="Q174" s="71"/>
      <c r="R174" s="71"/>
      <c r="S174" s="71"/>
      <c r="T174" s="71"/>
    </row>
    <row r="175" spans="1:25" ht="12.75">
      <c r="A175" s="22" t="s">
        <v>243</v>
      </c>
      <c r="B175" s="215" t="s">
        <v>518</v>
      </c>
      <c r="C175"/>
      <c r="D175"/>
      <c r="E175"/>
      <c r="F175"/>
      <c r="G175" s="71"/>
      <c r="H175" s="71"/>
      <c r="I175" s="71"/>
      <c r="J175" s="71"/>
      <c r="K175" s="71"/>
      <c r="L175" s="71"/>
      <c r="M175" s="71"/>
      <c r="N175" s="390">
        <v>0.03</v>
      </c>
      <c r="O175" s="71"/>
      <c r="P175" s="71"/>
      <c r="Q175" s="71"/>
      <c r="R175" s="71"/>
      <c r="S175" s="71"/>
      <c r="T175" s="71"/>
    </row>
    <row r="176" spans="1:25" ht="4.5" customHeight="1">
      <c r="B176" s="66"/>
      <c r="C176"/>
      <c r="D176"/>
      <c r="E176"/>
      <c r="F176"/>
      <c r="G176" s="134"/>
      <c r="H176" s="71"/>
      <c r="I176" s="71"/>
      <c r="J176" s="71"/>
      <c r="K176" s="71"/>
      <c r="L176" s="71"/>
      <c r="M176" s="71"/>
      <c r="N176" s="356"/>
      <c r="O176" s="71"/>
      <c r="P176" s="71"/>
      <c r="Q176" s="71"/>
      <c r="R176" s="71"/>
      <c r="S176" s="71"/>
      <c r="T176" s="71"/>
    </row>
    <row r="177" spans="1:25" ht="12.75">
      <c r="A177" s="22">
        <v>9</v>
      </c>
      <c r="B177" s="66" t="s">
        <v>476</v>
      </c>
      <c r="C177"/>
      <c r="D177"/>
      <c r="E177"/>
      <c r="F177"/>
      <c r="G177" s="134"/>
      <c r="H177" s="71">
        <f>RATE(13,,-G120,$T120)</f>
        <v>6.702743374683795E-2</v>
      </c>
      <c r="I177" s="71">
        <f>RATE(12,,-H120,$T120)</f>
        <v>6.7606941008443708E-2</v>
      </c>
      <c r="J177" s="71">
        <f>RATE(11,,-I120,$T120)</f>
        <v>6.9106268173088167E-2</v>
      </c>
      <c r="K177" s="71">
        <f>RATE(10,,-J120,$T120)</f>
        <v>7.6072027034380249E-2</v>
      </c>
      <c r="L177" s="71">
        <f>RATE(9,,-K120,$T120)</f>
        <v>7.8465941315540244E-2</v>
      </c>
      <c r="M177" s="71">
        <f>RATE(8,,-L120,$T120)</f>
        <v>8.4296934954186942E-2</v>
      </c>
      <c r="N177" s="357">
        <f>RATE(7,,-M120,$T120)</f>
        <v>8.7136391223947646E-2</v>
      </c>
      <c r="O177" s="71">
        <f>RATE(6,,-N120,$T120)</f>
        <v>9.4195049014548005E-2</v>
      </c>
      <c r="P177" s="71">
        <f>RATE(5,,-O120,$T120)</f>
        <v>9.4872259710231069E-2</v>
      </c>
      <c r="Q177" s="71">
        <f>RATE(4,,-P120,$T120)</f>
        <v>9.8787085714715756E-2</v>
      </c>
      <c r="R177" s="71">
        <f>RATE(3,,-Q120,$T120)</f>
        <v>0.10809603554063664</v>
      </c>
      <c r="S177" s="71">
        <f>RATE(2,,-R120,$T120)</f>
        <v>0.11547962771641652</v>
      </c>
      <c r="T177" s="71">
        <f>RATE(1,,-S120,$T120)</f>
        <v>9.2910539719050209E-2</v>
      </c>
    </row>
    <row r="178" spans="1:25" ht="5.25" customHeight="1">
      <c r="B178" s="66"/>
      <c r="C178"/>
      <c r="D178" s="70"/>
      <c r="E178" s="70"/>
      <c r="F178"/>
      <c r="G178" s="135"/>
      <c r="H178" s="84"/>
      <c r="I178" s="84"/>
      <c r="J178" s="84"/>
      <c r="K178" s="84"/>
      <c r="L178" s="84"/>
      <c r="M178" s="84"/>
      <c r="N178" s="356"/>
      <c r="O178" s="84"/>
      <c r="P178" s="84"/>
      <c r="Q178" s="84"/>
      <c r="R178" s="84"/>
      <c r="S178" s="84"/>
      <c r="T178" s="84"/>
      <c r="U178" s="28"/>
      <c r="Y178" s="338"/>
    </row>
    <row r="179" spans="1:25" ht="12.75">
      <c r="A179" s="22">
        <v>10</v>
      </c>
      <c r="B179" s="67" t="s">
        <v>478</v>
      </c>
      <c r="C179"/>
      <c r="D179"/>
      <c r="E179"/>
      <c r="F179"/>
      <c r="G179" s="134"/>
      <c r="H179" s="71">
        <f>RATE(13,,-G136,$T136)</f>
        <v>4.4934829633029992E-2</v>
      </c>
      <c r="I179" s="71">
        <f>RATE(12,,-H136,$T136)</f>
        <v>3.3481424809416356E-2</v>
      </c>
      <c r="J179" s="71">
        <f>RATE(11,,-I136,$T136)</f>
        <v>4.6018260340206694E-2</v>
      </c>
      <c r="K179" s="71">
        <f>RATE(10,,-J136,$T136)</f>
        <v>3.9060908848030214E-2</v>
      </c>
      <c r="L179" s="97">
        <f>RATE(9,,-K136,$T136)</f>
        <v>5.6877995291895043E-2</v>
      </c>
      <c r="M179" s="71">
        <f>RATE(8,,-L136,$T136)</f>
        <v>5.5358951389711968E-2</v>
      </c>
      <c r="N179" s="390">
        <f>RATE(7,,-M136,$T136)</f>
        <v>6.5561315184392552E-2</v>
      </c>
      <c r="O179" s="71">
        <f>RATE(6,,-N136,$T136)</f>
        <v>0.10948841714983193</v>
      </c>
      <c r="P179" s="71">
        <f>RATE(5,,-O136,$T136)</f>
        <v>8.178219194971563E-2</v>
      </c>
      <c r="Q179" s="71">
        <f>RATE(4,,-P136,$T136)</f>
        <v>9.5546292996307972E-2</v>
      </c>
      <c r="R179" s="71">
        <f>RATE(3,,-Q136,$T136)</f>
        <v>8.5613544114414325E-2</v>
      </c>
      <c r="S179" s="71">
        <f>RATE(2,,-R136,$T136)</f>
        <v>9.6696814274166792E-2</v>
      </c>
      <c r="T179" s="71">
        <f>RATE(1,,-S136,$T136)</f>
        <v>6.3956848391446858E-2</v>
      </c>
      <c r="U179" s="28"/>
      <c r="Y179" s="338"/>
    </row>
    <row r="180" spans="1:25" ht="9" customHeight="1">
      <c r="B180"/>
      <c r="C180"/>
      <c r="D180" s="70"/>
      <c r="E180" s="70"/>
      <c r="F180"/>
      <c r="G180" s="84"/>
      <c r="H180" s="84"/>
      <c r="I180" s="84"/>
      <c r="J180" s="84"/>
      <c r="K180" s="84"/>
      <c r="L180" s="84"/>
      <c r="M180" s="84"/>
      <c r="N180" s="356"/>
      <c r="O180" s="84"/>
      <c r="P180" s="84"/>
      <c r="Q180" s="84"/>
      <c r="R180" s="84"/>
      <c r="S180" s="84"/>
      <c r="T180" s="84"/>
      <c r="Y180" s="338"/>
    </row>
    <row r="181" spans="1:25" ht="12.75">
      <c r="A181" s="22">
        <v>11</v>
      </c>
      <c r="B181" s="68" t="s">
        <v>477</v>
      </c>
      <c r="D181" s="70"/>
      <c r="E181" s="70"/>
      <c r="G181" s="71"/>
      <c r="H181" s="71">
        <f>RATE(13,,-G84,$T84)</f>
        <v>4.3730410255582379E-2</v>
      </c>
      <c r="I181" s="71">
        <f>RATE(12,,-H84,$T84)</f>
        <v>4.7298194879917793E-2</v>
      </c>
      <c r="J181" s="71">
        <f>RATE(11,,-I84,$T84)</f>
        <v>5.5238144078790206E-2</v>
      </c>
      <c r="K181" s="71">
        <f>RATE(10,,-J84,$T84)</f>
        <v>6.10068537216331E-2</v>
      </c>
      <c r="L181" s="71">
        <f>RATE(9,,-K84,$T84)</f>
        <v>6.0967562053945878E-2</v>
      </c>
      <c r="M181" s="71">
        <f>RATE(8,,-L84,$T84)</f>
        <v>6.0885903207858326E-2</v>
      </c>
      <c r="N181" s="357">
        <f>RATE(7,,-M84,$T84)</f>
        <v>6.4862649639835332E-2</v>
      </c>
      <c r="O181" s="71">
        <f>RATE(6,,-N84,$T84)</f>
        <v>6.5878075306076089E-2</v>
      </c>
      <c r="P181" s="71">
        <f>RATE(5,,-O84,$T84)</f>
        <v>5.3830291191638957E-2</v>
      </c>
      <c r="Q181" s="71">
        <f>RATE(4,,-P84,$T84)</f>
        <v>6.1536523065830108E-2</v>
      </c>
      <c r="R181" s="71">
        <f>RATE(3,,-Q84,$T84)</f>
        <v>7.1648158788648622E-2</v>
      </c>
      <c r="S181" s="71">
        <f>RATE(2,,-R84,$T84)</f>
        <v>7.5529705367104349E-2</v>
      </c>
      <c r="T181" s="71">
        <f>RATE(1,,-S84,$T84)</f>
        <v>8.7322330199895007E-2</v>
      </c>
      <c r="Y181" s="338"/>
    </row>
    <row r="182" spans="1:25" ht="7.5" customHeight="1">
      <c r="B182" s="68"/>
      <c r="D182" s="70"/>
      <c r="E182" s="70"/>
      <c r="G182" s="71"/>
      <c r="H182" s="71"/>
      <c r="I182" s="71"/>
      <c r="J182" s="71"/>
      <c r="K182" s="71"/>
      <c r="L182" s="71"/>
      <c r="M182" s="71"/>
      <c r="N182" s="356"/>
      <c r="O182" s="71"/>
      <c r="P182" s="71"/>
      <c r="Q182" s="71"/>
      <c r="R182" s="71"/>
      <c r="S182" s="71"/>
      <c r="T182" s="71"/>
      <c r="Y182" s="338"/>
    </row>
    <row r="183" spans="1:25" ht="13.5" thickBot="1">
      <c r="A183" s="22">
        <v>12</v>
      </c>
      <c r="B183" s="68" t="s">
        <v>72</v>
      </c>
      <c r="C183"/>
      <c r="D183"/>
      <c r="E183"/>
      <c r="F183"/>
      <c r="G183" s="71"/>
      <c r="H183" s="71">
        <f>RATE(13,,-G91,$T91)</f>
        <v>4.8310659267959646E-2</v>
      </c>
      <c r="I183" s="71">
        <f>RATE(12,,-H91,$T91)</f>
        <v>5.1899880999887391E-2</v>
      </c>
      <c r="J183" s="71">
        <f>RATE(11,,-I91,$T91)</f>
        <v>6.0150167870031787E-2</v>
      </c>
      <c r="K183" s="71">
        <f>RATE(10,,-J91,$T91)</f>
        <v>6.7099911677334187E-2</v>
      </c>
      <c r="L183" s="71">
        <f>RATE(9,,-K91,$T91)</f>
        <v>6.599483866669191E-2</v>
      </c>
      <c r="M183" s="71">
        <f>RATE(8,,-L91,$T91)</f>
        <v>6.6640977792237432E-2</v>
      </c>
      <c r="N183" s="391">
        <f>RATE(7,,-M91,$T91)</f>
        <v>7.4131975528255734E-2</v>
      </c>
      <c r="O183" s="71">
        <f>RATE(6,,-N91,$T91)</f>
        <v>6.6904392588354428E-2</v>
      </c>
      <c r="P183" s="71">
        <f>RATE(5,,-O91,$T91)</f>
        <v>6.7205688147962531E-2</v>
      </c>
      <c r="Q183" s="71">
        <f>RATE(4,,-P91,$T91)</f>
        <v>7.567881488245097E-2</v>
      </c>
      <c r="R183" s="71">
        <f>RATE(3,,-Q91,$T91)</f>
        <v>8.4351442625100928E-2</v>
      </c>
      <c r="S183" s="71">
        <f>RATE(2,,-R91,$T91)</f>
        <v>9.800029152248374E-2</v>
      </c>
      <c r="T183" s="71">
        <f>RATE(1,,-S91,$T91)</f>
        <v>0.11312404369640242</v>
      </c>
      <c r="Y183" s="338"/>
    </row>
    <row r="184" spans="1:25" ht="9.75" customHeight="1">
      <c r="B184" s="68"/>
      <c r="D184" s="70"/>
      <c r="E184" s="70"/>
      <c r="G184" s="84"/>
      <c r="H184" s="84"/>
      <c r="I184" s="84"/>
      <c r="J184" s="84"/>
      <c r="K184" s="84"/>
      <c r="L184" s="84"/>
      <c r="M184" s="84"/>
      <c r="N184" s="135"/>
      <c r="O184" s="84"/>
      <c r="P184" s="84"/>
      <c r="Q184" s="84"/>
      <c r="R184" s="84"/>
      <c r="S184" s="84"/>
      <c r="T184" s="84"/>
      <c r="V184" s="338"/>
      <c r="W184" s="338"/>
      <c r="X184" s="338"/>
      <c r="Y184" s="338"/>
    </row>
    <row r="185" spans="1:25" ht="12.75">
      <c r="A185" s="22">
        <v>13</v>
      </c>
      <c r="B185" s="68" t="s">
        <v>165</v>
      </c>
      <c r="D185" s="70"/>
      <c r="E185" s="70"/>
      <c r="G185" s="71" t="str">
        <f>H169</f>
        <v>Not used due to deminimus values that resulted in extraordinary variablility</v>
      </c>
      <c r="H185" s="71"/>
      <c r="I185" s="71"/>
      <c r="J185" s="71"/>
      <c r="K185" s="71"/>
      <c r="L185" s="71"/>
      <c r="M185" s="71"/>
      <c r="N185" s="134"/>
      <c r="O185" s="71"/>
      <c r="P185" s="71"/>
      <c r="Q185" s="71"/>
      <c r="R185" s="71"/>
      <c r="S185" s="71"/>
      <c r="T185" s="71"/>
    </row>
    <row r="186" spans="1:25" ht="12.75">
      <c r="D186" s="70"/>
      <c r="E186" s="70"/>
      <c r="G186" s="84"/>
      <c r="H186" s="84"/>
      <c r="I186" s="84"/>
      <c r="J186" s="84"/>
      <c r="K186" s="84"/>
      <c r="L186" s="84"/>
      <c r="M186" s="84"/>
      <c r="N186" s="135"/>
      <c r="O186" s="84"/>
      <c r="P186" s="84"/>
      <c r="Q186" s="84"/>
      <c r="R186" s="84"/>
      <c r="S186" s="84"/>
      <c r="T186" s="84"/>
      <c r="U186" s="28"/>
    </row>
    <row r="187" spans="1:25" ht="12.75">
      <c r="B187" s="72" t="s">
        <v>519</v>
      </c>
      <c r="C187" s="72"/>
      <c r="D187" s="73"/>
      <c r="E187" s="73"/>
      <c r="F187" s="62"/>
      <c r="G187" s="208"/>
      <c r="H187" s="208" t="s">
        <v>486</v>
      </c>
      <c r="I187" s="208" t="s">
        <v>487</v>
      </c>
      <c r="J187" s="208" t="s">
        <v>488</v>
      </c>
      <c r="K187" s="208" t="s">
        <v>489</v>
      </c>
      <c r="L187" s="208" t="s">
        <v>490</v>
      </c>
      <c r="M187" s="208" t="s">
        <v>491</v>
      </c>
      <c r="N187" s="208" t="s">
        <v>492</v>
      </c>
      <c r="O187" s="208" t="s">
        <v>493</v>
      </c>
      <c r="P187" s="208" t="s">
        <v>494</v>
      </c>
      <c r="Q187" s="208" t="s">
        <v>495</v>
      </c>
      <c r="R187" s="208" t="s">
        <v>496</v>
      </c>
      <c r="S187" s="208" t="s">
        <v>484</v>
      </c>
      <c r="T187" s="208" t="s">
        <v>485</v>
      </c>
      <c r="U187" s="28"/>
    </row>
    <row r="188" spans="1:25" ht="9" customHeight="1" thickBot="1">
      <c r="F188" s="93"/>
      <c r="G188"/>
      <c r="H188"/>
      <c r="I188"/>
      <c r="J188"/>
      <c r="K188"/>
      <c r="L188"/>
      <c r="M188"/>
      <c r="N188"/>
      <c r="O188"/>
      <c r="R188" s="4"/>
      <c r="S188" s="4"/>
      <c r="T188" s="4"/>
      <c r="U188" s="28"/>
    </row>
    <row r="189" spans="1:25" ht="12.75">
      <c r="A189" s="22">
        <v>14</v>
      </c>
      <c r="B189" s="66" t="s">
        <v>269</v>
      </c>
      <c r="F189" s="93" t="s">
        <v>199</v>
      </c>
      <c r="G189" s="251" t="s">
        <v>497</v>
      </c>
      <c r="H189" s="71">
        <f>2*H173</f>
        <v>0.10352921016567244</v>
      </c>
      <c r="I189" s="71">
        <f t="shared" ref="I189:T189" si="67">2*I173</f>
        <v>7.9877203369243407E-2</v>
      </c>
      <c r="J189" s="71">
        <f t="shared" si="67"/>
        <v>7.6924953043039812E-2</v>
      </c>
      <c r="K189" s="71">
        <f t="shared" si="67"/>
        <v>9.2998835888846443E-2</v>
      </c>
      <c r="L189" s="71">
        <f t="shared" si="67"/>
        <v>9.6442516912913209E-2</v>
      </c>
      <c r="M189" s="71">
        <f t="shared" si="67"/>
        <v>0.10982041983659649</v>
      </c>
      <c r="N189" s="392">
        <f t="shared" si="67"/>
        <v>0.11611775932698452</v>
      </c>
      <c r="O189" s="71">
        <f t="shared" si="67"/>
        <v>0.12633520709186655</v>
      </c>
      <c r="P189" s="71">
        <f t="shared" si="67"/>
        <v>0.10108876478714759</v>
      </c>
      <c r="Q189" s="71">
        <f t="shared" si="67"/>
        <v>9.7736161360288412E-2</v>
      </c>
      <c r="R189" s="71">
        <f t="shared" si="67"/>
        <v>8.328014545824873E-2</v>
      </c>
      <c r="S189" s="71">
        <f t="shared" si="67"/>
        <v>2.3240245030759683E-2</v>
      </c>
      <c r="T189" s="71">
        <f t="shared" si="67"/>
        <v>2.711144025501493E-2</v>
      </c>
      <c r="U189" s="28"/>
    </row>
    <row r="190" spans="1:25" ht="12.75">
      <c r="B190" s="66"/>
      <c r="F190" s="93"/>
      <c r="G190" s="3"/>
      <c r="H190" s="71"/>
      <c r="I190" s="71"/>
      <c r="J190" s="71"/>
      <c r="K190" s="71"/>
      <c r="L190" s="71"/>
      <c r="M190" s="71"/>
      <c r="N190" s="354"/>
      <c r="O190" s="71"/>
      <c r="P190" s="71"/>
      <c r="Q190" s="71"/>
      <c r="R190" s="71"/>
      <c r="S190" s="71"/>
      <c r="T190" s="71"/>
      <c r="U190" s="28"/>
    </row>
    <row r="191" spans="1:25" ht="12.75">
      <c r="A191" s="22" t="s">
        <v>244</v>
      </c>
      <c r="B191" s="215" t="s">
        <v>479</v>
      </c>
      <c r="F191" s="93" t="s">
        <v>199</v>
      </c>
      <c r="G191" s="251" t="s">
        <v>497</v>
      </c>
      <c r="H191" s="71"/>
      <c r="I191" s="71"/>
      <c r="J191" s="71"/>
      <c r="K191" s="71"/>
      <c r="L191" s="71"/>
      <c r="M191" s="71"/>
      <c r="N191" s="357">
        <f>2*N175</f>
        <v>0.06</v>
      </c>
      <c r="O191" s="71"/>
      <c r="P191" s="71"/>
      <c r="Q191" s="71"/>
      <c r="R191" s="71"/>
      <c r="S191" s="71"/>
      <c r="T191" s="71"/>
      <c r="U191" s="28"/>
      <c r="V191" s="76"/>
    </row>
    <row r="192" spans="1:25" ht="12.75">
      <c r="B192" s="66"/>
      <c r="F192" s="93"/>
      <c r="G192" s="3"/>
      <c r="H192" s="71"/>
      <c r="I192" s="71"/>
      <c r="J192" s="71"/>
      <c r="K192" s="71"/>
      <c r="L192" s="71"/>
      <c r="M192" s="71"/>
      <c r="N192" s="354"/>
      <c r="O192" s="71"/>
      <c r="P192" s="71"/>
      <c r="Q192" s="71"/>
      <c r="R192" s="71"/>
      <c r="S192" s="71"/>
      <c r="T192" s="71"/>
    </row>
    <row r="193" spans="1:25" ht="12.75">
      <c r="A193" s="22">
        <v>16</v>
      </c>
      <c r="B193" s="66" t="s">
        <v>476</v>
      </c>
      <c r="F193" s="93" t="s">
        <v>200</v>
      </c>
      <c r="G193" s="251" t="s">
        <v>497</v>
      </c>
      <c r="H193" s="71">
        <f>2*H177</f>
        <v>0.1340548674936759</v>
      </c>
      <c r="I193" s="71">
        <f t="shared" ref="I193:T193" si="68">2*I177</f>
        <v>0.13521388201688742</v>
      </c>
      <c r="J193" s="71">
        <f t="shared" si="68"/>
        <v>0.13821253634617633</v>
      </c>
      <c r="K193" s="71">
        <f t="shared" si="68"/>
        <v>0.1521440540687605</v>
      </c>
      <c r="L193" s="71">
        <f t="shared" si="68"/>
        <v>0.15693188263108049</v>
      </c>
      <c r="M193" s="71">
        <f t="shared" si="68"/>
        <v>0.16859386990837388</v>
      </c>
      <c r="N193" s="378">
        <f t="shared" si="68"/>
        <v>0.17427278244789529</v>
      </c>
      <c r="O193" s="71">
        <f t="shared" si="68"/>
        <v>0.18839009802909601</v>
      </c>
      <c r="P193" s="71">
        <f t="shared" si="68"/>
        <v>0.18974451942046214</v>
      </c>
      <c r="Q193" s="71">
        <f t="shared" si="68"/>
        <v>0.19757417142943151</v>
      </c>
      <c r="R193" s="71">
        <f t="shared" si="68"/>
        <v>0.21619207108127328</v>
      </c>
      <c r="S193" s="71">
        <f t="shared" si="68"/>
        <v>0.23095925543283305</v>
      </c>
      <c r="T193" s="71">
        <f t="shared" si="68"/>
        <v>0.18582107943810042</v>
      </c>
      <c r="V193" s="340"/>
      <c r="W193" s="27"/>
      <c r="X193" s="27"/>
      <c r="Y193" s="27"/>
    </row>
    <row r="194" spans="1:25" ht="9.75" customHeight="1">
      <c r="B194" s="66"/>
      <c r="F194" s="93"/>
      <c r="G194" s="3"/>
      <c r="H194" s="84"/>
      <c r="I194" s="84"/>
      <c r="J194" s="84"/>
      <c r="K194" s="84"/>
      <c r="L194" s="84"/>
      <c r="M194" s="84"/>
      <c r="N194" s="354"/>
      <c r="O194" s="84"/>
      <c r="P194" s="84"/>
      <c r="Q194" s="84"/>
      <c r="R194" s="84"/>
      <c r="S194" s="84"/>
      <c r="T194" s="84"/>
      <c r="U194" s="28"/>
      <c r="V194" s="27"/>
      <c r="W194" s="27"/>
      <c r="X194" s="27"/>
      <c r="Y194" s="27"/>
    </row>
    <row r="195" spans="1:25" ht="12.75">
      <c r="A195" s="22">
        <v>17</v>
      </c>
      <c r="B195" s="67" t="s">
        <v>67</v>
      </c>
      <c r="C195" s="67"/>
      <c r="F195" s="93" t="s">
        <v>200</v>
      </c>
      <c r="G195" s="251" t="s">
        <v>497</v>
      </c>
      <c r="H195" s="71">
        <f>2*H179</f>
        <v>8.9869659266059984E-2</v>
      </c>
      <c r="I195" s="71">
        <f t="shared" ref="I195:T195" si="69">2*I179</f>
        <v>6.6962849618832712E-2</v>
      </c>
      <c r="J195" s="71">
        <f t="shared" si="69"/>
        <v>9.2036520680413389E-2</v>
      </c>
      <c r="K195" s="71">
        <f t="shared" si="69"/>
        <v>7.8121817696060428E-2</v>
      </c>
      <c r="L195" s="71">
        <f t="shared" si="69"/>
        <v>0.11375599058379009</v>
      </c>
      <c r="M195" s="71">
        <f t="shared" si="69"/>
        <v>0.11071790277942394</v>
      </c>
      <c r="N195" s="378">
        <f t="shared" si="69"/>
        <v>0.1311226303687851</v>
      </c>
      <c r="O195" s="71">
        <f t="shared" si="69"/>
        <v>0.21897683429966386</v>
      </c>
      <c r="P195" s="71">
        <f t="shared" si="69"/>
        <v>0.16356438389943126</v>
      </c>
      <c r="Q195" s="71">
        <f t="shared" si="69"/>
        <v>0.19109258599261594</v>
      </c>
      <c r="R195" s="71">
        <f t="shared" si="69"/>
        <v>0.17122708822882865</v>
      </c>
      <c r="S195" s="71">
        <f t="shared" si="69"/>
        <v>0.19339362854833358</v>
      </c>
      <c r="T195" s="71">
        <f t="shared" si="69"/>
        <v>0.12791369678289372</v>
      </c>
      <c r="U195" s="28"/>
      <c r="V195" s="341"/>
      <c r="W195" s="341"/>
      <c r="X195" s="149"/>
      <c r="Y195" s="27"/>
    </row>
    <row r="196" spans="1:25" ht="12.75">
      <c r="B196"/>
      <c r="F196" s="93"/>
      <c r="G196" s="3"/>
      <c r="H196" s="84"/>
      <c r="I196" s="84"/>
      <c r="J196" s="84"/>
      <c r="K196" s="84"/>
      <c r="L196" s="84"/>
      <c r="M196" s="84"/>
      <c r="N196" s="358"/>
      <c r="O196" s="84"/>
      <c r="P196" s="84"/>
      <c r="Q196" s="84"/>
      <c r="R196" s="84"/>
      <c r="S196" s="84"/>
      <c r="T196" s="84"/>
      <c r="U196" s="28"/>
      <c r="V196" s="27"/>
      <c r="W196" s="27"/>
      <c r="X196" s="27"/>
      <c r="Y196" s="27"/>
    </row>
    <row r="197" spans="1:25" ht="12.75">
      <c r="A197" s="22">
        <v>18</v>
      </c>
      <c r="B197" s="68" t="s">
        <v>477</v>
      </c>
      <c r="F197" s="4" t="s">
        <v>200</v>
      </c>
      <c r="G197" s="251" t="s">
        <v>497</v>
      </c>
      <c r="H197" s="71">
        <f>2*H181</f>
        <v>8.7460820511164758E-2</v>
      </c>
      <c r="I197" s="71">
        <f t="shared" ref="I197:T197" si="70">2*I181</f>
        <v>9.4596389759835586E-2</v>
      </c>
      <c r="J197" s="71">
        <f t="shared" si="70"/>
        <v>0.11047628815758041</v>
      </c>
      <c r="K197" s="71">
        <f t="shared" si="70"/>
        <v>0.1220137074432662</v>
      </c>
      <c r="L197" s="71">
        <f t="shared" si="70"/>
        <v>0.12193512410789176</v>
      </c>
      <c r="M197" s="71">
        <f t="shared" si="70"/>
        <v>0.12177180641571665</v>
      </c>
      <c r="N197" s="378">
        <f t="shared" si="70"/>
        <v>0.12972529927967066</v>
      </c>
      <c r="O197" s="71">
        <f t="shared" si="70"/>
        <v>0.13175615061215218</v>
      </c>
      <c r="P197" s="71">
        <f t="shared" si="70"/>
        <v>0.10766058238327791</v>
      </c>
      <c r="Q197" s="71">
        <f t="shared" si="70"/>
        <v>0.12307304613166022</v>
      </c>
      <c r="R197" s="71">
        <f t="shared" si="70"/>
        <v>0.14329631757729724</v>
      </c>
      <c r="S197" s="71">
        <f t="shared" si="70"/>
        <v>0.1510594107342087</v>
      </c>
      <c r="T197" s="71">
        <f t="shared" si="70"/>
        <v>0.17464466039979001</v>
      </c>
      <c r="U197" s="28"/>
      <c r="V197" s="27"/>
      <c r="W197" s="149"/>
      <c r="X197" s="27"/>
      <c r="Y197" s="27"/>
    </row>
    <row r="198" spans="1:25" ht="12.75">
      <c r="B198" s="68"/>
      <c r="G198" s="251"/>
      <c r="H198" s="71"/>
      <c r="I198" s="71"/>
      <c r="J198" s="71"/>
      <c r="K198" s="71"/>
      <c r="L198" s="71"/>
      <c r="M198" s="71"/>
      <c r="N198" s="358"/>
      <c r="O198" s="71"/>
      <c r="P198" s="71"/>
      <c r="Q198" s="71"/>
      <c r="R198" s="71"/>
      <c r="S198" s="71"/>
      <c r="T198" s="71"/>
      <c r="U198" s="28"/>
      <c r="V198" s="27"/>
      <c r="W198" s="149"/>
      <c r="X198" s="27"/>
      <c r="Y198" s="27"/>
    </row>
    <row r="199" spans="1:25" ht="13.5" thickBot="1">
      <c r="A199" s="22">
        <v>19</v>
      </c>
      <c r="B199" s="68" t="s">
        <v>72</v>
      </c>
      <c r="F199" s="93" t="s">
        <v>200</v>
      </c>
      <c r="G199" s="251" t="s">
        <v>497</v>
      </c>
      <c r="H199" s="71">
        <f>2*H183</f>
        <v>9.6621318535919293E-2</v>
      </c>
      <c r="I199" s="71">
        <f t="shared" ref="I199:T199" si="71">2*I183</f>
        <v>0.10379976199977478</v>
      </c>
      <c r="J199" s="71">
        <f t="shared" si="71"/>
        <v>0.12030033574006357</v>
      </c>
      <c r="K199" s="71">
        <f t="shared" si="71"/>
        <v>0.13419982335466837</v>
      </c>
      <c r="L199" s="71">
        <f t="shared" si="71"/>
        <v>0.13198967733338382</v>
      </c>
      <c r="M199" s="71">
        <f t="shared" si="71"/>
        <v>0.13328195558447486</v>
      </c>
      <c r="N199" s="393">
        <f t="shared" si="71"/>
        <v>0.14826395105651147</v>
      </c>
      <c r="O199" s="71">
        <f t="shared" si="71"/>
        <v>0.13380878517670886</v>
      </c>
      <c r="P199" s="71">
        <f t="shared" si="71"/>
        <v>0.13441137629592506</v>
      </c>
      <c r="Q199" s="71">
        <f t="shared" si="71"/>
        <v>0.15135762976490194</v>
      </c>
      <c r="R199" s="71">
        <f t="shared" si="71"/>
        <v>0.16870288525020186</v>
      </c>
      <c r="S199" s="71">
        <f t="shared" si="71"/>
        <v>0.19600058304496748</v>
      </c>
      <c r="T199" s="71">
        <f t="shared" si="71"/>
        <v>0.22624808739280483</v>
      </c>
      <c r="U199" s="28"/>
    </row>
    <row r="200" spans="1:25">
      <c r="B200" s="68"/>
      <c r="G200" s="84"/>
      <c r="H200" s="84"/>
      <c r="I200" s="84"/>
      <c r="J200" s="84"/>
      <c r="K200" s="84"/>
      <c r="L200" s="84"/>
      <c r="M200" s="84"/>
      <c r="N200" s="135"/>
      <c r="O200" s="84"/>
      <c r="P200" s="84"/>
      <c r="Q200" s="84"/>
      <c r="R200" s="84"/>
      <c r="U200" s="28"/>
    </row>
    <row r="201" spans="1:25" ht="12.75">
      <c r="A201" s="22">
        <v>20</v>
      </c>
      <c r="B201" s="68" t="s">
        <v>165</v>
      </c>
      <c r="F201" s="4" t="s">
        <v>199</v>
      </c>
      <c r="G201" s="71" t="str">
        <f>G185</f>
        <v>Not used due to deminimus values that resulted in extraordinary variablility</v>
      </c>
      <c r="H201" s="71"/>
      <c r="I201" s="71"/>
      <c r="J201" s="71"/>
      <c r="K201" s="71"/>
      <c r="L201" s="71"/>
      <c r="M201" s="71"/>
      <c r="N201" s="134"/>
      <c r="O201" s="71"/>
      <c r="P201" s="71"/>
      <c r="Q201" s="71"/>
      <c r="R201" s="71"/>
      <c r="U201" s="28"/>
    </row>
  </sheetData>
  <customSheetViews>
    <customSheetView guid="{A15D1964-B049-11D2-8670-0000832CEEE8}" scale="75" showPageBreaks="1" showGridLines="0" printArea="1" hiddenColumns="1" showRuler="0" topLeftCell="T45">
      <selection activeCell="AH53" sqref="AH53"/>
      <pageMargins left="0.75" right="0.75" top="0.75" bottom="0.5" header="0.5" footer="0.5"/>
      <pageSetup scale="75" orientation="portrait" horizontalDpi="300" verticalDpi="300" r:id="rId1"/>
      <headerFooter alignWithMargins="0">
        <oddHeader>&amp;L&amp;"Times,Regular"&amp;9KM  File: &amp;F&amp;R&amp;"Times,Regular"&amp;9Page &amp;P of &amp;N  &amp;D</oddHeader>
      </headerFooter>
    </customSheetView>
    <customSheetView guid="{5BE913A1-B14F-11D2-B0DC-0000832CDFF0}" scale="75" showPageBreaks="1" showGridLines="0" printArea="1" hiddenColumns="1" showRuler="0" topLeftCell="R46">
      <selection activeCell="T46" sqref="T1:T65536"/>
      <pageMargins left="0.75" right="0.75" top="0.75" bottom="0.5" header="0.5" footer="0.5"/>
      <pageSetup scale="75" orientation="portrait" horizontalDpi="300" verticalDpi="300" r:id="rId2"/>
      <headerFooter alignWithMargins="0">
        <oddHeader>&amp;L&amp;"Times,Regular"&amp;9KM  File: &amp;F&amp;R&amp;"Times,Regular"&amp;9Page &amp;P of &amp;N  &amp;D</oddHeader>
      </headerFooter>
    </customSheetView>
  </customSheetViews>
  <mergeCells count="7">
    <mergeCell ref="E98:R98"/>
    <mergeCell ref="E156:R156"/>
    <mergeCell ref="A1:R1"/>
    <mergeCell ref="A2:R2"/>
    <mergeCell ref="A59:R59"/>
    <mergeCell ref="E4:R4"/>
    <mergeCell ref="E61:R61"/>
  </mergeCells>
  <phoneticPr fontId="0" type="noConversion"/>
  <pageMargins left="0.75" right="0.75" top="0.65" bottom="0.6" header="0.5" footer="0.4"/>
  <pageSetup scale="75" fitToWidth="4" orientation="landscape" r:id="rId3"/>
  <headerFooter scaleWithDoc="0" alignWithMargins="0">
    <oddHeader>&amp;RExh. CRM-9
Dockets UE-150204/UG-150205
Exhibit No. __(EMA-7)</oddHeader>
    <oddFooter xml:space="preserve">&amp;RPage &amp;P of &amp;N  </oddFooter>
  </headerFooter>
  <rowBreaks count="3" manualBreakCount="3">
    <brk id="58" max="19" man="1"/>
    <brk id="93" max="19" man="1"/>
    <brk id="150" max="19" man="1"/>
  </rowBreaks>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Layout" zoomScaleNormal="100" zoomScaleSheetLayoutView="85" workbookViewId="0">
      <selection activeCell="D30" activeCellId="1" sqref="D29 D30"/>
    </sheetView>
  </sheetViews>
  <sheetFormatPr defaultRowHeight="12.75"/>
  <cols>
    <col min="1" max="1" width="32.5703125" customWidth="1"/>
    <col min="2" max="2" width="8.85546875" customWidth="1"/>
    <col min="3" max="3" width="10.5703125" customWidth="1"/>
    <col min="4" max="5" width="10.42578125" customWidth="1"/>
    <col min="6" max="6" width="12.28515625" customWidth="1"/>
    <col min="7" max="13" width="10.42578125" customWidth="1"/>
  </cols>
  <sheetData>
    <row r="1" spans="1:9">
      <c r="A1" s="581" t="s">
        <v>565</v>
      </c>
      <c r="B1" s="581"/>
      <c r="C1" s="581"/>
      <c r="D1" s="581"/>
      <c r="E1" s="407"/>
    </row>
    <row r="2" spans="1:9">
      <c r="B2" s="420">
        <v>2007</v>
      </c>
      <c r="C2" s="420">
        <v>2008</v>
      </c>
      <c r="D2" s="379">
        <v>2009</v>
      </c>
      <c r="E2" s="379">
        <v>2010</v>
      </c>
      <c r="F2" s="379">
        <v>2011</v>
      </c>
      <c r="G2" s="379">
        <v>2012</v>
      </c>
      <c r="H2" s="379">
        <v>2013</v>
      </c>
      <c r="I2" s="379">
        <v>2014</v>
      </c>
    </row>
    <row r="3" spans="1:9">
      <c r="A3" t="s">
        <v>531</v>
      </c>
      <c r="B3" s="421">
        <v>145500</v>
      </c>
      <c r="C3" s="421">
        <v>154054</v>
      </c>
      <c r="D3" s="399">
        <v>173806</v>
      </c>
      <c r="E3" s="399">
        <v>177901</v>
      </c>
      <c r="F3" s="399">
        <v>183553</v>
      </c>
      <c r="G3" s="399">
        <v>195287</v>
      </c>
      <c r="H3" s="399">
        <v>207759</v>
      </c>
      <c r="I3" s="399">
        <v>225901</v>
      </c>
    </row>
    <row r="4" spans="1:9">
      <c r="B4" s="106">
        <v>0</v>
      </c>
      <c r="C4" s="106">
        <v>1</v>
      </c>
      <c r="D4" s="106">
        <v>2</v>
      </c>
      <c r="E4" s="106">
        <v>3</v>
      </c>
      <c r="F4" s="106">
        <v>4</v>
      </c>
      <c r="G4" s="106">
        <v>5</v>
      </c>
      <c r="H4" s="106">
        <v>6</v>
      </c>
      <c r="I4" s="106">
        <v>7</v>
      </c>
    </row>
    <row r="5" spans="1:9">
      <c r="A5" t="s">
        <v>531</v>
      </c>
      <c r="B5" s="100">
        <f>B3</f>
        <v>145500</v>
      </c>
      <c r="C5" s="100">
        <f t="shared" ref="C5:I5" si="0">C3</f>
        <v>154054</v>
      </c>
      <c r="D5" s="100">
        <f t="shared" si="0"/>
        <v>173806</v>
      </c>
      <c r="E5" s="100">
        <f t="shared" si="0"/>
        <v>177901</v>
      </c>
      <c r="F5" s="100">
        <f t="shared" si="0"/>
        <v>183553</v>
      </c>
      <c r="G5" s="100">
        <f t="shared" si="0"/>
        <v>195287</v>
      </c>
      <c r="H5" s="100">
        <f t="shared" si="0"/>
        <v>207759</v>
      </c>
      <c r="I5" s="100">
        <f t="shared" si="0"/>
        <v>225901</v>
      </c>
    </row>
    <row r="6" spans="1:9">
      <c r="B6" s="44"/>
      <c r="C6" s="44"/>
      <c r="D6" s="44"/>
      <c r="E6" s="44"/>
      <c r="F6" s="44"/>
      <c r="G6" s="44"/>
    </row>
    <row r="25" spans="1:9">
      <c r="B25" s="87" t="s">
        <v>526</v>
      </c>
      <c r="C25" s="87" t="s">
        <v>111</v>
      </c>
    </row>
    <row r="26" spans="1:9">
      <c r="A26" s="87" t="s">
        <v>530</v>
      </c>
      <c r="B26" s="87">
        <f>2*280.18</f>
        <v>560.36</v>
      </c>
      <c r="C26" s="402">
        <v>8769.98</v>
      </c>
    </row>
    <row r="27" spans="1:9">
      <c r="A27" s="70" t="s">
        <v>558</v>
      </c>
      <c r="B27">
        <f>(7*B26)</f>
        <v>3922.52</v>
      </c>
    </row>
    <row r="28" spans="1:9" ht="13.5" thickBot="1">
      <c r="A28" t="s">
        <v>528</v>
      </c>
      <c r="B28" s="87"/>
      <c r="C28" s="87">
        <f>B27+C26</f>
        <v>12692.5</v>
      </c>
    </row>
    <row r="29" spans="1:9" ht="13.5" thickBot="1">
      <c r="A29" t="s">
        <v>525</v>
      </c>
      <c r="B29" s="71"/>
      <c r="C29" s="71">
        <f>C28/I5</f>
        <v>5.6186116927326571E-2</v>
      </c>
      <c r="D29" s="465">
        <v>0</v>
      </c>
      <c r="E29" s="70" t="s">
        <v>576</v>
      </c>
    </row>
    <row r="30" spans="1:9" ht="13.5" thickBot="1">
      <c r="A30" s="87" t="s">
        <v>527</v>
      </c>
      <c r="B30" s="380"/>
      <c r="C30" s="464">
        <f>2*C29</f>
        <v>0.11237223385465314</v>
      </c>
      <c r="D30" s="466">
        <f>2*D29</f>
        <v>0</v>
      </c>
      <c r="E30" t="s">
        <v>529</v>
      </c>
    </row>
    <row r="31" spans="1:9">
      <c r="A31" s="112"/>
      <c r="B31" s="112"/>
      <c r="C31" s="112"/>
      <c r="D31" s="112"/>
      <c r="E31" s="112"/>
      <c r="F31" s="112"/>
      <c r="G31" s="112"/>
      <c r="H31" s="112"/>
      <c r="I31" s="112"/>
    </row>
    <row r="32" spans="1:9" ht="13.5" thickBot="1">
      <c r="A32" s="409"/>
      <c r="B32" s="409"/>
      <c r="C32" s="409"/>
      <c r="D32" s="409"/>
      <c r="E32" s="409"/>
      <c r="F32" s="409"/>
      <c r="G32" s="409"/>
      <c r="H32" s="409"/>
      <c r="I32" s="409"/>
    </row>
    <row r="33" spans="1:16">
      <c r="A33" s="408" t="s">
        <v>566</v>
      </c>
      <c r="B33" s="379">
        <v>2009</v>
      </c>
      <c r="C33" s="379">
        <v>2010</v>
      </c>
      <c r="D33" s="379">
        <v>2011</v>
      </c>
      <c r="E33" s="379">
        <v>2012</v>
      </c>
      <c r="F33" s="379">
        <v>2013</v>
      </c>
      <c r="G33" s="379">
        <v>2014</v>
      </c>
    </row>
    <row r="34" spans="1:16">
      <c r="A34" t="s">
        <v>531</v>
      </c>
      <c r="B34" s="44">
        <f>'Cost Trends'!O139</f>
        <v>173806</v>
      </c>
      <c r="C34" s="44">
        <f>'Cost Trends'!P139</f>
        <v>177901</v>
      </c>
      <c r="D34" s="44">
        <f>'Cost Trends'!Q139</f>
        <v>183553</v>
      </c>
      <c r="E34" s="44">
        <f>'Cost Trends'!R139</f>
        <v>195287</v>
      </c>
      <c r="F34" s="44">
        <f>'Cost Trends'!S139</f>
        <v>207759</v>
      </c>
      <c r="G34" s="44">
        <f>'Cost Trends'!T139</f>
        <v>225901</v>
      </c>
    </row>
    <row r="35" spans="1:16">
      <c r="B35" s="379">
        <v>0</v>
      </c>
      <c r="C35" s="379">
        <v>1</v>
      </c>
      <c r="D35" s="379">
        <v>2</v>
      </c>
      <c r="E35" s="379">
        <v>3</v>
      </c>
      <c r="F35" s="379">
        <v>4</v>
      </c>
      <c r="G35" s="379">
        <v>5</v>
      </c>
    </row>
    <row r="36" spans="1:16">
      <c r="A36" t="s">
        <v>531</v>
      </c>
      <c r="B36" s="44">
        <f>'Cost Trends'!O139</f>
        <v>173806</v>
      </c>
      <c r="C36" s="44">
        <f>'Cost Trends'!P139</f>
        <v>177901</v>
      </c>
      <c r="D36" s="44">
        <f>'Cost Trends'!Q139</f>
        <v>183553</v>
      </c>
      <c r="E36" s="44">
        <f>'Cost Trends'!R139</f>
        <v>195287</v>
      </c>
      <c r="F36" s="44">
        <f>'Cost Trends'!S139</f>
        <v>207759</v>
      </c>
      <c r="G36" s="44">
        <f>'Cost Trends'!T139</f>
        <v>225901</v>
      </c>
    </row>
    <row r="37" spans="1:16">
      <c r="B37" s="44"/>
      <c r="C37" s="44"/>
      <c r="D37" s="44"/>
      <c r="E37" s="44"/>
      <c r="F37" s="44"/>
      <c r="G37" s="44"/>
    </row>
    <row r="38" spans="1:16">
      <c r="L38" s="40" t="s">
        <v>550</v>
      </c>
      <c r="M38" t="s">
        <v>551</v>
      </c>
      <c r="O38" s="40" t="s">
        <v>552</v>
      </c>
      <c r="P38" t="s">
        <v>553</v>
      </c>
    </row>
    <row r="39" spans="1:16">
      <c r="B39" s="87" t="s">
        <v>526</v>
      </c>
      <c r="C39" s="87" t="s">
        <v>111</v>
      </c>
      <c r="K39" t="s">
        <v>554</v>
      </c>
      <c r="L39" s="399">
        <f>G36</f>
        <v>225901</v>
      </c>
      <c r="M39" s="399">
        <f>L39</f>
        <v>225901</v>
      </c>
    </row>
    <row r="40" spans="1:16">
      <c r="A40" s="87" t="s">
        <v>530</v>
      </c>
      <c r="B40" s="87">
        <f>2*1741.3</f>
        <v>3482.6</v>
      </c>
      <c r="C40" s="87">
        <v>1630</v>
      </c>
      <c r="K40" t="s">
        <v>555</v>
      </c>
      <c r="L40" s="399">
        <f>1741.3*6^2+1630*6+173997</f>
        <v>246463.8</v>
      </c>
      <c r="M40" s="399">
        <f>G36+(2*1741.3*5+1630)</f>
        <v>244944</v>
      </c>
      <c r="O40" s="399">
        <f>(2*1741.3*5+1630)</f>
        <v>19043</v>
      </c>
      <c r="P40">
        <v>1</v>
      </c>
    </row>
    <row r="41" spans="1:16">
      <c r="A41" s="70" t="s">
        <v>558</v>
      </c>
      <c r="B41">
        <f>(5*B40)</f>
        <v>17413</v>
      </c>
      <c r="K41" t="s">
        <v>556</v>
      </c>
      <c r="L41" s="400">
        <f>L40/L39-1</f>
        <v>9.1025714804272573E-2</v>
      </c>
      <c r="M41" s="400">
        <f>M40/M39-1</f>
        <v>8.4297988942058755E-2</v>
      </c>
    </row>
    <row r="42" spans="1:16">
      <c r="A42" t="s">
        <v>528</v>
      </c>
      <c r="B42" s="87"/>
      <c r="C42" s="87">
        <f>B41+C40</f>
        <v>19043</v>
      </c>
      <c r="K42" t="s">
        <v>557</v>
      </c>
      <c r="L42" s="400">
        <f>L41*2</f>
        <v>0.18205142960854515</v>
      </c>
      <c r="M42" s="400">
        <f>M41*2</f>
        <v>0.16859597788411751</v>
      </c>
    </row>
    <row r="43" spans="1:16" ht="13.5" thickBot="1">
      <c r="A43" t="s">
        <v>525</v>
      </c>
      <c r="B43" s="71"/>
      <c r="C43" s="71">
        <f>C42/G36</f>
        <v>8.4297988942058685E-2</v>
      </c>
      <c r="P43" s="401">
        <f>O40*P40</f>
        <v>19043</v>
      </c>
    </row>
    <row r="44" spans="1:16" ht="13.5" thickBot="1">
      <c r="A44" s="87" t="s">
        <v>527</v>
      </c>
      <c r="B44" s="380"/>
      <c r="C44" s="406">
        <f>2*C43</f>
        <v>0.16859597788411737</v>
      </c>
      <c r="D44" t="s">
        <v>529</v>
      </c>
      <c r="L44" s="100">
        <f>L40-L39</f>
        <v>20562.799999999988</v>
      </c>
      <c r="M44" s="100">
        <f>M40-M39</f>
        <v>19043</v>
      </c>
    </row>
  </sheetData>
  <mergeCells count="1">
    <mergeCell ref="A1:D1"/>
  </mergeCells>
  <pageMargins left="0.7" right="0.7" top="0.75" bottom="0.75" header="0.3" footer="0.3"/>
  <pageSetup scale="78" orientation="portrait" r:id="rId1"/>
  <headerFooter scaleWithDoc="0">
    <oddHeader>&amp;R&amp;9Exh. CRM-9
Dockets UE-150204/UG-150205
Exhibit No. __(EMA-7)</oddHeader>
    <oddFooter xml:space="preserve">&amp;RPage &amp;P of &amp;N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zoomScaleSheetLayoutView="100" workbookViewId="0">
      <selection activeCell="G42" activeCellId="2" sqref="P30 E42 G42"/>
    </sheetView>
  </sheetViews>
  <sheetFormatPr defaultRowHeight="12.75"/>
  <cols>
    <col min="1" max="1" width="30.42578125" customWidth="1"/>
    <col min="2" max="2" width="9.42578125" bestFit="1" customWidth="1"/>
    <col min="3" max="3" width="9.7109375" bestFit="1" customWidth="1"/>
    <col min="4" max="6" width="9.42578125" bestFit="1" customWidth="1"/>
    <col min="7" max="7" width="9.140625" customWidth="1"/>
    <col min="8" max="8" width="8.5703125" customWidth="1"/>
    <col min="9" max="9" width="9" customWidth="1"/>
    <col min="10" max="10" width="9.28515625" bestFit="1" customWidth="1"/>
  </cols>
  <sheetData>
    <row r="1" spans="1:9">
      <c r="A1" s="581" t="s">
        <v>565</v>
      </c>
      <c r="B1" s="581"/>
      <c r="C1" s="581"/>
      <c r="D1" s="581"/>
      <c r="E1" s="407"/>
    </row>
    <row r="2" spans="1:9">
      <c r="B2" s="420">
        <v>2007</v>
      </c>
      <c r="C2" s="420">
        <v>2008</v>
      </c>
      <c r="D2" s="379">
        <v>2009</v>
      </c>
      <c r="E2" s="379">
        <v>2010</v>
      </c>
      <c r="F2" s="379">
        <v>2011</v>
      </c>
      <c r="G2" s="379">
        <v>2012</v>
      </c>
      <c r="H2" s="379">
        <v>2013</v>
      </c>
      <c r="I2" s="379">
        <v>2014</v>
      </c>
    </row>
    <row r="3" spans="1:9">
      <c r="A3" t="s">
        <v>47</v>
      </c>
      <c r="B3" s="423">
        <v>7413</v>
      </c>
      <c r="C3" s="423">
        <v>7752</v>
      </c>
      <c r="D3" s="108">
        <v>8456</v>
      </c>
      <c r="E3" s="108">
        <v>9127</v>
      </c>
      <c r="F3" s="108">
        <v>9778</v>
      </c>
      <c r="G3" s="108">
        <v>10692</v>
      </c>
      <c r="H3" s="108">
        <v>12173</v>
      </c>
      <c r="I3" s="108">
        <v>13304</v>
      </c>
    </row>
    <row r="4" spans="1:9">
      <c r="B4" s="381">
        <v>0</v>
      </c>
      <c r="C4" s="381">
        <v>1</v>
      </c>
      <c r="D4" s="381">
        <v>2</v>
      </c>
      <c r="E4" s="381">
        <v>3</v>
      </c>
      <c r="F4" s="381">
        <v>4</v>
      </c>
      <c r="G4" s="381">
        <v>5</v>
      </c>
      <c r="H4" s="381">
        <v>6</v>
      </c>
      <c r="I4" s="381">
        <v>7</v>
      </c>
    </row>
    <row r="5" spans="1:9">
      <c r="A5" t="s">
        <v>47</v>
      </c>
      <c r="B5" s="44">
        <f>B3</f>
        <v>7413</v>
      </c>
      <c r="C5" s="44">
        <f t="shared" ref="C5:I5" si="0">C3</f>
        <v>7752</v>
      </c>
      <c r="D5" s="44">
        <f t="shared" si="0"/>
        <v>8456</v>
      </c>
      <c r="E5" s="44">
        <f t="shared" si="0"/>
        <v>9127</v>
      </c>
      <c r="F5" s="44">
        <f t="shared" si="0"/>
        <v>9778</v>
      </c>
      <c r="G5" s="44">
        <f t="shared" si="0"/>
        <v>10692</v>
      </c>
      <c r="H5" s="44">
        <f t="shared" si="0"/>
        <v>12173</v>
      </c>
      <c r="I5" s="44">
        <f t="shared" si="0"/>
        <v>13304</v>
      </c>
    </row>
    <row r="24" spans="1:10">
      <c r="B24" s="87" t="s">
        <v>526</v>
      </c>
      <c r="C24" s="87" t="s">
        <v>111</v>
      </c>
    </row>
    <row r="25" spans="1:10">
      <c r="A25" s="87" t="s">
        <v>530</v>
      </c>
      <c r="B25" s="87">
        <f>2*77.232</f>
        <v>154.464</v>
      </c>
      <c r="C25" s="87">
        <v>301.05</v>
      </c>
    </row>
    <row r="26" spans="1:10">
      <c r="A26" s="70" t="s">
        <v>558</v>
      </c>
      <c r="B26">
        <f>(7*B25)</f>
        <v>1081.248</v>
      </c>
    </row>
    <row r="27" spans="1:10">
      <c r="A27" t="s">
        <v>528</v>
      </c>
      <c r="B27" s="87"/>
      <c r="C27" s="87">
        <f>B26+C25</f>
        <v>1382.298</v>
      </c>
    </row>
    <row r="28" spans="1:10" ht="13.5" thickBot="1">
      <c r="A28" t="s">
        <v>525</v>
      </c>
      <c r="B28" s="71"/>
      <c r="C28">
        <f>C27/G5</f>
        <v>0.12928338945005613</v>
      </c>
    </row>
    <row r="29" spans="1:10" ht="13.5" thickBot="1">
      <c r="A29" s="87" t="s">
        <v>527</v>
      </c>
      <c r="B29" s="380"/>
      <c r="C29" s="422">
        <f>2*C28</f>
        <v>0.25856677890011226</v>
      </c>
      <c r="D29" t="s">
        <v>529</v>
      </c>
    </row>
    <row r="31" spans="1:10" ht="13.5" thickBot="1">
      <c r="A31" s="409"/>
      <c r="B31" s="409"/>
      <c r="C31" s="409"/>
      <c r="D31" s="409"/>
      <c r="E31" s="409"/>
      <c r="F31" s="409"/>
      <c r="G31" s="409"/>
      <c r="H31" s="409"/>
      <c r="I31" s="409"/>
      <c r="J31" s="112"/>
    </row>
    <row r="32" spans="1:10">
      <c r="A32" s="408" t="s">
        <v>566</v>
      </c>
      <c r="B32" s="379">
        <v>2009</v>
      </c>
      <c r="C32" s="379">
        <v>2010</v>
      </c>
      <c r="D32" s="379">
        <v>2011</v>
      </c>
      <c r="E32" s="379">
        <v>2012</v>
      </c>
      <c r="F32" s="379">
        <v>2013</v>
      </c>
      <c r="G32" s="379">
        <v>2014</v>
      </c>
      <c r="H32" s="112"/>
      <c r="I32" s="112"/>
      <c r="J32" s="112"/>
    </row>
    <row r="33" spans="1:12">
      <c r="A33" t="s">
        <v>47</v>
      </c>
      <c r="B33" s="394">
        <f>'Cost Trends'!O120</f>
        <v>8456</v>
      </c>
      <c r="C33" s="394">
        <f>'Cost Trends'!P120</f>
        <v>9127</v>
      </c>
      <c r="D33" s="394">
        <f>'Cost Trends'!Q120</f>
        <v>9778</v>
      </c>
      <c r="E33" s="394">
        <f>'Cost Trends'!R120</f>
        <v>10692</v>
      </c>
      <c r="F33" s="394">
        <f>'Cost Trends'!S120</f>
        <v>12173</v>
      </c>
      <c r="G33" s="394">
        <f>'Cost Trends'!T120</f>
        <v>13304</v>
      </c>
      <c r="H33" s="394"/>
      <c r="I33" s="394"/>
    </row>
    <row r="34" spans="1:12">
      <c r="B34" s="381">
        <v>0</v>
      </c>
      <c r="C34" s="381">
        <v>1</v>
      </c>
      <c r="D34" s="381">
        <v>2</v>
      </c>
      <c r="E34" s="381">
        <v>3</v>
      </c>
      <c r="F34" s="381">
        <v>4</v>
      </c>
      <c r="G34" s="381">
        <v>5</v>
      </c>
      <c r="H34" s="381"/>
      <c r="I34" s="381"/>
    </row>
    <row r="35" spans="1:12">
      <c r="A35" t="s">
        <v>47</v>
      </c>
      <c r="B35" s="44">
        <f>'Cost Trends'!O120</f>
        <v>8456</v>
      </c>
      <c r="C35" s="44">
        <f>'Cost Trends'!P120</f>
        <v>9127</v>
      </c>
      <c r="D35" s="44">
        <f>'Cost Trends'!Q120</f>
        <v>9778</v>
      </c>
      <c r="E35" s="44">
        <f>'Cost Trends'!R120</f>
        <v>10692</v>
      </c>
      <c r="F35" s="44">
        <f>'Cost Trends'!S120</f>
        <v>12173</v>
      </c>
      <c r="G35" s="44">
        <f>'Cost Trends'!T120</f>
        <v>13304</v>
      </c>
      <c r="H35" s="44"/>
      <c r="I35" s="44"/>
    </row>
    <row r="37" spans="1:12">
      <c r="F37" s="106"/>
      <c r="K37" s="40" t="s">
        <v>550</v>
      </c>
      <c r="L37" t="s">
        <v>551</v>
      </c>
    </row>
    <row r="38" spans="1:12">
      <c r="B38" s="87" t="s">
        <v>526</v>
      </c>
      <c r="C38" s="87" t="s">
        <v>111</v>
      </c>
      <c r="J38" t="s">
        <v>554</v>
      </c>
      <c r="K38" s="399">
        <f>G35</f>
        <v>13304</v>
      </c>
      <c r="L38" s="399">
        <f>K38</f>
        <v>13304</v>
      </c>
    </row>
    <row r="39" spans="1:12">
      <c r="A39" s="87" t="s">
        <v>530</v>
      </c>
      <c r="B39" s="87">
        <v>200.72</v>
      </c>
      <c r="C39" s="87">
        <v>477.99</v>
      </c>
      <c r="J39" t="s">
        <v>555</v>
      </c>
      <c r="K39" s="399">
        <f>100.36*6^2+477.99*6+8473.4</f>
        <v>14954.3</v>
      </c>
      <c r="L39" s="399">
        <f>G35+(2*100.36*5+477.99)</f>
        <v>14785.59</v>
      </c>
    </row>
    <row r="40" spans="1:12">
      <c r="A40" t="s">
        <v>524</v>
      </c>
      <c r="B40">
        <f>(5*B39)</f>
        <v>1003.6</v>
      </c>
      <c r="J40" t="s">
        <v>556</v>
      </c>
      <c r="K40" s="400">
        <f>K39/K38-1</f>
        <v>0.12404539987973529</v>
      </c>
      <c r="L40" s="400">
        <f>L39/L38-1</f>
        <v>0.11136425135297645</v>
      </c>
    </row>
    <row r="41" spans="1:12">
      <c r="A41" t="s">
        <v>528</v>
      </c>
      <c r="B41" s="87"/>
      <c r="C41" s="87">
        <f>B40+C39</f>
        <v>1481.5900000000001</v>
      </c>
      <c r="J41" t="s">
        <v>557</v>
      </c>
      <c r="K41" s="400">
        <f>K40*2</f>
        <v>0.24809079975947057</v>
      </c>
      <c r="L41" s="400">
        <f>L40*2</f>
        <v>0.2227285027059529</v>
      </c>
    </row>
    <row r="42" spans="1:12" ht="13.5" thickBot="1">
      <c r="A42" t="s">
        <v>525</v>
      </c>
      <c r="B42" s="71"/>
      <c r="C42">
        <f>C41/G35</f>
        <v>0.11136425135297656</v>
      </c>
    </row>
    <row r="43" spans="1:12" ht="13.5" thickBot="1">
      <c r="A43" s="87" t="s">
        <v>527</v>
      </c>
      <c r="B43" s="380"/>
      <c r="C43" s="406">
        <f>2*C42</f>
        <v>0.22272850270595312</v>
      </c>
      <c r="D43" t="s">
        <v>529</v>
      </c>
      <c r="K43" s="100">
        <f>K39-K38</f>
        <v>1650.2999999999993</v>
      </c>
      <c r="L43" s="100">
        <f>L39-L38</f>
        <v>1481.5900000000001</v>
      </c>
    </row>
  </sheetData>
  <mergeCells count="1">
    <mergeCell ref="A1:D1"/>
  </mergeCells>
  <pageMargins left="0.7" right="0.7" top="0.75" bottom="0.75" header="0.3" footer="0.3"/>
  <pageSetup scale="87" orientation="portrait" r:id="rId1"/>
  <headerFooter scaleWithDoc="0">
    <oddHeader>&amp;RExh. CRM-9
Dockets UE-150204/UG-150205
Exhibit No. __(EMA-7)</oddHeader>
    <oddFooter xml:space="preserve">&amp;RPage &amp;P of &amp;N  </oddFooter>
  </headerFooter>
  <colBreaks count="1" manualBreakCount="1">
    <brk id="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view="pageLayout" zoomScaleNormal="80" zoomScaleSheetLayoutView="100" workbookViewId="0">
      <selection activeCell="G42" activeCellId="2" sqref="P30 E42 G42"/>
    </sheetView>
  </sheetViews>
  <sheetFormatPr defaultRowHeight="12.75"/>
  <cols>
    <col min="1" max="1" width="30.28515625" customWidth="1"/>
    <col min="2" max="2" width="9.5703125" customWidth="1"/>
    <col min="3" max="9" width="9.28515625" bestFit="1" customWidth="1"/>
  </cols>
  <sheetData>
    <row r="1" spans="1:9">
      <c r="A1" s="581" t="s">
        <v>565</v>
      </c>
      <c r="B1" s="581"/>
      <c r="C1" s="581"/>
      <c r="D1" s="581"/>
      <c r="E1" s="407"/>
    </row>
    <row r="3" spans="1:9">
      <c r="B3" s="420">
        <v>2007</v>
      </c>
      <c r="C3" s="420">
        <v>2008</v>
      </c>
      <c r="D3" s="379">
        <v>2009</v>
      </c>
      <c r="E3" s="379">
        <v>2010</v>
      </c>
      <c r="F3" s="379">
        <v>2011</v>
      </c>
      <c r="G3" s="379">
        <v>2012</v>
      </c>
      <c r="H3" s="379">
        <v>2013</v>
      </c>
      <c r="I3" s="379">
        <v>2014</v>
      </c>
    </row>
    <row r="4" spans="1:9">
      <c r="A4" t="s">
        <v>506</v>
      </c>
      <c r="B4" s="423">
        <v>3541</v>
      </c>
      <c r="C4" s="423">
        <v>2961</v>
      </c>
      <c r="D4" s="101">
        <v>3728</v>
      </c>
      <c r="E4" s="101">
        <v>3834</v>
      </c>
      <c r="F4" s="101">
        <v>4316.6743270000006</v>
      </c>
      <c r="G4" s="101">
        <v>4592</v>
      </c>
      <c r="H4" s="101">
        <v>5191</v>
      </c>
      <c r="I4" s="101">
        <v>5523</v>
      </c>
    </row>
    <row r="5" spans="1:9">
      <c r="B5" s="395">
        <v>0</v>
      </c>
      <c r="C5" s="395">
        <v>1</v>
      </c>
      <c r="D5" s="395">
        <v>2</v>
      </c>
      <c r="E5" s="395">
        <v>3</v>
      </c>
      <c r="F5" s="395">
        <v>4</v>
      </c>
      <c r="G5" s="395">
        <v>5</v>
      </c>
      <c r="H5" s="395">
        <v>6</v>
      </c>
      <c r="I5" s="395">
        <v>7</v>
      </c>
    </row>
    <row r="6" spans="1:9">
      <c r="A6" t="s">
        <v>506</v>
      </c>
      <c r="B6" s="100">
        <f>B4</f>
        <v>3541</v>
      </c>
      <c r="C6" s="100">
        <f t="shared" ref="C6:I6" si="0">C4</f>
        <v>2961</v>
      </c>
      <c r="D6" s="100">
        <f t="shared" si="0"/>
        <v>3728</v>
      </c>
      <c r="E6" s="100">
        <f t="shared" si="0"/>
        <v>3834</v>
      </c>
      <c r="F6" s="100">
        <f t="shared" si="0"/>
        <v>4316.6743270000006</v>
      </c>
      <c r="G6" s="100">
        <f t="shared" si="0"/>
        <v>4592</v>
      </c>
      <c r="H6" s="100">
        <f t="shared" si="0"/>
        <v>5191</v>
      </c>
      <c r="I6" s="100">
        <f t="shared" si="0"/>
        <v>5523</v>
      </c>
    </row>
    <row r="7" spans="1:9">
      <c r="B7" s="44"/>
      <c r="C7" s="44"/>
      <c r="D7" s="44"/>
      <c r="E7" s="44"/>
      <c r="F7" s="44"/>
      <c r="G7" s="44"/>
    </row>
    <row r="25" spans="1:9">
      <c r="B25" s="87" t="s">
        <v>526</v>
      </c>
      <c r="C25" s="87" t="s">
        <v>111</v>
      </c>
    </row>
    <row r="26" spans="1:9">
      <c r="A26" s="87" t="s">
        <v>530</v>
      </c>
      <c r="B26" s="87">
        <f>2*35.039</f>
        <v>70.078000000000003</v>
      </c>
      <c r="C26" s="87">
        <v>89.231999999999999</v>
      </c>
    </row>
    <row r="27" spans="1:9">
      <c r="A27" s="70" t="s">
        <v>558</v>
      </c>
      <c r="B27">
        <f>(7*B26)</f>
        <v>490.54600000000005</v>
      </c>
    </row>
    <row r="28" spans="1:9">
      <c r="A28" t="s">
        <v>528</v>
      </c>
      <c r="B28" s="87"/>
      <c r="C28" s="87">
        <f>B27+C26</f>
        <v>579.77800000000002</v>
      </c>
    </row>
    <row r="29" spans="1:9" ht="13.5" thickBot="1">
      <c r="A29" t="s">
        <v>525</v>
      </c>
      <c r="B29" s="71"/>
      <c r="C29">
        <f>C28/I6</f>
        <v>0.10497519464059388</v>
      </c>
    </row>
    <row r="30" spans="1:9" ht="13.5" thickBot="1">
      <c r="A30" s="87" t="s">
        <v>527</v>
      </c>
      <c r="B30" s="380"/>
      <c r="C30" s="422">
        <f>2*C29</f>
        <v>0.20995038928118775</v>
      </c>
      <c r="D30" t="s">
        <v>529</v>
      </c>
    </row>
    <row r="32" spans="1:9" ht="13.5" thickBot="1">
      <c r="A32" s="409"/>
      <c r="B32" s="409"/>
      <c r="C32" s="409"/>
      <c r="D32" s="409"/>
      <c r="E32" s="409"/>
      <c r="F32" s="409"/>
      <c r="G32" s="409"/>
      <c r="H32" s="409"/>
      <c r="I32" s="409"/>
    </row>
    <row r="33" spans="1:14">
      <c r="A33" s="408" t="s">
        <v>566</v>
      </c>
      <c r="B33" s="379">
        <v>2009</v>
      </c>
      <c r="C33" s="379">
        <v>2010</v>
      </c>
      <c r="D33" s="379">
        <v>2011</v>
      </c>
      <c r="E33" s="379">
        <v>2012</v>
      </c>
      <c r="F33" s="379">
        <v>2013</v>
      </c>
      <c r="G33" s="379">
        <v>2014</v>
      </c>
    </row>
    <row r="34" spans="1:14">
      <c r="A34" t="s">
        <v>506</v>
      </c>
      <c r="B34" s="44">
        <f>'Cost Trends'!O136</f>
        <v>3728</v>
      </c>
      <c r="C34" s="44">
        <f>'Cost Trends'!P136</f>
        <v>3834</v>
      </c>
      <c r="D34" s="44">
        <f>'Cost Trends'!Q136</f>
        <v>4316.6743270000006</v>
      </c>
      <c r="E34" s="44">
        <f>'Cost Trends'!R136</f>
        <v>4592</v>
      </c>
      <c r="F34" s="44">
        <f>'Cost Trends'!S136</f>
        <v>5191</v>
      </c>
      <c r="G34" s="44">
        <f>'Cost Trends'!T136</f>
        <v>5523</v>
      </c>
    </row>
    <row r="35" spans="1:14">
      <c r="B35" s="395">
        <v>0</v>
      </c>
      <c r="C35" s="395">
        <v>1</v>
      </c>
      <c r="D35" s="395">
        <v>2</v>
      </c>
      <c r="E35" s="395">
        <v>3</v>
      </c>
      <c r="F35" s="395">
        <v>4</v>
      </c>
      <c r="G35" s="395">
        <v>5</v>
      </c>
    </row>
    <row r="36" spans="1:14">
      <c r="A36" t="s">
        <v>506</v>
      </c>
      <c r="B36" s="44">
        <f>'Cost Trends'!O136</f>
        <v>3728</v>
      </c>
      <c r="C36" s="44">
        <f>'Cost Trends'!P136</f>
        <v>3834</v>
      </c>
      <c r="D36" s="44">
        <f>'Cost Trends'!Q136</f>
        <v>4316.6743270000006</v>
      </c>
      <c r="E36" s="44">
        <f>'Cost Trends'!R136</f>
        <v>4592</v>
      </c>
      <c r="F36" s="44">
        <f>'Cost Trends'!S136</f>
        <v>5191</v>
      </c>
      <c r="G36" s="44">
        <f>'Cost Trends'!T136</f>
        <v>5523</v>
      </c>
    </row>
    <row r="37" spans="1:14">
      <c r="B37" s="44"/>
      <c r="C37" s="44"/>
      <c r="D37" s="44"/>
      <c r="E37" s="44"/>
      <c r="F37" s="44"/>
      <c r="G37" s="44"/>
    </row>
    <row r="38" spans="1:14">
      <c r="M38" s="40" t="s">
        <v>550</v>
      </c>
      <c r="N38" t="s">
        <v>551</v>
      </c>
    </row>
    <row r="39" spans="1:14">
      <c r="B39" s="87" t="s">
        <v>526</v>
      </c>
      <c r="C39" s="87" t="s">
        <v>111</v>
      </c>
      <c r="L39" t="s">
        <v>554</v>
      </c>
      <c r="M39" s="399">
        <f>G36</f>
        <v>5523</v>
      </c>
      <c r="N39" s="399">
        <f>M39</f>
        <v>5523</v>
      </c>
    </row>
    <row r="40" spans="1:14">
      <c r="A40" s="87" t="s">
        <v>530</v>
      </c>
      <c r="B40" s="87">
        <f>2*28.488</f>
        <v>56.975999999999999</v>
      </c>
      <c r="C40" s="87">
        <v>238.17</v>
      </c>
      <c r="L40" t="s">
        <v>555</v>
      </c>
      <c r="M40" s="399">
        <f>28.488*6^2+238.17*6+3674.2</f>
        <v>6128.7879999999996</v>
      </c>
      <c r="N40" s="399">
        <f>G36+(2*28.488*5+238.17)</f>
        <v>6046.05</v>
      </c>
    </row>
    <row r="41" spans="1:14">
      <c r="A41" t="s">
        <v>524</v>
      </c>
      <c r="B41">
        <f>(5*B40)</f>
        <v>284.88</v>
      </c>
      <c r="L41" t="s">
        <v>556</v>
      </c>
      <c r="M41" s="400">
        <f>M40/M39-1</f>
        <v>0.10968459170740541</v>
      </c>
      <c r="N41" s="400">
        <f>N40/N39-1</f>
        <v>9.470396523628466E-2</v>
      </c>
    </row>
    <row r="42" spans="1:14">
      <c r="A42" t="s">
        <v>528</v>
      </c>
      <c r="B42" s="87"/>
      <c r="C42" s="87">
        <f>B41+C40</f>
        <v>523.04999999999995</v>
      </c>
      <c r="L42" t="s">
        <v>557</v>
      </c>
      <c r="M42" s="400">
        <f>M41*2</f>
        <v>0.21936918341481082</v>
      </c>
      <c r="N42" s="400">
        <f>N41*2</f>
        <v>0.18940793047256932</v>
      </c>
    </row>
    <row r="43" spans="1:14" ht="13.5" thickBot="1">
      <c r="A43" t="s">
        <v>525</v>
      </c>
      <c r="B43" s="71"/>
      <c r="C43">
        <f>C42/G36</f>
        <v>9.4703965236284618E-2</v>
      </c>
    </row>
    <row r="44" spans="1:14" ht="13.5" thickBot="1">
      <c r="A44" s="87" t="s">
        <v>527</v>
      </c>
      <c r="B44" s="380"/>
      <c r="C44" s="406">
        <f>2*C43</f>
        <v>0.18940793047256924</v>
      </c>
      <c r="D44" t="s">
        <v>529</v>
      </c>
      <c r="M44" s="100">
        <f>M40-M39</f>
        <v>605.78799999999956</v>
      </c>
      <c r="N44" s="100">
        <f>N40-N39</f>
        <v>523.05000000000018</v>
      </c>
    </row>
  </sheetData>
  <mergeCells count="1">
    <mergeCell ref="A1:D1"/>
  </mergeCells>
  <pageMargins left="0.7" right="0.7" top="0.75" bottom="0.75" header="0.3" footer="0.3"/>
  <pageSetup scale="88" orientation="portrait" r:id="rId1"/>
  <headerFooter scaleWithDoc="0">
    <oddHeader>&amp;RExh. CRM-9
Dockets UE-150204/UG-150205
Exhibit No. __(EMA-7)</oddHeader>
    <oddFooter xml:space="preserve">&amp;RPage &amp;P of &amp;N  </oddFooter>
  </headerFooter>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view="pageBreakPreview" zoomScale="60" zoomScaleNormal="100" workbookViewId="0">
      <selection activeCell="J18" sqref="J18"/>
    </sheetView>
  </sheetViews>
  <sheetFormatPr defaultRowHeight="12.75"/>
  <cols>
    <col min="1" max="1" width="19.7109375" customWidth="1"/>
  </cols>
  <sheetData>
    <row r="1" spans="1:7">
      <c r="B1" s="379">
        <v>2009</v>
      </c>
      <c r="C1" s="379">
        <v>2010</v>
      </c>
      <c r="D1" s="379">
        <v>2011</v>
      </c>
      <c r="E1" s="379">
        <v>2012</v>
      </c>
      <c r="F1" s="379">
        <v>2013</v>
      </c>
      <c r="G1" s="379">
        <v>2014</v>
      </c>
    </row>
    <row r="2" spans="1:7">
      <c r="A2" t="s">
        <v>514</v>
      </c>
      <c r="B2" s="44">
        <f>'Cost Trends'!O149</f>
        <v>93</v>
      </c>
      <c r="C2" s="44">
        <f>'Cost Trends'!P149</f>
        <v>64</v>
      </c>
      <c r="D2" s="44">
        <f>'Cost Trends'!Q149</f>
        <v>47</v>
      </c>
      <c r="E2" s="44">
        <f>'Cost Trends'!R149</f>
        <v>285</v>
      </c>
      <c r="F2" s="44">
        <f>'Cost Trends'!S149</f>
        <v>403</v>
      </c>
      <c r="G2" s="44">
        <f>'Cost Trends'!T149</f>
        <v>332</v>
      </c>
    </row>
    <row r="6" spans="1:7">
      <c r="A6" t="s">
        <v>515</v>
      </c>
      <c r="B6">
        <v>70</v>
      </c>
    </row>
    <row r="7" spans="1:7">
      <c r="A7" t="s">
        <v>516</v>
      </c>
      <c r="B7" s="71">
        <f>70/332</f>
        <v>0.21084337349397592</v>
      </c>
    </row>
    <row r="8" spans="1:7">
      <c r="A8" t="s">
        <v>517</v>
      </c>
      <c r="B8" s="71">
        <f>B7*2</f>
        <v>0.42168674698795183</v>
      </c>
      <c r="C8" t="s">
        <v>522</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Layout" zoomScaleNormal="100" zoomScaleSheetLayoutView="115" workbookViewId="0">
      <selection sqref="A1:G3"/>
    </sheetView>
  </sheetViews>
  <sheetFormatPr defaultRowHeight="12.75"/>
  <cols>
    <col min="1" max="1" width="42.140625" customWidth="1"/>
    <col min="2" max="2" width="7.140625" customWidth="1"/>
    <col min="3" max="3" width="9.42578125" customWidth="1"/>
    <col min="4" max="4" width="10.42578125" customWidth="1"/>
    <col min="5" max="5" width="7" customWidth="1"/>
    <col min="6" max="6" width="6.85546875" customWidth="1"/>
    <col min="7" max="7" width="6.7109375" customWidth="1"/>
  </cols>
  <sheetData>
    <row r="1" spans="1:7">
      <c r="A1" s="582" t="s">
        <v>572</v>
      </c>
      <c r="B1" s="582"/>
      <c r="C1" s="582"/>
      <c r="D1" s="582"/>
      <c r="E1" s="582"/>
      <c r="F1" s="582"/>
      <c r="G1" s="582"/>
    </row>
    <row r="2" spans="1:7">
      <c r="A2" s="582"/>
      <c r="B2" s="582"/>
      <c r="C2" s="582"/>
      <c r="D2" s="582"/>
      <c r="E2" s="582"/>
      <c r="F2" s="582"/>
      <c r="G2" s="582"/>
    </row>
    <row r="3" spans="1:7" ht="56.25" customHeight="1">
      <c r="A3" s="582"/>
      <c r="B3" s="582"/>
      <c r="C3" s="582"/>
      <c r="D3" s="582"/>
      <c r="E3" s="582"/>
      <c r="F3" s="582"/>
      <c r="G3" s="582"/>
    </row>
    <row r="4" spans="1:7">
      <c r="A4" s="70" t="s">
        <v>299</v>
      </c>
      <c r="B4" s="379">
        <v>2009</v>
      </c>
      <c r="C4" s="379">
        <v>2010</v>
      </c>
      <c r="D4" s="379">
        <v>2011</v>
      </c>
      <c r="E4" s="379">
        <v>2012</v>
      </c>
      <c r="F4" s="379">
        <v>2013</v>
      </c>
      <c r="G4" s="379">
        <v>2014</v>
      </c>
    </row>
    <row r="5" spans="1:7">
      <c r="A5" t="s">
        <v>549</v>
      </c>
      <c r="B5" s="116">
        <f>'Cost Trends'!O113</f>
        <v>24600</v>
      </c>
      <c r="C5" s="116">
        <f>'Cost Trends'!P113</f>
        <v>26009</v>
      </c>
      <c r="D5" s="116">
        <f>'Cost Trends'!Q113</f>
        <v>27851.852941999998</v>
      </c>
      <c r="F5" s="116">
        <f>'Cost Trends'!S113</f>
        <v>31057</v>
      </c>
      <c r="G5" s="116">
        <f>'Cost Trends'!T113</f>
        <v>31478</v>
      </c>
    </row>
    <row r="6" spans="1:7">
      <c r="A6" t="s">
        <v>507</v>
      </c>
      <c r="B6" s="116"/>
      <c r="C6" s="116"/>
      <c r="D6" s="116"/>
      <c r="E6" s="116">
        <f>'Cost Trends'!R113</f>
        <v>30759</v>
      </c>
    </row>
    <row r="7" spans="1:7">
      <c r="A7" t="s">
        <v>508</v>
      </c>
      <c r="B7" s="381"/>
      <c r="C7" s="381"/>
      <c r="D7" s="381"/>
      <c r="E7" s="381"/>
      <c r="F7" s="44">
        <f>F5</f>
        <v>31057</v>
      </c>
      <c r="G7" s="44">
        <f>G5</f>
        <v>31478</v>
      </c>
    </row>
    <row r="8" spans="1:7">
      <c r="C8" s="44"/>
      <c r="D8" s="44"/>
      <c r="E8" s="44"/>
    </row>
    <row r="9" spans="1:7">
      <c r="B9" s="382" t="s">
        <v>509</v>
      </c>
      <c r="C9" s="379" t="s">
        <v>510</v>
      </c>
      <c r="D9" s="379" t="s">
        <v>511</v>
      </c>
    </row>
    <row r="10" spans="1:7">
      <c r="A10" t="s">
        <v>512</v>
      </c>
      <c r="B10" s="383">
        <v>421</v>
      </c>
      <c r="C10" s="589">
        <f>B10/G5</f>
        <v>1.3374420230001906E-2</v>
      </c>
      <c r="D10" s="589">
        <f>C10*2</f>
        <v>2.6748840460003812E-2</v>
      </c>
    </row>
    <row r="11" spans="1:7" ht="13.5" thickBot="1">
      <c r="A11" s="87" t="s">
        <v>523</v>
      </c>
      <c r="B11" s="384">
        <f>C11*G5</f>
        <v>944.33999999999992</v>
      </c>
      <c r="C11" s="590">
        <v>0.03</v>
      </c>
      <c r="D11" s="590">
        <f>C11*2</f>
        <v>0.06</v>
      </c>
    </row>
    <row r="12" spans="1:7" ht="13.5" thickBot="1">
      <c r="A12" s="385" t="s">
        <v>513</v>
      </c>
      <c r="C12" s="463">
        <v>2.4199999999999999E-2</v>
      </c>
      <c r="D12" s="462">
        <f>2*C12</f>
        <v>4.8399999999999999E-2</v>
      </c>
      <c r="E12" s="461" t="s">
        <v>574</v>
      </c>
    </row>
    <row r="13" spans="1:7">
      <c r="E13" s="70" t="s">
        <v>575</v>
      </c>
    </row>
    <row r="37" spans="4:7">
      <c r="D37" s="381"/>
      <c r="E37" s="381"/>
      <c r="F37" s="381"/>
      <c r="G37" s="381"/>
    </row>
    <row r="38" spans="4:7">
      <c r="D38" s="381"/>
      <c r="E38" s="112"/>
      <c r="F38" s="112"/>
      <c r="G38" s="112"/>
    </row>
    <row r="39" spans="4:7">
      <c r="D39" s="381"/>
      <c r="E39" s="112"/>
      <c r="F39" s="112"/>
      <c r="G39" s="112"/>
    </row>
    <row r="40" spans="4:7">
      <c r="D40" s="381"/>
      <c r="E40" s="112"/>
      <c r="F40" s="112"/>
      <c r="G40" s="112"/>
    </row>
    <row r="41" spans="4:7">
      <c r="D41" s="112"/>
      <c r="E41" s="112"/>
      <c r="F41" s="381"/>
      <c r="G41" s="386"/>
    </row>
  </sheetData>
  <mergeCells count="1">
    <mergeCell ref="A1:G3"/>
  </mergeCells>
  <pageMargins left="0.7" right="0.7" top="0.75" bottom="0.75" header="0.3" footer="0.3"/>
  <pageSetup orientation="portrait" r:id="rId1"/>
  <headerFooter scaleWithDoc="0">
    <oddHeader>&amp;RExh. CRM-9
Dockets UE-150204/UG-150205
Exhibit No. __(EMA-7)</oddHeader>
    <oddFooter xml:space="preserve">&amp;RPage &amp;P of &amp;N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Visibility xmlns="dc463f71-b30c-4ab2-9473-d307f9d35888">Full Visibility</Visibility>
    <DocumentSetType xmlns="dc463f71-b30c-4ab2-9473-d307f9d35888">Testimony</DocumentSetType>
    <IsConfidential xmlns="dc463f71-b30c-4ab2-9473-d307f9d35888">false</IsConfidential>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2019-09-13T23:06:59+00:00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150204</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A6B976EE-D3FC-49FD-9D40-715CF13A273D}"/>
</file>

<file path=customXml/itemProps2.xml><?xml version="1.0" encoding="utf-8"?>
<ds:datastoreItem xmlns:ds="http://schemas.openxmlformats.org/officeDocument/2006/customXml" ds:itemID="{E3FDCB60-32DB-4097-8F16-5C59A1C8BA49}">
  <ds:schemaRefs>
    <ds:schemaRef ds:uri="http://schemas.microsoft.com/sharepoint/v3/contenttype/forms"/>
  </ds:schemaRefs>
</ds:datastoreItem>
</file>

<file path=customXml/itemProps3.xml><?xml version="1.0" encoding="utf-8"?>
<ds:datastoreItem xmlns:ds="http://schemas.openxmlformats.org/officeDocument/2006/customXml" ds:itemID="{8C8C61CF-7316-4437-A73E-E68504F63E7A}">
  <ds:schemaRefs>
    <ds:schemaRef ds:uri="http://schemas.microsoft.com/office/2006/metadata/properties"/>
    <ds:schemaRef ds:uri="97392cb8-9343-4b95-adde-cec88b6c7c00"/>
    <ds:schemaRef ds:uri="http://purl.org/dc/terms/"/>
    <ds:schemaRef ds:uri="24f70c62-691b-492e-ba59-9d389529a9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588DC9E5-3092-47EE-8B96-7D138B39EF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Summary</vt:lpstr>
      <vt:lpstr>ROR</vt:lpstr>
      <vt:lpstr>Attrition 09.2014 to 2016</vt:lpstr>
      <vt:lpstr>Cost Trends</vt:lpstr>
      <vt:lpstr>Net plant</vt:lpstr>
      <vt:lpstr>Dep Amort</vt:lpstr>
      <vt:lpstr>Taxes (other than income)</vt:lpstr>
      <vt:lpstr>Other Revenue</vt:lpstr>
      <vt:lpstr>Op Exp</vt:lpstr>
      <vt:lpstr>Weighted Revenue Growth</vt:lpstr>
      <vt:lpstr>Plant trends</vt:lpstr>
      <vt:lpstr>09.2014 Revenue Model</vt:lpstr>
      <vt:lpstr>Forecast Bill Determinants</vt:lpstr>
      <vt:lpstr>Riders and Gas Cost Revenue</vt:lpstr>
      <vt:lpstr>Reg Amort and Other RB</vt:lpstr>
      <vt:lpstr>'09.2014 Revenue Model'!Print_Area</vt:lpstr>
      <vt:lpstr>'Attrition 09.2014 to 2016'!Print_Area</vt:lpstr>
      <vt:lpstr>'Cost Trends'!Print_Area</vt:lpstr>
      <vt:lpstr>'Dep Amort'!Print_Area</vt:lpstr>
      <vt:lpstr>'Net plant'!Print_Area</vt:lpstr>
      <vt:lpstr>'Riders and Gas Cost Revenue'!Print_Area</vt:lpstr>
      <vt:lpstr>ROR!Print_Area</vt:lpstr>
      <vt:lpstr>Summary!Print_Area</vt:lpstr>
      <vt:lpstr>'Taxes (other than income)'!Print_Area</vt:lpstr>
      <vt:lpstr>'Weighted Revenue Growth'!Print_Area</vt:lpstr>
      <vt:lpstr>'Cost Trends'!Print_Titles</vt:lpstr>
      <vt:lpstr>'Riders and Gas Cost Revenue'!Print_Titles</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Staff Natural Gas Attrition Study</dc:title>
  <dc:creator>Preferred Customer</dc:creator>
  <dc:description/>
  <cp:lastModifiedBy>DeMarco, Betsy (UTC)</cp:lastModifiedBy>
  <cp:lastPrinted>2019-09-13T18:34:48Z</cp:lastPrinted>
  <dcterms:created xsi:type="dcterms:W3CDTF">1997-05-15T21:41:44Z</dcterms:created>
  <dcterms:modified xsi:type="dcterms:W3CDTF">2019-09-13T18:35:01Z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y fmtid="{D5CDD505-2E9C-101B-9397-08002B2CF9AE}" pid="4" name="IsEFSEC">
    <vt:bool>false</vt:bool>
  </property>
</Properties>
</file>