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rinterSettings/printerSettings1.bin" ContentType="application/vnd.openxmlformats-officedocument.spreadsheetml.printerSettings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rinterSettings/printerSettings2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3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ulli\Desktop\_PSE02- UE-220026 2022GRC\dir\exh\"/>
    </mc:Choice>
  </mc:AlternateContent>
  <xr:revisionPtr revIDLastSave="0" documentId="13_ncr:1_{00FE053C-C86C-4748-8A42-B774DE85181E}" xr6:coauthVersionLast="47" xr6:coauthVersionMax="47" xr10:uidLastSave="{00000000-0000-0000-0000-000000000000}"/>
  <bookViews>
    <workbookView xWindow="-28920" yWindow="-120" windowWidth="29040" windowHeight="13665" firstSheet="1" activeTab="2" xr2:uid="{00000000-000D-0000-FFFF-FFFF00000000}"/>
  </bookViews>
  <sheets>
    <sheet name="_com.sap.ip.bi.xl.hiddensheet" sheetId="2" state="veryHidden" r:id="rId1"/>
    <sheet name="Adjustment" sheetId="20" r:id="rId2"/>
    <sheet name="BGM-10" sheetId="18" r:id="rId3"/>
    <sheet name="PSE WPS-&gt;" sheetId="19" r:id="rId4"/>
    <sheet name="LEAD" sheetId="16" r:id="rId5"/>
    <sheet name="LEAD (FERC)" sheetId="17" r:id="rId6"/>
    <sheet name="Storm Amortization" sheetId="14" r:id="rId7"/>
  </sheets>
  <externalReferences>
    <externalReference r:id="rId8"/>
    <externalReference r:id="rId9"/>
    <externalReference r:id="rId10"/>
    <externalReference r:id="rId11"/>
  </externalReferences>
  <definedNames>
    <definedName name="_Order1">255</definedName>
    <definedName name="_Order2">255</definedName>
    <definedName name="AccessDatabase">"I:\COMTREL\FINICLE\TradeSummary.mdb"</definedName>
    <definedName name="CBWorkbookPriority">-2060790043</definedName>
    <definedName name="HTML_Control">{"'Sheet1'!$A$1:$J$121"}</definedName>
    <definedName name="_xlnm.Print_Area" localSheetId="2">'BGM-10'!$A$1:$M$71</definedName>
    <definedName name="_xlnm.Print_Titles" localSheetId="2">'BGM-10'!$4:$7</definedName>
    <definedName name="solver_eval">0</definedName>
    <definedName name="solver_ntri">1000</definedName>
    <definedName name="solver_rsmp">1</definedName>
    <definedName name="solver_seed">0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" i="20" l="1"/>
  <c r="H29" i="20" l="1"/>
  <c r="O71" i="18"/>
  <c r="O59" i="18"/>
  <c r="O47" i="18"/>
  <c r="G37" i="20"/>
  <c r="M59" i="18"/>
  <c r="M71" i="18"/>
  <c r="H37" i="20" s="1"/>
  <c r="M47" i="18"/>
  <c r="F37" i="20" s="1"/>
  <c r="F29" i="20"/>
  <c r="F31" i="20" s="1"/>
  <c r="G29" i="20"/>
  <c r="E37" i="20"/>
  <c r="E53" i="20"/>
  <c r="E20" i="20"/>
  <c r="H19" i="20"/>
  <c r="G19" i="20"/>
  <c r="F19" i="20"/>
  <c r="M9" i="20"/>
  <c r="G31" i="20" l="1"/>
  <c r="G8" i="20" s="1"/>
  <c r="F20" i="20"/>
  <c r="G20" i="20" s="1"/>
  <c r="E44" i="20"/>
  <c r="E22" i="20"/>
  <c r="E24" i="20" s="1"/>
  <c r="F22" i="20"/>
  <c r="F24" i="20" s="1"/>
  <c r="E31" i="20"/>
  <c r="F8" i="20" s="1"/>
  <c r="G22" i="20" l="1"/>
  <c r="G24" i="20" s="1"/>
  <c r="F44" i="20"/>
  <c r="H22" i="20"/>
  <c r="H20" i="20"/>
  <c r="H31" i="20" l="1"/>
  <c r="H8" i="20" s="1"/>
  <c r="H24" i="20"/>
  <c r="G44" i="20"/>
  <c r="H44" i="20" l="1"/>
  <c r="K36" i="14" l="1"/>
  <c r="L36" i="14"/>
  <c r="M36" i="14"/>
  <c r="N36" i="14"/>
  <c r="O36" i="14"/>
  <c r="P36" i="14"/>
  <c r="Q36" i="14"/>
  <c r="R36" i="14"/>
  <c r="S36" i="14"/>
  <c r="T36" i="14"/>
  <c r="U36" i="14"/>
  <c r="V36" i="14"/>
  <c r="W36" i="14"/>
  <c r="D50" i="14" l="1"/>
  <c r="D49" i="14"/>
  <c r="D48" i="14" l="1"/>
  <c r="G13" i="14" l="1"/>
  <c r="D13" i="14"/>
  <c r="D9" i="14"/>
  <c r="G9" i="14"/>
  <c r="H9" i="14" s="1"/>
  <c r="D24" i="16" l="1"/>
  <c r="D26" i="16" s="1"/>
  <c r="E24" i="17"/>
  <c r="D15" i="14"/>
  <c r="G15" i="14"/>
  <c r="D44" i="14" l="1"/>
  <c r="E26" i="17"/>
  <c r="E28" i="17" s="1"/>
  <c r="E30" i="17" s="1"/>
  <c r="D28" i="16"/>
  <c r="D30" i="16" s="1"/>
  <c r="D17" i="14"/>
  <c r="F44" i="14"/>
  <c r="D8" i="18" l="1"/>
  <c r="I24" i="17"/>
  <c r="K24" i="17"/>
  <c r="K26" i="17" s="1"/>
  <c r="H24" i="16"/>
  <c r="J24" i="16"/>
  <c r="J26" i="16" s="1"/>
  <c r="J28" i="16" s="1"/>
  <c r="J30" i="16" s="1"/>
  <c r="D18" i="14"/>
  <c r="D38" i="14"/>
  <c r="D51" i="14"/>
  <c r="D9" i="18" l="1"/>
  <c r="E9" i="18" s="1"/>
  <c r="F51" i="14"/>
  <c r="K24" i="16"/>
  <c r="L24" i="16" s="1"/>
  <c r="L24" i="17"/>
  <c r="M24" i="17" s="1"/>
  <c r="G24" i="17"/>
  <c r="F24" i="16"/>
  <c r="K28" i="17"/>
  <c r="K30" i="17" s="1"/>
  <c r="D36" i="14"/>
  <c r="D39" i="14" s="1"/>
  <c r="I26" i="17"/>
  <c r="I28" i="17" s="1"/>
  <c r="I30" i="17" s="1"/>
  <c r="F52" i="14"/>
  <c r="D10" i="18" l="1"/>
  <c r="G26" i="17"/>
  <c r="G28" i="17" s="1"/>
  <c r="G30" i="17" s="1"/>
  <c r="F24" i="17"/>
  <c r="F26" i="17" s="1"/>
  <c r="F28" i="17" s="1"/>
  <c r="F30" i="17" s="1"/>
  <c r="O24" i="17"/>
  <c r="M26" i="17"/>
  <c r="F26" i="16"/>
  <c r="E24" i="16"/>
  <c r="E26" i="16" s="1"/>
  <c r="H24" i="17"/>
  <c r="H26" i="17" s="1"/>
  <c r="H28" i="17" s="1"/>
  <c r="H30" i="17" s="1"/>
  <c r="D11" i="18" l="1"/>
  <c r="E11" i="18"/>
  <c r="E10" i="18"/>
  <c r="E28" i="16"/>
  <c r="E30" i="16" s="1"/>
  <c r="Q24" i="17"/>
  <c r="Q26" i="17" s="1"/>
  <c r="Q28" i="17" s="1"/>
  <c r="Q30" i="17" s="1"/>
  <c r="O26" i="17"/>
  <c r="O28" i="17" s="1"/>
  <c r="O30" i="17" s="1"/>
  <c r="F28" i="16"/>
  <c r="F30" i="16" s="1"/>
  <c r="M28" i="17"/>
  <c r="L28" i="17" s="1"/>
  <c r="L26" i="17"/>
  <c r="H26" i="16"/>
  <c r="G24" i="16"/>
  <c r="D12" i="18" l="1"/>
  <c r="M30" i="17"/>
  <c r="L30" i="17" s="1"/>
  <c r="G26" i="16"/>
  <c r="G28" i="16" s="1"/>
  <c r="G30" i="16" s="1"/>
  <c r="H28" i="16"/>
  <c r="D13" i="18" l="1"/>
  <c r="E12" i="18"/>
  <c r="H30" i="16"/>
  <c r="D14" i="18" l="1"/>
  <c r="E14" i="18" s="1"/>
  <c r="E13" i="18"/>
  <c r="N24" i="16"/>
  <c r="N26" i="16" s="1"/>
  <c r="L26" i="16"/>
  <c r="K26" i="16" s="1"/>
  <c r="D15" i="18" l="1"/>
  <c r="L28" i="16"/>
  <c r="K28" i="16" s="1"/>
  <c r="N28" i="16"/>
  <c r="N30" i="16" s="1"/>
  <c r="D16" i="18" l="1"/>
  <c r="E16" i="18" s="1"/>
  <c r="E15" i="18"/>
  <c r="L30" i="16"/>
  <c r="K30" i="16" s="1"/>
  <c r="D17" i="18" l="1"/>
  <c r="D18" i="18" l="1"/>
  <c r="E18" i="18"/>
  <c r="E17" i="18"/>
  <c r="D19" i="18" l="1"/>
  <c r="E19" i="18" s="1"/>
  <c r="D20" i="18" l="1"/>
  <c r="D21" i="18" l="1"/>
  <c r="E20" i="18"/>
  <c r="D22" i="18" l="1"/>
  <c r="E22" i="18" s="1"/>
  <c r="E21" i="18"/>
  <c r="D23" i="18" l="1"/>
  <c r="E23" i="18" s="1"/>
  <c r="D24" i="18" l="1"/>
  <c r="E24" i="18" l="1"/>
  <c r="D25" i="18"/>
  <c r="D26" i="18" l="1"/>
  <c r="E25" i="18"/>
  <c r="D27" i="18" l="1"/>
  <c r="E26" i="18"/>
  <c r="D28" i="18" l="1"/>
  <c r="E27" i="18"/>
  <c r="D29" i="18" l="1"/>
  <c r="E29" i="18"/>
  <c r="E28" i="18"/>
  <c r="D30" i="18" l="1"/>
  <c r="E30" i="18"/>
  <c r="D31" i="18" l="1"/>
  <c r="D32" i="18" l="1"/>
  <c r="E32" i="18" s="1"/>
  <c r="E31" i="18"/>
  <c r="D33" i="18" l="1"/>
  <c r="E33" i="18"/>
  <c r="D34" i="18" l="1"/>
  <c r="D35" i="18"/>
  <c r="E34" i="18"/>
  <c r="E35" i="18" l="1"/>
  <c r="D36" i="18"/>
  <c r="H36" i="18" s="1"/>
  <c r="I37" i="18" l="1"/>
  <c r="I45" i="18"/>
  <c r="I53" i="18"/>
  <c r="I61" i="18"/>
  <c r="I69" i="18"/>
  <c r="I38" i="18"/>
  <c r="I46" i="18"/>
  <c r="I54" i="18"/>
  <c r="I62" i="18"/>
  <c r="I70" i="18"/>
  <c r="I58" i="18"/>
  <c r="I39" i="18"/>
  <c r="I47" i="18"/>
  <c r="I55" i="18"/>
  <c r="I63" i="18"/>
  <c r="I71" i="18"/>
  <c r="I66" i="18"/>
  <c r="I40" i="18"/>
  <c r="I48" i="18"/>
  <c r="I56" i="18"/>
  <c r="I64" i="18"/>
  <c r="H37" i="18"/>
  <c r="I41" i="18"/>
  <c r="I49" i="18"/>
  <c r="I57" i="18"/>
  <c r="I65" i="18"/>
  <c r="I36" i="18"/>
  <c r="I42" i="18"/>
  <c r="I43" i="18"/>
  <c r="I51" i="18"/>
  <c r="I59" i="18"/>
  <c r="I67" i="18"/>
  <c r="I44" i="18"/>
  <c r="I52" i="18"/>
  <c r="I60" i="18"/>
  <c r="I68" i="18"/>
  <c r="I50" i="18"/>
  <c r="E36" i="18"/>
  <c r="J71" i="18" l="1"/>
  <c r="J59" i="18"/>
  <c r="J47" i="18"/>
  <c r="D37" i="18"/>
  <c r="D38" i="18" l="1"/>
  <c r="E37" i="18"/>
  <c r="E38" i="18" l="1"/>
  <c r="H38" i="18"/>
  <c r="D39" i="18"/>
  <c r="H39" i="18" s="1"/>
  <c r="E39" i="18" l="1"/>
  <c r="D40" i="18"/>
  <c r="H40" i="18" s="1"/>
  <c r="D41" i="18" l="1"/>
  <c r="H41" i="18" s="1"/>
  <c r="E40" i="18"/>
  <c r="D42" i="18" l="1"/>
  <c r="H42" i="18" s="1"/>
  <c r="E41" i="18"/>
  <c r="D43" i="18" l="1"/>
  <c r="H43" i="18" s="1"/>
  <c r="E42" i="18"/>
  <c r="D44" i="18" l="1"/>
  <c r="H44" i="18" s="1"/>
  <c r="E43" i="18"/>
  <c r="D45" i="18" l="1"/>
  <c r="H45" i="18" s="1"/>
  <c r="E44" i="18"/>
  <c r="D46" i="18" l="1"/>
  <c r="H46" i="18" s="1"/>
  <c r="E45" i="18"/>
  <c r="D47" i="18" l="1"/>
  <c r="H47" i="18" s="1"/>
  <c r="E46" i="18"/>
  <c r="D48" i="18" l="1"/>
  <c r="H48" i="18" s="1"/>
  <c r="E47" i="18"/>
  <c r="F47" i="18" s="1"/>
  <c r="L47" i="18" s="1"/>
  <c r="D49" i="18" l="1"/>
  <c r="H49" i="18" s="1"/>
  <c r="E48" i="18"/>
  <c r="D50" i="18" l="1"/>
  <c r="H50" i="18" s="1"/>
  <c r="E49" i="18"/>
  <c r="D51" i="18" l="1"/>
  <c r="H51" i="18" s="1"/>
  <c r="E50" i="18"/>
  <c r="D52" i="18" l="1"/>
  <c r="H52" i="18" s="1"/>
  <c r="E51" i="18"/>
  <c r="D53" i="18" l="1"/>
  <c r="H53" i="18" s="1"/>
  <c r="E52" i="18"/>
  <c r="D54" i="18" l="1"/>
  <c r="H54" i="18" s="1"/>
  <c r="E53" i="18"/>
  <c r="D55" i="18" l="1"/>
  <c r="H55" i="18" s="1"/>
  <c r="E54" i="18"/>
  <c r="D56" i="18" l="1"/>
  <c r="H56" i="18" s="1"/>
  <c r="E55" i="18"/>
  <c r="D57" i="18" l="1"/>
  <c r="H57" i="18" s="1"/>
  <c r="E56" i="18"/>
  <c r="D58" i="18" l="1"/>
  <c r="H58" i="18" s="1"/>
  <c r="E57" i="18"/>
  <c r="D59" i="18" l="1"/>
  <c r="H59" i="18" s="1"/>
  <c r="E58" i="18"/>
  <c r="D60" i="18" l="1"/>
  <c r="H60" i="18" s="1"/>
  <c r="E59" i="18"/>
  <c r="F59" i="18" s="1"/>
  <c r="L59" i="18" s="1"/>
  <c r="D61" i="18" l="1"/>
  <c r="E60" i="18"/>
  <c r="E61" i="18" l="1"/>
  <c r="H61" i="18"/>
  <c r="D62" i="18"/>
  <c r="H62" i="18" s="1"/>
  <c r="D69" i="18"/>
  <c r="H69" i="18" s="1"/>
  <c r="D63" i="18" l="1"/>
  <c r="H63" i="18" s="1"/>
  <c r="E62" i="18"/>
  <c r="D71" i="18"/>
  <c r="H71" i="18" s="1"/>
  <c r="D70" i="18"/>
  <c r="E71" i="18" l="1"/>
  <c r="H70" i="18"/>
  <c r="D64" i="18"/>
  <c r="H64" i="18" s="1"/>
  <c r="E63" i="18"/>
  <c r="E70" i="18"/>
  <c r="D65" i="18" l="1"/>
  <c r="E64" i="18"/>
  <c r="E65" i="18" l="1"/>
  <c r="H65" i="18"/>
  <c r="D66" i="18"/>
  <c r="H66" i="18" s="1"/>
  <c r="D68" i="18" l="1"/>
  <c r="D67" i="18"/>
  <c r="E66" i="18"/>
  <c r="E67" i="18"/>
  <c r="E68" i="18" l="1"/>
  <c r="H67" i="18"/>
  <c r="E69" i="18"/>
  <c r="H68" i="18"/>
  <c r="F71" i="18"/>
  <c r="P24" i="16" l="1"/>
  <c r="L71" i="18"/>
  <c r="O24" i="16"/>
  <c r="P26" i="16"/>
  <c r="O26" i="16" l="1"/>
  <c r="P28" i="16"/>
  <c r="P30" i="16" l="1"/>
  <c r="O30" i="16" s="1"/>
  <c r="O28" i="16"/>
  <c r="G39" i="20" l="1"/>
  <c r="G41" i="20" s="1"/>
  <c r="G51" i="20" s="1"/>
  <c r="G53" i="20" s="1"/>
  <c r="F39" i="20"/>
  <c r="F41" i="20" s="1"/>
  <c r="F51" i="20" s="1"/>
  <c r="F53" i="20" s="1"/>
  <c r="H39" i="20"/>
  <c r="H41" i="20" s="1"/>
  <c r="H51" i="20" s="1"/>
  <c r="H53" i="20" s="1"/>
  <c r="H9" i="20" l="1"/>
  <c r="H10" i="20" s="1"/>
  <c r="F9" i="20"/>
  <c r="F10" i="20" s="1"/>
  <c r="G9" i="20"/>
  <c r="G10" i="20" s="1"/>
</calcChain>
</file>

<file path=xl/sharedStrings.xml><?xml version="1.0" encoding="utf-8"?>
<sst xmlns="http://schemas.openxmlformats.org/spreadsheetml/2006/main" count="239" uniqueCount="122">
  <si>
    <t>RESTATED</t>
  </si>
  <si>
    <t>PROFORMA</t>
  </si>
  <si>
    <t>LINE</t>
  </si>
  <si>
    <t>NO.</t>
  </si>
  <si>
    <t>DESCRIPTION</t>
  </si>
  <si>
    <t>%'s</t>
  </si>
  <si>
    <t>DEFERRED STORM DAMAGE AMORTIZATION EXPENSE</t>
  </si>
  <si>
    <t>INCREASE (DECREASE) IN EXPENSE</t>
  </si>
  <si>
    <t>INCREASE (DECREASE) FIT @</t>
  </si>
  <si>
    <t>INCREASE (DECREASE) NOI</t>
  </si>
  <si>
    <t>2022 GENERAL RATE CASE</t>
  </si>
  <si>
    <t>TEST</t>
  </si>
  <si>
    <t>YEAR</t>
  </si>
  <si>
    <t>Annual</t>
  </si>
  <si>
    <t>EOP</t>
  </si>
  <si>
    <t>AMA</t>
  </si>
  <si>
    <t>Storm Dam</t>
  </si>
  <si>
    <t>2012 Storm Amortization - 6 Years</t>
  </si>
  <si>
    <t>BLOCKED-2015 Storm Amortization - 4 Yea</t>
  </si>
  <si>
    <t>2016 Storm Amortization - 4 Years</t>
  </si>
  <si>
    <t>2017 Storm Excess Costs</t>
  </si>
  <si>
    <t>2017 Storm Amortization Recovery July 2</t>
  </si>
  <si>
    <t>2018 Storm Excess Costs</t>
  </si>
  <si>
    <t>2019 Storm Excess Costs</t>
  </si>
  <si>
    <t>2020 Storm Excess Costs</t>
  </si>
  <si>
    <t>2021 Storm Excess Costs</t>
  </si>
  <si>
    <t>Annual Amortization (5 years)</t>
  </si>
  <si>
    <t>Monthly Amortization (5 years)</t>
  </si>
  <si>
    <t>Orders</t>
  </si>
  <si>
    <t>12 Months</t>
  </si>
  <si>
    <t>6/2021</t>
  </si>
  <si>
    <t>5/2021</t>
  </si>
  <si>
    <t>4/2021</t>
  </si>
  <si>
    <t>3/2021</t>
  </si>
  <si>
    <t>2/2021</t>
  </si>
  <si>
    <t>1/2021</t>
  </si>
  <si>
    <t>12/2020</t>
  </si>
  <si>
    <t>11/2020</t>
  </si>
  <si>
    <t>10/2020</t>
  </si>
  <si>
    <t>9/2020</t>
  </si>
  <si>
    <t>8/2020</t>
  </si>
  <si>
    <t>7/2020</t>
  </si>
  <si>
    <t xml:space="preserve">   40700050  2012 Storm Amortization - 6 Yrs</t>
  </si>
  <si>
    <t xml:space="preserve">   40700055  2010 - July 2017 Storm Amort - 4 years</t>
  </si>
  <si>
    <t xml:space="preserve">   40700060  2012 - 2019 Storm Amort - 5 years</t>
  </si>
  <si>
    <t>Test Year Amortization</t>
  </si>
  <si>
    <t>UE-180899 (ERF)</t>
  </si>
  <si>
    <t>UE-190529</t>
  </si>
  <si>
    <t>Balance to be amortized in Compliance</t>
  </si>
  <si>
    <t>4 year amortization</t>
  </si>
  <si>
    <t>new</t>
  </si>
  <si>
    <t>ZRW_Zo12</t>
  </si>
  <si>
    <t>PUGET SOUND ENERGY - ELECTRIC</t>
  </si>
  <si>
    <t>12 MONTHS ENDED JUNE 30, 2021</t>
  </si>
  <si>
    <t>DEC 2021</t>
  </si>
  <si>
    <t>ADJUSTED</t>
  </si>
  <si>
    <t>12ME JUNE 2021</t>
  </si>
  <si>
    <t>TRADITIONAL</t>
  </si>
  <si>
    <t>GAP YEAR</t>
  </si>
  <si>
    <t>RESULTS</t>
  </si>
  <si>
    <t>RATE YEAR 1</t>
  </si>
  <si>
    <t>RATE YEAR 2</t>
  </si>
  <si>
    <t>RATE YEAR 3</t>
  </si>
  <si>
    <t>RESTATING</t>
  </si>
  <si>
    <t>RESULTS OF</t>
  </si>
  <si>
    <t>PROVISIONAL</t>
  </si>
  <si>
    <t>START OF</t>
  </si>
  <si>
    <t>END OF</t>
  </si>
  <si>
    <t>ADJUSTMENTS</t>
  </si>
  <si>
    <t>OPERATIONS</t>
  </si>
  <si>
    <t>Adjustment</t>
  </si>
  <si>
    <t>per UE-190529</t>
  </si>
  <si>
    <t>Annualize UE-190529</t>
  </si>
  <si>
    <t>prorated (17/31 days) UE-190529</t>
  </si>
  <si>
    <t>Balance to be amortized  (5 yr) per UE-190529</t>
  </si>
  <si>
    <t>Proforma Amortization</t>
  </si>
  <si>
    <t>12 x $1,820,536</t>
  </si>
  <si>
    <t>2021 Storm Excess Costs @ 6/30/21</t>
  </si>
  <si>
    <t>FERC</t>
  </si>
  <si>
    <t>additional 2021 Storm Excess Costs 09/2021</t>
  </si>
  <si>
    <t>additional 2021 Storm Excess Costs 10/2021</t>
  </si>
  <si>
    <t>STORM DAMAGE AMORTIZATION</t>
  </si>
  <si>
    <t>additional 2021 Storm Excess Costs 11/2021</t>
  </si>
  <si>
    <t>2019 GRC</t>
  </si>
  <si>
    <t>2022 GRC</t>
  </si>
  <si>
    <t>Month</t>
  </si>
  <si>
    <t>Balance to be amortized</t>
  </si>
  <si>
    <t>Combined</t>
  </si>
  <si>
    <t>Net Change</t>
  </si>
  <si>
    <t>Monthly</t>
  </si>
  <si>
    <t>PSE Proposed</t>
  </si>
  <si>
    <t>AWEC Proposed</t>
  </si>
  <si>
    <t>Delta</t>
  </si>
  <si>
    <t>Accum Amort</t>
  </si>
  <si>
    <t>Avg</t>
  </si>
  <si>
    <t>Impact</t>
  </si>
  <si>
    <t>Gas Rate Base Adjustment ($000)</t>
  </si>
  <si>
    <t>Capital Prioritization</t>
  </si>
  <si>
    <t>Rate Year 1</t>
  </si>
  <si>
    <t>Rate Year 2</t>
  </si>
  <si>
    <t>Rate Year 3</t>
  </si>
  <si>
    <t>NOI (Pre-Tax)</t>
  </si>
  <si>
    <t>Conv. Factor</t>
  </si>
  <si>
    <t>Rate Base</t>
  </si>
  <si>
    <t>Tax Rate</t>
  </si>
  <si>
    <t>Rev. Req. (Incr.)</t>
  </si>
  <si>
    <t>Cost of Capital</t>
  </si>
  <si>
    <t>Adjustment Calculation</t>
  </si>
  <si>
    <t>Gross Plant</t>
  </si>
  <si>
    <t>Additions (Adjustment)</t>
  </si>
  <si>
    <t>Gross Plant (EOP)</t>
  </si>
  <si>
    <t>Gross Plant (AMA)</t>
  </si>
  <si>
    <t>YoY Change (AMA)</t>
  </si>
  <si>
    <t>YoY Change</t>
  </si>
  <si>
    <t>ADIT</t>
  </si>
  <si>
    <t>Accum DIT</t>
  </si>
  <si>
    <t>Amortization</t>
  </si>
  <si>
    <t>Accum. Amortization</t>
  </si>
  <si>
    <t>WC%</t>
  </si>
  <si>
    <t>Adj. Accum Amort</t>
  </si>
  <si>
    <t>Accumulated Amort.</t>
  </si>
  <si>
    <t xml:space="preserve">Current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</si>
</sst>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_-;#,##0\-;&quot; &quot;"/>
    <numFmt numFmtId="167" formatCode="0.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name val="Arial"/>
      <family val="2"/>
    </font>
    <font>
      <b/>
      <sz val="11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u/>
      <sz val="10"/>
      <name val="Times New Roman"/>
      <family val="1"/>
    </font>
    <font>
      <sz val="10"/>
      <name val="Arial"/>
      <family val="2"/>
    </font>
    <font>
      <b/>
      <u/>
      <sz val="10"/>
      <name val="Times New Roman"/>
      <family val="1"/>
    </font>
    <font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138">
    <xf numFmtId="0" fontId="0" fillId="0" borderId="0" xfId="0"/>
    <xf numFmtId="164" fontId="0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/>
    <xf numFmtId="164" fontId="2" fillId="0" borderId="0" xfId="0" applyNumberFormat="1" applyFont="1"/>
    <xf numFmtId="0" fontId="0" fillId="0" borderId="0" xfId="0" applyFont="1" applyFill="1"/>
    <xf numFmtId="0" fontId="0" fillId="0" borderId="0" xfId="0" applyBorder="1"/>
    <xf numFmtId="164" fontId="0" fillId="0" borderId="0" xfId="0" applyNumberFormat="1" applyFont="1"/>
    <xf numFmtId="14" fontId="2" fillId="0" borderId="0" xfId="0" applyNumberFormat="1" applyFont="1"/>
    <xf numFmtId="17" fontId="0" fillId="0" borderId="0" xfId="0" applyNumberFormat="1"/>
    <xf numFmtId="164" fontId="0" fillId="0" borderId="2" xfId="0" applyNumberFormat="1" applyFont="1" applyBorder="1"/>
    <xf numFmtId="0" fontId="0" fillId="0" borderId="2" xfId="0" applyBorder="1"/>
    <xf numFmtId="165" fontId="2" fillId="0" borderId="3" xfId="0" applyNumberFormat="1" applyFont="1" applyBorder="1"/>
    <xf numFmtId="165" fontId="0" fillId="0" borderId="0" xfId="0" applyNumberFormat="1" applyFont="1"/>
    <xf numFmtId="165" fontId="0" fillId="0" borderId="2" xfId="0" applyNumberFormat="1" applyFont="1" applyBorder="1"/>
    <xf numFmtId="165" fontId="2" fillId="0" borderId="0" xfId="0" applyNumberFormat="1" applyFont="1"/>
    <xf numFmtId="0" fontId="0" fillId="2" borderId="0" xfId="0" applyFill="1"/>
    <xf numFmtId="0" fontId="0" fillId="2" borderId="2" xfId="0" applyFill="1" applyBorder="1"/>
    <xf numFmtId="164" fontId="0" fillId="2" borderId="0" xfId="0" applyNumberFormat="1" applyFont="1" applyFill="1"/>
    <xf numFmtId="165" fontId="2" fillId="2" borderId="0" xfId="0" applyNumberFormat="1" applyFont="1" applyFill="1" applyBorder="1"/>
    <xf numFmtId="164" fontId="2" fillId="2" borderId="0" xfId="0" applyNumberFormat="1" applyFont="1" applyFill="1"/>
    <xf numFmtId="164" fontId="2" fillId="2" borderId="0" xfId="0" applyNumberFormat="1" applyFont="1" applyFill="1" applyBorder="1"/>
    <xf numFmtId="49" fontId="0" fillId="0" borderId="8" xfId="0" applyNumberFormat="1" applyFill="1" applyBorder="1" applyAlignment="1">
      <alignment horizontal="left"/>
    </xf>
    <xf numFmtId="166" fontId="2" fillId="0" borderId="8" xfId="0" applyNumberFormat="1" applyFont="1" applyFill="1" applyBorder="1"/>
    <xf numFmtId="0" fontId="5" fillId="0" borderId="0" xfId="0" applyFont="1" applyFill="1"/>
    <xf numFmtId="0" fontId="4" fillId="0" borderId="0" xfId="0" applyNumberFormat="1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3" borderId="9" xfId="0" applyFont="1" applyFill="1" applyBorder="1" applyAlignment="1">
      <alignment horizontal="centerContinuous"/>
    </xf>
    <xf numFmtId="0" fontId="5" fillId="3" borderId="10" xfId="0" applyFont="1" applyFill="1" applyBorder="1" applyAlignment="1">
      <alignment horizontal="centerContinuous"/>
    </xf>
    <xf numFmtId="0" fontId="5" fillId="3" borderId="11" xfId="0" applyFont="1" applyFill="1" applyBorder="1" applyAlignment="1">
      <alignment horizontal="centerContinuous"/>
    </xf>
    <xf numFmtId="167" fontId="4" fillId="0" borderId="0" xfId="0" applyNumberFormat="1" applyFont="1" applyFill="1" applyAlignment="1" applyProtection="1">
      <alignment horizontal="centerContinuous"/>
      <protection locked="0"/>
    </xf>
    <xf numFmtId="0" fontId="5" fillId="3" borderId="12" xfId="0" applyFont="1" applyFill="1" applyBorder="1"/>
    <xf numFmtId="0" fontId="5" fillId="0" borderId="13" xfId="0" applyFont="1" applyBorder="1"/>
    <xf numFmtId="0" fontId="5" fillId="3" borderId="13" xfId="0" applyFont="1" applyFill="1" applyBorder="1"/>
    <xf numFmtId="17" fontId="4" fillId="0" borderId="13" xfId="0" applyNumberFormat="1" applyFont="1" applyBorder="1" applyAlignment="1">
      <alignment horizontal="center"/>
    </xf>
    <xf numFmtId="0" fontId="4" fillId="3" borderId="6" xfId="0" quotePrefix="1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7" fontId="4" fillId="0" borderId="0" xfId="0" applyNumberFormat="1" applyFont="1" applyFill="1" applyAlignment="1">
      <alignment horizontal="left"/>
    </xf>
    <xf numFmtId="167" fontId="4" fillId="0" borderId="0" xfId="0" applyNumberFormat="1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protection locked="0"/>
    </xf>
    <xf numFmtId="0" fontId="4" fillId="3" borderId="14" xfId="0" applyFont="1" applyFill="1" applyBorder="1" applyAlignment="1">
      <alignment horizontal="center"/>
    </xf>
    <xf numFmtId="0" fontId="4" fillId="0" borderId="15" xfId="0" applyFont="1" applyBorder="1"/>
    <xf numFmtId="0" fontId="4" fillId="3" borderId="15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67" fontId="4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/>
    <xf numFmtId="167" fontId="4" fillId="0" borderId="2" xfId="0" applyNumberFormat="1" applyFont="1" applyFill="1" applyBorder="1" applyAlignment="1">
      <alignment horizontal="center"/>
    </xf>
    <xf numFmtId="167" fontId="4" fillId="0" borderId="2" xfId="0" applyNumberFormat="1" applyFont="1" applyFill="1" applyBorder="1" applyAlignment="1">
      <alignment horizontal="left"/>
    </xf>
    <xf numFmtId="0" fontId="4" fillId="0" borderId="2" xfId="0" quotePrefix="1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Fill="1" applyBorder="1" applyAlignment="1" applyProtection="1">
      <alignment horizontal="left"/>
      <protection locked="0"/>
    </xf>
    <xf numFmtId="41" fontId="5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Alignment="1"/>
    <xf numFmtId="41" fontId="5" fillId="0" borderId="1" xfId="0" applyNumberFormat="1" applyFont="1" applyFill="1" applyBorder="1" applyAlignment="1"/>
    <xf numFmtId="41" fontId="5" fillId="0" borderId="0" xfId="0" applyNumberFormat="1" applyFont="1" applyFill="1" applyAlignment="1"/>
    <xf numFmtId="0" fontId="5" fillId="0" borderId="0" xfId="0" applyFont="1" applyFill="1" applyAlignment="1"/>
    <xf numFmtId="41" fontId="5" fillId="0" borderId="0" xfId="0" applyNumberFormat="1" applyFont="1" applyFill="1" applyBorder="1" applyAlignment="1"/>
    <xf numFmtId="9" fontId="5" fillId="0" borderId="0" xfId="0" applyNumberFormat="1" applyFont="1" applyFill="1" applyAlignment="1"/>
    <xf numFmtId="0" fontId="5" fillId="0" borderId="1" xfId="0" applyNumberFormat="1" applyFont="1" applyFill="1" applyBorder="1" applyAlignment="1"/>
    <xf numFmtId="0" fontId="5" fillId="0" borderId="0" xfId="0" applyNumberFormat="1" applyFont="1" applyFill="1" applyBorder="1" applyAlignment="1"/>
    <xf numFmtId="42" fontId="5" fillId="0" borderId="3" xfId="0" applyNumberFormat="1" applyFont="1" applyFill="1" applyBorder="1"/>
    <xf numFmtId="0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Border="1"/>
    <xf numFmtId="164" fontId="5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Alignment="1"/>
    <xf numFmtId="164" fontId="1" fillId="0" borderId="0" xfId="0" applyNumberFormat="1" applyFont="1"/>
    <xf numFmtId="0" fontId="0" fillId="0" borderId="0" xfId="0" quotePrefix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65" fontId="0" fillId="0" borderId="0" xfId="0" applyNumberFormat="1" applyFont="1"/>
    <xf numFmtId="0" fontId="2" fillId="0" borderId="0" xfId="0" applyFont="1" applyFill="1" applyBorder="1" applyAlignment="1">
      <alignment horizontal="center"/>
    </xf>
    <xf numFmtId="165" fontId="0" fillId="0" borderId="0" xfId="0" applyNumberFormat="1"/>
    <xf numFmtId="14" fontId="0" fillId="0" borderId="0" xfId="0" applyNumberFormat="1" applyAlignment="1">
      <alignment horizontal="left"/>
    </xf>
    <xf numFmtId="164" fontId="2" fillId="0" borderId="0" xfId="0" applyNumberFormat="1" applyFont="1" applyFill="1"/>
    <xf numFmtId="164" fontId="1" fillId="0" borderId="0" xfId="0" applyNumberFormat="1" applyFont="1" applyFill="1" applyBorder="1"/>
    <xf numFmtId="164" fontId="1" fillId="0" borderId="2" xfId="0" applyNumberFormat="1" applyFont="1" applyFill="1" applyBorder="1"/>
    <xf numFmtId="0" fontId="8" fillId="0" borderId="0" xfId="0" applyFont="1"/>
    <xf numFmtId="0" fontId="9" fillId="0" borderId="0" xfId="0" applyFont="1"/>
    <xf numFmtId="164" fontId="0" fillId="0" borderId="0" xfId="0" applyNumberFormat="1" applyFill="1"/>
    <xf numFmtId="166" fontId="2" fillId="0" borderId="18" xfId="0" applyNumberFormat="1" applyFont="1" applyFill="1" applyBorder="1"/>
    <xf numFmtId="0" fontId="0" fillId="0" borderId="0" xfId="0" applyFill="1"/>
    <xf numFmtId="49" fontId="6" fillId="0" borderId="7" xfId="0" applyNumberFormat="1" applyFont="1" applyFill="1" applyBorder="1" applyAlignment="1">
      <alignment horizontal="left"/>
    </xf>
    <xf numFmtId="49" fontId="6" fillId="0" borderId="7" xfId="0" applyNumberFormat="1" applyFont="1" applyFill="1" applyBorder="1" applyAlignment="1">
      <alignment horizontal="center"/>
    </xf>
    <xf numFmtId="166" fontId="2" fillId="0" borderId="0" xfId="0" applyNumberFormat="1" applyFont="1" applyFill="1"/>
    <xf numFmtId="0" fontId="10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41" fontId="0" fillId="0" borderId="0" xfId="0" applyNumberFormat="1"/>
    <xf numFmtId="0" fontId="2" fillId="4" borderId="9" xfId="0" applyFont="1" applyFill="1" applyBorder="1" applyAlignment="1">
      <alignment horizontal="centerContinuous" vertical="center"/>
    </xf>
    <xf numFmtId="0" fontId="0" fillId="4" borderId="10" xfId="0" applyFill="1" applyBorder="1" applyAlignment="1">
      <alignment horizontal="centerContinuous" vertical="center"/>
    </xf>
    <xf numFmtId="0" fontId="0" fillId="4" borderId="11" xfId="0" applyFill="1" applyBorder="1" applyAlignment="1">
      <alignment horizontal="centerContinuous" vertical="center"/>
    </xf>
    <xf numFmtId="0" fontId="2" fillId="4" borderId="11" xfId="0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1" xfId="0" applyBorder="1"/>
    <xf numFmtId="41" fontId="0" fillId="0" borderId="0" xfId="0" applyNumberFormat="1" applyFont="1"/>
    <xf numFmtId="0" fontId="3" fillId="0" borderId="0" xfId="1" applyFont="1"/>
    <xf numFmtId="0" fontId="3" fillId="5" borderId="21" xfId="1" applyFont="1" applyFill="1" applyBorder="1"/>
    <xf numFmtId="0" fontId="3" fillId="5" borderId="1" xfId="1" applyFont="1" applyFill="1" applyBorder="1"/>
    <xf numFmtId="0" fontId="3" fillId="5" borderId="6" xfId="1" applyFont="1" applyFill="1" applyBorder="1"/>
    <xf numFmtId="0" fontId="3" fillId="5" borderId="19" xfId="1" applyFont="1" applyFill="1" applyBorder="1"/>
    <xf numFmtId="41" fontId="3" fillId="5" borderId="0" xfId="1" applyNumberFormat="1" applyFont="1" applyFill="1"/>
    <xf numFmtId="0" fontId="12" fillId="5" borderId="0" xfId="1" applyFont="1" applyFill="1" applyAlignment="1">
      <alignment horizontal="center"/>
    </xf>
    <xf numFmtId="0" fontId="3" fillId="5" borderId="4" xfId="1" applyFont="1" applyFill="1" applyBorder="1"/>
    <xf numFmtId="0" fontId="3" fillId="5" borderId="0" xfId="1" applyFont="1" applyFill="1"/>
    <xf numFmtId="41" fontId="3" fillId="5" borderId="2" xfId="1" applyNumberFormat="1" applyFont="1" applyFill="1" applyBorder="1"/>
    <xf numFmtId="9" fontId="3" fillId="0" borderId="0" xfId="1" applyNumberFormat="1" applyFont="1"/>
    <xf numFmtId="41" fontId="3" fillId="5" borderId="0" xfId="2" applyNumberFormat="1" applyFont="1" applyFill="1"/>
    <xf numFmtId="10" fontId="3" fillId="0" borderId="0" xfId="1" applyNumberFormat="1" applyFont="1"/>
    <xf numFmtId="0" fontId="3" fillId="5" borderId="20" xfId="1" applyFont="1" applyFill="1" applyBorder="1"/>
    <xf numFmtId="0" fontId="3" fillId="5" borderId="5" xfId="1" applyFont="1" applyFill="1" applyBorder="1"/>
    <xf numFmtId="41" fontId="3" fillId="0" borderId="0" xfId="1" applyNumberFormat="1" applyFont="1"/>
    <xf numFmtId="0" fontId="14" fillId="0" borderId="0" xfId="1" applyFont="1"/>
    <xf numFmtId="0" fontId="14" fillId="0" borderId="0" xfId="1" applyFont="1" applyAlignment="1">
      <alignment horizontal="center"/>
    </xf>
    <xf numFmtId="0" fontId="10" fillId="0" borderId="0" xfId="1" applyFont="1"/>
    <xf numFmtId="41" fontId="3" fillId="0" borderId="2" xfId="1" applyNumberFormat="1" applyFont="1" applyBorder="1"/>
    <xf numFmtId="0" fontId="15" fillId="0" borderId="0" xfId="1" applyFont="1" applyAlignment="1">
      <alignment horizontal="left" indent="1"/>
    </xf>
    <xf numFmtId="41" fontId="15" fillId="0" borderId="2" xfId="1" applyNumberFormat="1" applyFont="1" applyBorder="1"/>
    <xf numFmtId="41" fontId="15" fillId="0" borderId="0" xfId="1" applyNumberFormat="1" applyFont="1"/>
    <xf numFmtId="43" fontId="3" fillId="0" borderId="0" xfId="1" applyNumberFormat="1" applyFont="1"/>
    <xf numFmtId="41" fontId="3" fillId="0" borderId="0" xfId="1" applyNumberFormat="1" applyFont="1" applyBorder="1"/>
    <xf numFmtId="0" fontId="15" fillId="0" borderId="0" xfId="1" quotePrefix="1" applyFont="1" applyAlignment="1">
      <alignment horizontal="left" indent="1"/>
    </xf>
    <xf numFmtId="10" fontId="3" fillId="0" borderId="0" xfId="1" applyNumberFormat="1" applyFont="1" applyBorder="1"/>
    <xf numFmtId="41" fontId="3" fillId="0" borderId="0" xfId="1" applyNumberFormat="1" applyFont="1" applyFill="1"/>
    <xf numFmtId="41" fontId="0" fillId="0" borderId="0" xfId="0" applyNumberFormat="1" applyFill="1"/>
  </cellXfs>
  <cellStyles count="3">
    <cellStyle name="Normal" xfId="0" builtinId="0"/>
    <cellStyle name="Normal 2" xfId="1" xr:uid="{E7388EAC-B4A7-4947-8F8B-56407B33C63D}"/>
    <cellStyle name="Normal 2 2 2 2 4" xfId="2" xr:uid="{2D8F9BF6-8835-40EC-AF1D-FD6F923C1148}"/>
  </cellStyles>
  <dxfs count="0"/>
  <tableStyles count="0" defaultTableStyle="TableStyleMedium2" defaultPivotStyle="PivotStyleLight16"/>
  <colors>
    <mruColors>
      <color rgb="FFB2B2B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hs%20BGM-2%20BGM-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lli/Desktop/_PSE02-%20UE-220026%202022GRC/init/NEW-PSE-WP-REVREQ-COS-22GRC-01-2022(C)/NEW-PSE-WP-SEF-16-Capital-Forecast-22GRC-01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20066-67-AWEC-Mullins-Exh-BGM-9-07-28-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20066-67-AWEC-Mullins-Exh-BGM-3-BGM-4-07-28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xh. No. BGM-2"/>
      <sheetName val="Exh. No. BGM-3"/>
      <sheetName val="Detailed Summary (Elect)"/>
      <sheetName val="Detailed Summary (GAS)"/>
      <sheetName val="Revenue Requirement Summary"/>
    </sheetNames>
    <sheetDataSet>
      <sheetData sheetId="0"/>
      <sheetData sheetId="1"/>
      <sheetData sheetId="2">
        <row r="4">
          <cell r="AJ4">
            <v>0.75480100000000006</v>
          </cell>
        </row>
        <row r="5">
          <cell r="AJ5">
            <v>0.21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SEF-16"/>
      <sheetName val="SEF-1T"/>
      <sheetName val="Running Balance"/>
      <sheetName val="JAK Exh."/>
      <sheetName val="Pivot"/>
      <sheetName val="Plant Closing Detail fr JAK wp"/>
    </sheetNames>
    <sheetDataSet>
      <sheetData sheetId="0"/>
      <sheetData sheetId="1"/>
      <sheetData sheetId="2"/>
      <sheetData sheetId="3"/>
      <sheetData sheetId="4">
        <row r="40">
          <cell r="F40">
            <v>0</v>
          </cell>
          <cell r="G40">
            <v>0</v>
          </cell>
          <cell r="H40">
            <v>0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 B.Sheet "/>
      <sheetName val="ERB EOP"/>
      <sheetName val="GRB EOP"/>
      <sheetName val="ERB AMA"/>
      <sheetName val="GRB AMA"/>
      <sheetName val="WC "/>
      <sheetName val="PPXLSaveData0"/>
      <sheetName val="PPXLFunctions"/>
      <sheetName val="PPXL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6">
          <cell r="F26">
            <v>-10412255.885072351</v>
          </cell>
        </row>
        <row r="31">
          <cell r="E31">
            <v>0.13914582393713015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."/>
      <sheetName val="LEAD Gas"/>
      <sheetName val="Exh. BGM-3 (1)"/>
      <sheetName val="Exh. BGM-3 (2)"/>
      <sheetName val="Exh. BGM-4 (1)"/>
      <sheetName val="Exh. BGM-4 (2)"/>
      <sheetName val="A1 (Elect. Adj.)"/>
      <sheetName val="A1 (Gas Adj.)"/>
      <sheetName val="A2 (Dir. Fees)"/>
      <sheetName val="11.32 (Gas Line Ext. Adj.)"/>
      <sheetName val="11.33 (Tacoma LNG)"/>
      <sheetName val="6.33 (EESD)"/>
      <sheetName val="6.33 (LWR BKR)"/>
    </sheetNames>
    <sheetDataSet>
      <sheetData sheetId="0" refreshError="1"/>
      <sheetData sheetId="1" refreshError="1"/>
      <sheetData sheetId="2">
        <row r="16">
          <cell r="AL16">
            <v>7.2000000000000008E-2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4.5" x14ac:dyDescent="0.3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CD07E-A1A1-4234-9B60-E9B9217976F7}">
  <sheetPr codeName="Sheet6">
    <tabColor rgb="FFB2B2B2"/>
  </sheetPr>
  <dimension ref="A1:M53"/>
  <sheetViews>
    <sheetView topLeftCell="A4" workbookViewId="0"/>
  </sheetViews>
  <sheetFormatPr defaultRowHeight="13" x14ac:dyDescent="0.3"/>
  <cols>
    <col min="1" max="2" width="2.08984375" style="109" customWidth="1"/>
    <col min="3" max="3" width="16.36328125" style="109" customWidth="1"/>
    <col min="4" max="4" width="2.453125" style="109" customWidth="1"/>
    <col min="5" max="8" width="13.81640625" style="109" customWidth="1"/>
    <col min="9" max="9" width="2.08984375" style="109" customWidth="1"/>
    <col min="10" max="11" width="8.7265625" style="109"/>
    <col min="12" max="12" width="15.453125" style="109" customWidth="1"/>
    <col min="13" max="16384" width="8.7265625" style="109"/>
  </cols>
  <sheetData>
    <row r="1" spans="1:13" x14ac:dyDescent="0.3">
      <c r="A1" s="109" t="s">
        <v>96</v>
      </c>
    </row>
    <row r="2" spans="1:13" x14ac:dyDescent="0.3">
      <c r="A2" s="109" t="s">
        <v>97</v>
      </c>
    </row>
    <row r="6" spans="1:13" x14ac:dyDescent="0.3">
      <c r="D6" s="110"/>
      <c r="E6" s="111"/>
      <c r="F6" s="111"/>
      <c r="G6" s="111"/>
      <c r="H6" s="111"/>
      <c r="I6" s="112"/>
    </row>
    <row r="7" spans="1:13" x14ac:dyDescent="0.3">
      <c r="D7" s="113"/>
      <c r="E7" s="114"/>
      <c r="F7" s="115" t="s">
        <v>98</v>
      </c>
      <c r="G7" s="115" t="s">
        <v>99</v>
      </c>
      <c r="H7" s="115" t="s">
        <v>100</v>
      </c>
      <c r="I7" s="116"/>
    </row>
    <row r="8" spans="1:13" x14ac:dyDescent="0.3">
      <c r="D8" s="113"/>
      <c r="E8" s="117" t="s">
        <v>101</v>
      </c>
      <c r="F8" s="114">
        <f>+-(F31+E31)</f>
        <v>12785.145419445987</v>
      </c>
      <c r="G8" s="114">
        <f>-G31</f>
        <v>1.4551915228366852E-11</v>
      </c>
      <c r="H8" s="114">
        <f>-H31</f>
        <v>-4980.4498695215734</v>
      </c>
      <c r="I8" s="116"/>
      <c r="L8" s="109" t="s">
        <v>102</v>
      </c>
      <c r="M8" s="109">
        <v>0.752355</v>
      </c>
    </row>
    <row r="9" spans="1:13" x14ac:dyDescent="0.3">
      <c r="D9" s="113"/>
      <c r="E9" s="117" t="s">
        <v>103</v>
      </c>
      <c r="F9" s="118">
        <f>+E24+F24+E44+F44+E53+F53</f>
        <v>-8790.2141875838024</v>
      </c>
      <c r="G9" s="118">
        <f>+G24+G44+G53</f>
        <v>-17580.428375167601</v>
      </c>
      <c r="H9" s="118">
        <f>+H24+H44+H53</f>
        <v>-17580.428375167601</v>
      </c>
      <c r="I9" s="116"/>
      <c r="L9" s="109" t="s">
        <v>104</v>
      </c>
      <c r="M9" s="119">
        <f>+'[1]Exh. No. BGM-3'!$AJ$5</f>
        <v>0.21</v>
      </c>
    </row>
    <row r="10" spans="1:13" x14ac:dyDescent="0.3">
      <c r="D10" s="113"/>
      <c r="E10" s="117" t="s">
        <v>105</v>
      </c>
      <c r="F10" s="120">
        <f>+(F$9*$M$10-F$8*(1-$M$9))/$M$8</f>
        <v>-14266.084897247129</v>
      </c>
      <c r="G10" s="120">
        <f>+(G$9*$M$10-G$8*(1-$M$9))/$M$8</f>
        <v>-1682.4382678550405</v>
      </c>
      <c r="H10" s="120">
        <f>+(H$9*$M$10-H$8*(1-$M$9))/$M$8</f>
        <v>3547.214485063535</v>
      </c>
      <c r="I10" s="116"/>
      <c r="L10" s="109" t="s">
        <v>106</v>
      </c>
      <c r="M10" s="121">
        <f>+'[4]Exh. BGM-3 (1)'!$AL$16</f>
        <v>7.2000000000000008E-2</v>
      </c>
    </row>
    <row r="11" spans="1:13" x14ac:dyDescent="0.3">
      <c r="D11" s="122"/>
      <c r="E11" s="118"/>
      <c r="F11" s="118"/>
      <c r="G11" s="118"/>
      <c r="H11" s="118"/>
      <c r="I11" s="123"/>
    </row>
    <row r="12" spans="1:13" x14ac:dyDescent="0.3">
      <c r="E12" s="124"/>
    </row>
    <row r="15" spans="1:13" x14ac:dyDescent="0.3">
      <c r="B15" s="125" t="s">
        <v>107</v>
      </c>
      <c r="E15" s="126">
        <v>2022</v>
      </c>
      <c r="F15" s="126">
        <v>2023</v>
      </c>
      <c r="G15" s="126">
        <v>2024</v>
      </c>
      <c r="H15" s="126">
        <v>2025</v>
      </c>
    </row>
    <row r="16" spans="1:13" x14ac:dyDescent="0.3">
      <c r="E16" s="124"/>
    </row>
    <row r="17" spans="2:8" x14ac:dyDescent="0.3">
      <c r="B17" s="127" t="s">
        <v>108</v>
      </c>
      <c r="E17" s="124"/>
    </row>
    <row r="18" spans="2:8" ht="5.5" customHeight="1" x14ac:dyDescent="0.3">
      <c r="B18" s="127"/>
      <c r="E18" s="124"/>
      <c r="F18" s="124"/>
      <c r="G18" s="124"/>
      <c r="H18" s="124"/>
    </row>
    <row r="19" spans="2:8" x14ac:dyDescent="0.3">
      <c r="B19" s="127"/>
      <c r="C19" s="109" t="s">
        <v>109</v>
      </c>
      <c r="E19" s="128">
        <v>0</v>
      </c>
      <c r="F19" s="128">
        <f>-'[2]JAK Exh.'!F40</f>
        <v>0</v>
      </c>
      <c r="G19" s="128">
        <f>-'[2]JAK Exh.'!G40</f>
        <v>0</v>
      </c>
      <c r="H19" s="128">
        <f>-'[2]JAK Exh.'!H40</f>
        <v>0</v>
      </c>
    </row>
    <row r="20" spans="2:8" x14ac:dyDescent="0.3">
      <c r="B20" s="127"/>
      <c r="C20" s="109" t="s">
        <v>110</v>
      </c>
      <c r="E20" s="124">
        <f>+E19</f>
        <v>0</v>
      </c>
      <c r="F20" s="124">
        <f>+E20+F19</f>
        <v>0</v>
      </c>
      <c r="G20" s="124">
        <f>+F20+G19</f>
        <v>0</v>
      </c>
      <c r="H20" s="124">
        <f>+G20+H19</f>
        <v>0</v>
      </c>
    </row>
    <row r="21" spans="2:8" ht="5.5" customHeight="1" x14ac:dyDescent="0.3">
      <c r="B21" s="127"/>
      <c r="E21" s="124"/>
      <c r="F21" s="124"/>
      <c r="G21" s="124"/>
      <c r="H21" s="124"/>
    </row>
    <row r="22" spans="2:8" x14ac:dyDescent="0.3">
      <c r="B22" s="127"/>
      <c r="C22" s="109" t="s">
        <v>111</v>
      </c>
      <c r="E22" s="124">
        <f>+E20*11.5/12</f>
        <v>0</v>
      </c>
      <c r="F22" s="124">
        <f>+E20+F19/2</f>
        <v>0</v>
      </c>
      <c r="G22" s="124">
        <f>+F20+G19/2</f>
        <v>0</v>
      </c>
      <c r="H22" s="124">
        <f>+G20+H19/2</f>
        <v>0</v>
      </c>
    </row>
    <row r="23" spans="2:8" ht="5.5" customHeight="1" x14ac:dyDescent="0.3">
      <c r="B23" s="127"/>
      <c r="C23" s="129"/>
      <c r="E23" s="130"/>
      <c r="F23" s="130"/>
      <c r="G23" s="130"/>
      <c r="H23" s="130"/>
    </row>
    <row r="24" spans="2:8" x14ac:dyDescent="0.3">
      <c r="B24" s="127"/>
      <c r="C24" s="129" t="s">
        <v>112</v>
      </c>
      <c r="E24" s="131">
        <f>+E22</f>
        <v>0</v>
      </c>
      <c r="F24" s="131">
        <f>+F22-E22</f>
        <v>0</v>
      </c>
      <c r="G24" s="131">
        <f>+G22-F22</f>
        <v>0</v>
      </c>
      <c r="H24" s="131">
        <f>+H22-G22</f>
        <v>0</v>
      </c>
    </row>
    <row r="25" spans="2:8" x14ac:dyDescent="0.3">
      <c r="B25" s="127"/>
    </row>
    <row r="26" spans="2:8" x14ac:dyDescent="0.3">
      <c r="B26" s="127"/>
    </row>
    <row r="27" spans="2:8" x14ac:dyDescent="0.3">
      <c r="B27" s="127"/>
    </row>
    <row r="28" spans="2:8" x14ac:dyDescent="0.3">
      <c r="B28" s="127"/>
      <c r="C28" s="109" t="s">
        <v>116</v>
      </c>
    </row>
    <row r="29" spans="2:8" x14ac:dyDescent="0.3">
      <c r="B29" s="127"/>
      <c r="C29" s="121"/>
      <c r="E29" s="124">
        <v>0</v>
      </c>
      <c r="F29" s="124">
        <f>+'BGM-10'!L47/1000</f>
        <v>-12785.145419445987</v>
      </c>
      <c r="G29" s="124">
        <f>+'BGM-10'!L59/1000</f>
        <v>-12785.145419446002</v>
      </c>
      <c r="H29" s="124">
        <f>+G29-'BGM-10'!O71/1000</f>
        <v>-7804.6955499244286</v>
      </c>
    </row>
    <row r="30" spans="2:8" ht="5.5" customHeight="1" x14ac:dyDescent="0.3">
      <c r="B30" s="127"/>
      <c r="C30" s="129"/>
      <c r="E30" s="128"/>
      <c r="F30" s="128"/>
      <c r="G30" s="128"/>
      <c r="H30" s="128"/>
    </row>
    <row r="31" spans="2:8" x14ac:dyDescent="0.3">
      <c r="B31" s="127"/>
      <c r="C31" s="129" t="s">
        <v>113</v>
      </c>
      <c r="E31" s="131">
        <f>+E29</f>
        <v>0</v>
      </c>
      <c r="F31" s="124">
        <f>+F29-E29</f>
        <v>-12785.145419445987</v>
      </c>
      <c r="G31" s="124">
        <f>+G29-F29</f>
        <v>-1.4551915228366852E-11</v>
      </c>
      <c r="H31" s="124">
        <f>+H29-G29</f>
        <v>4980.4498695215734</v>
      </c>
    </row>
    <row r="32" spans="2:8" x14ac:dyDescent="0.3">
      <c r="B32" s="127"/>
    </row>
    <row r="33" spans="2:8" x14ac:dyDescent="0.3">
      <c r="B33" s="127"/>
    </row>
    <row r="34" spans="2:8" x14ac:dyDescent="0.3">
      <c r="B34" s="127"/>
    </row>
    <row r="35" spans="2:8" x14ac:dyDescent="0.3">
      <c r="B35" s="127" t="s">
        <v>117</v>
      </c>
      <c r="E35" s="124"/>
      <c r="F35" s="124"/>
      <c r="G35" s="124"/>
      <c r="H35" s="124"/>
    </row>
    <row r="36" spans="2:8" ht="5.5" customHeight="1" x14ac:dyDescent="0.3">
      <c r="B36" s="127"/>
      <c r="E36" s="124"/>
      <c r="F36" s="124"/>
      <c r="G36" s="124"/>
      <c r="H36" s="124"/>
    </row>
    <row r="37" spans="2:8" x14ac:dyDescent="0.3">
      <c r="B37" s="127"/>
      <c r="C37" s="109" t="s">
        <v>120</v>
      </c>
      <c r="E37" s="124">
        <f>-E29</f>
        <v>0</v>
      </c>
      <c r="F37" s="124">
        <f>+'BGM-10'!M47/1000</f>
        <v>-10729.971805527004</v>
      </c>
      <c r="G37" s="124">
        <f>+'BGM-10'!M59/1000</f>
        <v>-32189.915416581011</v>
      </c>
      <c r="H37" s="124">
        <f>+'BGM-10'!M71/1000</f>
        <v>-53649.859027635015</v>
      </c>
    </row>
    <row r="38" spans="2:8" ht="5.5" customHeight="1" x14ac:dyDescent="0.3">
      <c r="B38" s="127"/>
      <c r="C38" s="129"/>
      <c r="E38" s="133"/>
      <c r="F38" s="133"/>
      <c r="G38" s="133"/>
      <c r="H38" s="133"/>
    </row>
    <row r="39" spans="2:8" x14ac:dyDescent="0.3">
      <c r="B39" s="127"/>
      <c r="C39" s="134" t="s">
        <v>118</v>
      </c>
      <c r="E39" s="133"/>
      <c r="F39" s="135">
        <f>1-'[3]WC '!$E$31</f>
        <v>0.86085417606286985</v>
      </c>
      <c r="G39" s="135">
        <f>1-'[3]WC '!$E$31</f>
        <v>0.86085417606286985</v>
      </c>
      <c r="H39" s="135">
        <f>1-'[3]WC '!$E$31</f>
        <v>0.86085417606286985</v>
      </c>
    </row>
    <row r="40" spans="2:8" ht="5.5" customHeight="1" x14ac:dyDescent="0.3">
      <c r="B40" s="127"/>
      <c r="C40" s="129"/>
      <c r="E40" s="133"/>
      <c r="F40" s="133"/>
      <c r="G40" s="133"/>
      <c r="H40" s="133"/>
    </row>
    <row r="41" spans="2:8" x14ac:dyDescent="0.3">
      <c r="B41" s="127"/>
      <c r="C41" s="129" t="s">
        <v>119</v>
      </c>
      <c r="E41" s="133"/>
      <c r="F41" s="133">
        <f>+F37*F39</f>
        <v>-9236.941037824774</v>
      </c>
      <c r="G41" s="133">
        <f>+G37*G39</f>
        <v>-27710.823113474318</v>
      </c>
      <c r="H41" s="133">
        <f>+H37*H39</f>
        <v>-46184.705189123859</v>
      </c>
    </row>
    <row r="42" spans="2:8" ht="5.5" customHeight="1" x14ac:dyDescent="0.3">
      <c r="B42" s="127"/>
      <c r="C42" s="129"/>
      <c r="E42" s="133"/>
      <c r="F42" s="133"/>
      <c r="G42" s="133"/>
      <c r="H42" s="133"/>
    </row>
    <row r="43" spans="2:8" ht="5.5" customHeight="1" x14ac:dyDescent="0.3">
      <c r="B43" s="127"/>
      <c r="C43" s="129"/>
      <c r="E43" s="128"/>
      <c r="F43" s="128"/>
      <c r="G43" s="128"/>
      <c r="H43" s="128"/>
    </row>
    <row r="44" spans="2:8" x14ac:dyDescent="0.3">
      <c r="B44" s="127"/>
      <c r="C44" s="129" t="s">
        <v>113</v>
      </c>
      <c r="E44" s="124">
        <f>+E37</f>
        <v>0</v>
      </c>
      <c r="F44" s="124">
        <f>+F37-E37</f>
        <v>-10729.971805527004</v>
      </c>
      <c r="G44" s="124">
        <f>+G37-F37</f>
        <v>-21459.943611054005</v>
      </c>
      <c r="H44" s="136">
        <f>+H37-G37</f>
        <v>-21459.943611054005</v>
      </c>
    </row>
    <row r="45" spans="2:8" x14ac:dyDescent="0.3">
      <c r="B45" s="127"/>
    </row>
    <row r="46" spans="2:8" x14ac:dyDescent="0.3">
      <c r="B46" s="127"/>
    </row>
    <row r="47" spans="2:8" x14ac:dyDescent="0.3">
      <c r="B47" s="127"/>
    </row>
    <row r="48" spans="2:8" x14ac:dyDescent="0.3">
      <c r="B48" s="127" t="s">
        <v>114</v>
      </c>
    </row>
    <row r="49" spans="2:8" ht="5.5" customHeight="1" x14ac:dyDescent="0.3">
      <c r="B49" s="127"/>
    </row>
    <row r="50" spans="2:8" ht="5.5" customHeight="1" x14ac:dyDescent="0.3">
      <c r="B50" s="127"/>
      <c r="E50" s="132"/>
      <c r="F50" s="132"/>
      <c r="G50" s="132"/>
      <c r="H50" s="132"/>
    </row>
    <row r="51" spans="2:8" x14ac:dyDescent="0.3">
      <c r="B51" s="127"/>
      <c r="C51" s="109" t="s">
        <v>115</v>
      </c>
      <c r="E51" s="132">
        <v>0</v>
      </c>
      <c r="F51" s="124">
        <f>+-F41*0.21</f>
        <v>1939.7576179432024</v>
      </c>
      <c r="G51" s="124">
        <f>+-G41*0.21</f>
        <v>5819.2728538296069</v>
      </c>
      <c r="H51" s="124">
        <f>+-H41*0.21</f>
        <v>9698.7880897160103</v>
      </c>
    </row>
    <row r="52" spans="2:8" ht="5.5" customHeight="1" x14ac:dyDescent="0.3">
      <c r="B52" s="127"/>
      <c r="C52" s="129"/>
      <c r="E52" s="128"/>
      <c r="F52" s="128"/>
      <c r="G52" s="128"/>
      <c r="H52" s="128"/>
    </row>
    <row r="53" spans="2:8" x14ac:dyDescent="0.3">
      <c r="B53" s="127"/>
      <c r="C53" s="129" t="s">
        <v>113</v>
      </c>
      <c r="E53" s="124">
        <f>+E51</f>
        <v>0</v>
      </c>
      <c r="F53" s="124">
        <f>+F51-E51</f>
        <v>1939.7576179432024</v>
      </c>
      <c r="G53" s="124">
        <f>+G51-F51</f>
        <v>3879.5152358864043</v>
      </c>
      <c r="H53" s="124">
        <f>+H51-G51</f>
        <v>3879.5152358864034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B2B2B2"/>
  </sheetPr>
  <dimension ref="A3:O99"/>
  <sheetViews>
    <sheetView tabSelected="1" zoomScaleNormal="100" zoomScaleSheetLayoutView="100" workbookViewId="0"/>
  </sheetViews>
  <sheetFormatPr defaultRowHeight="14.5" x14ac:dyDescent="0.35"/>
  <cols>
    <col min="1" max="1" width="19.08984375" customWidth="1"/>
    <col min="2" max="6" width="12.26953125" customWidth="1"/>
    <col min="7" max="7" width="1.90625" customWidth="1"/>
    <col min="8" max="10" width="12.26953125" customWidth="1"/>
    <col min="11" max="11" width="1.90625" customWidth="1"/>
    <col min="12" max="13" width="12.26953125" customWidth="1"/>
    <col min="15" max="15" width="13.54296875" customWidth="1"/>
  </cols>
  <sheetData>
    <row r="3" spans="1:13" x14ac:dyDescent="0.35">
      <c r="E3" s="81"/>
      <c r="F3" s="81"/>
    </row>
    <row r="4" spans="1:13" x14ac:dyDescent="0.35">
      <c r="B4" s="101" t="s">
        <v>90</v>
      </c>
      <c r="C4" s="102"/>
      <c r="D4" s="102"/>
      <c r="E4" s="102"/>
      <c r="F4" s="104"/>
      <c r="H4" s="101" t="s">
        <v>91</v>
      </c>
      <c r="I4" s="102"/>
      <c r="J4" s="103"/>
      <c r="L4" s="101" t="s">
        <v>95</v>
      </c>
      <c r="M4" s="103"/>
    </row>
    <row r="5" spans="1:13" x14ac:dyDescent="0.35">
      <c r="E5" s="105" t="s">
        <v>89</v>
      </c>
      <c r="F5" s="105" t="s">
        <v>13</v>
      </c>
      <c r="H5" s="107"/>
      <c r="I5" s="105" t="s">
        <v>89</v>
      </c>
      <c r="J5" s="105" t="s">
        <v>13</v>
      </c>
      <c r="M5" s="84" t="s">
        <v>93</v>
      </c>
    </row>
    <row r="6" spans="1:13" x14ac:dyDescent="0.35">
      <c r="A6" s="82" t="s">
        <v>85</v>
      </c>
      <c r="B6" s="82" t="s">
        <v>83</v>
      </c>
      <c r="C6" s="82" t="s">
        <v>84</v>
      </c>
      <c r="D6" s="82" t="s">
        <v>87</v>
      </c>
      <c r="E6" s="106" t="s">
        <v>88</v>
      </c>
      <c r="F6" s="106" t="s">
        <v>88</v>
      </c>
      <c r="H6" s="82" t="s">
        <v>87</v>
      </c>
      <c r="I6" s="106" t="s">
        <v>88</v>
      </c>
      <c r="J6" s="106" t="s">
        <v>88</v>
      </c>
      <c r="L6" s="106" t="s">
        <v>92</v>
      </c>
      <c r="M6" s="106" t="s">
        <v>94</v>
      </c>
    </row>
    <row r="8" spans="1:13" x14ac:dyDescent="0.35">
      <c r="A8" t="s">
        <v>86</v>
      </c>
      <c r="B8" s="108">
        <v>109232153.89000002</v>
      </c>
      <c r="C8" s="108">
        <v>0</v>
      </c>
      <c r="D8" s="100">
        <f>SUM(B8:C8)</f>
        <v>109232153.89000002</v>
      </c>
      <c r="E8" s="100"/>
      <c r="F8" s="100"/>
      <c r="G8" s="100"/>
      <c r="H8" s="100"/>
      <c r="I8" s="100"/>
      <c r="J8" s="100"/>
      <c r="K8" s="100"/>
      <c r="L8" s="100"/>
      <c r="M8" s="100"/>
    </row>
    <row r="9" spans="1:13" x14ac:dyDescent="0.35">
      <c r="A9" s="86">
        <v>44135</v>
      </c>
      <c r="B9" s="100">
        <v>107892775.81681184</v>
      </c>
      <c r="C9" s="108">
        <v>0</v>
      </c>
      <c r="D9" s="100">
        <f>SUM(B9:C9)</f>
        <v>107892775.81681184</v>
      </c>
      <c r="E9" s="100">
        <f>D8-D9</f>
        <v>1339378.0731881708</v>
      </c>
      <c r="F9" s="100"/>
      <c r="G9" s="100"/>
      <c r="H9" s="100"/>
      <c r="I9" s="100"/>
      <c r="J9" s="100"/>
      <c r="K9" s="100"/>
      <c r="L9" s="100"/>
      <c r="M9" s="100"/>
    </row>
    <row r="10" spans="1:13" x14ac:dyDescent="0.35">
      <c r="A10" s="86">
        <v>44165</v>
      </c>
      <c r="B10" s="108">
        <v>106072239.91864517</v>
      </c>
      <c r="C10" s="108">
        <v>0</v>
      </c>
      <c r="D10" s="100">
        <f t="shared" ref="D10:D71" si="0">SUM(B10:C10)</f>
        <v>106072239.91864517</v>
      </c>
      <c r="E10" s="100">
        <f t="shared" ref="E10:E71" si="1">D9-D10</f>
        <v>1820535.8981666714</v>
      </c>
      <c r="F10" s="100"/>
      <c r="G10" s="100"/>
      <c r="H10" s="100"/>
      <c r="I10" s="100"/>
      <c r="J10" s="100"/>
      <c r="K10" s="100"/>
      <c r="L10" s="100"/>
      <c r="M10" s="100"/>
    </row>
    <row r="11" spans="1:13" x14ac:dyDescent="0.35">
      <c r="A11" s="86">
        <v>44196</v>
      </c>
      <c r="B11" s="108">
        <v>104251704.0204785</v>
      </c>
      <c r="C11" s="108">
        <v>0</v>
      </c>
      <c r="D11" s="100">
        <f t="shared" ref="D11:D34" si="2">SUM(B11:C11)</f>
        <v>104251704.0204785</v>
      </c>
      <c r="E11" s="100">
        <f t="shared" si="1"/>
        <v>1820535.8981666714</v>
      </c>
      <c r="F11" s="100"/>
      <c r="G11" s="100"/>
      <c r="H11" s="100"/>
      <c r="I11" s="100"/>
      <c r="J11" s="100"/>
      <c r="K11" s="100"/>
      <c r="L11" s="100"/>
      <c r="M11" s="100"/>
    </row>
    <row r="12" spans="1:13" x14ac:dyDescent="0.35">
      <c r="A12" s="86">
        <v>44227</v>
      </c>
      <c r="B12" s="108">
        <v>102431168.12231183</v>
      </c>
      <c r="C12" s="108">
        <v>0</v>
      </c>
      <c r="D12" s="100">
        <f t="shared" si="2"/>
        <v>102431168.12231183</v>
      </c>
      <c r="E12" s="100">
        <f t="shared" si="1"/>
        <v>1820535.8981666714</v>
      </c>
      <c r="F12" s="100"/>
      <c r="G12" s="100"/>
      <c r="H12" s="100"/>
      <c r="I12" s="100"/>
      <c r="J12" s="100"/>
      <c r="K12" s="100"/>
      <c r="L12" s="100"/>
      <c r="M12" s="100"/>
    </row>
    <row r="13" spans="1:13" x14ac:dyDescent="0.35">
      <c r="A13" s="86">
        <v>44255</v>
      </c>
      <c r="B13" s="108">
        <v>100610632.22414516</v>
      </c>
      <c r="C13" s="108">
        <v>0</v>
      </c>
      <c r="D13" s="100">
        <f t="shared" si="2"/>
        <v>100610632.22414516</v>
      </c>
      <c r="E13" s="100">
        <f t="shared" si="1"/>
        <v>1820535.8981666714</v>
      </c>
      <c r="F13" s="100"/>
      <c r="G13" s="100"/>
      <c r="H13" s="100"/>
      <c r="I13" s="100"/>
      <c r="J13" s="100"/>
      <c r="K13" s="100"/>
      <c r="L13" s="100"/>
      <c r="M13" s="100"/>
    </row>
    <row r="14" spans="1:13" x14ac:dyDescent="0.35">
      <c r="A14" s="86">
        <v>44286</v>
      </c>
      <c r="B14" s="108">
        <v>98790096.325978488</v>
      </c>
      <c r="C14" s="108">
        <v>0</v>
      </c>
      <c r="D14" s="100">
        <f t="shared" si="2"/>
        <v>98790096.325978488</v>
      </c>
      <c r="E14" s="100">
        <f t="shared" si="1"/>
        <v>1820535.8981666714</v>
      </c>
      <c r="F14" s="100"/>
      <c r="G14" s="100"/>
      <c r="H14" s="100"/>
      <c r="I14" s="100"/>
      <c r="J14" s="100"/>
      <c r="K14" s="100"/>
      <c r="L14" s="100"/>
      <c r="M14" s="100"/>
    </row>
    <row r="15" spans="1:13" x14ac:dyDescent="0.35">
      <c r="A15" s="86">
        <v>44316</v>
      </c>
      <c r="B15" s="108">
        <v>96969560.427811816</v>
      </c>
      <c r="C15" s="108">
        <v>0</v>
      </c>
      <c r="D15" s="100">
        <f t="shared" si="2"/>
        <v>96969560.427811816</v>
      </c>
      <c r="E15" s="100">
        <f t="shared" si="1"/>
        <v>1820535.8981666714</v>
      </c>
      <c r="F15" s="100"/>
      <c r="G15" s="100"/>
      <c r="H15" s="100"/>
      <c r="I15" s="100"/>
      <c r="J15" s="100"/>
      <c r="K15" s="100"/>
      <c r="L15" s="100"/>
      <c r="M15" s="100"/>
    </row>
    <row r="16" spans="1:13" x14ac:dyDescent="0.35">
      <c r="A16" s="86">
        <v>44347</v>
      </c>
      <c r="B16" s="108">
        <v>95149024.529645145</v>
      </c>
      <c r="C16" s="108">
        <v>0</v>
      </c>
      <c r="D16" s="100">
        <f t="shared" si="2"/>
        <v>95149024.529645145</v>
      </c>
      <c r="E16" s="100">
        <f t="shared" si="1"/>
        <v>1820535.8981666714</v>
      </c>
      <c r="F16" s="100"/>
      <c r="G16" s="100"/>
      <c r="H16" s="100"/>
      <c r="I16" s="100"/>
      <c r="J16" s="100"/>
      <c r="K16" s="100"/>
      <c r="L16" s="100"/>
      <c r="M16" s="100"/>
    </row>
    <row r="17" spans="1:13" x14ac:dyDescent="0.35">
      <c r="A17" s="86">
        <v>44377</v>
      </c>
      <c r="B17" s="108">
        <v>93328488.631478474</v>
      </c>
      <c r="C17" s="108">
        <v>0</v>
      </c>
      <c r="D17" s="100">
        <f t="shared" si="2"/>
        <v>93328488.631478474</v>
      </c>
      <c r="E17" s="100">
        <f t="shared" si="1"/>
        <v>1820535.8981666714</v>
      </c>
      <c r="F17" s="100"/>
      <c r="G17" s="100"/>
      <c r="H17" s="100"/>
      <c r="I17" s="100"/>
      <c r="J17" s="100"/>
      <c r="K17" s="100"/>
      <c r="L17" s="100"/>
      <c r="M17" s="100"/>
    </row>
    <row r="18" spans="1:13" x14ac:dyDescent="0.35">
      <c r="A18" s="86">
        <v>44408</v>
      </c>
      <c r="B18" s="108">
        <v>91507952.733311802</v>
      </c>
      <c r="C18" s="108">
        <v>0</v>
      </c>
      <c r="D18" s="100">
        <f t="shared" si="2"/>
        <v>91507952.733311802</v>
      </c>
      <c r="E18" s="100">
        <f t="shared" si="1"/>
        <v>1820535.8981666714</v>
      </c>
      <c r="F18" s="100"/>
      <c r="G18" s="100"/>
      <c r="H18" s="100"/>
      <c r="I18" s="100"/>
      <c r="J18" s="100"/>
      <c r="K18" s="100"/>
      <c r="L18" s="100"/>
      <c r="M18" s="100"/>
    </row>
    <row r="19" spans="1:13" x14ac:dyDescent="0.35">
      <c r="A19" s="86">
        <v>44439</v>
      </c>
      <c r="B19" s="108">
        <v>89687416.835145131</v>
      </c>
      <c r="C19" s="108">
        <v>0</v>
      </c>
      <c r="D19" s="100">
        <f t="shared" si="2"/>
        <v>89687416.835145131</v>
      </c>
      <c r="E19" s="100">
        <f t="shared" si="1"/>
        <v>1820535.8981666714</v>
      </c>
      <c r="F19" s="100"/>
      <c r="G19" s="100"/>
      <c r="H19" s="100"/>
      <c r="I19" s="100"/>
      <c r="J19" s="100"/>
      <c r="K19" s="100"/>
      <c r="L19" s="100"/>
      <c r="M19" s="100"/>
    </row>
    <row r="20" spans="1:13" x14ac:dyDescent="0.35">
      <c r="A20" s="86">
        <v>44469</v>
      </c>
      <c r="B20" s="108">
        <v>87866880.936978459</v>
      </c>
      <c r="C20" s="108">
        <v>0</v>
      </c>
      <c r="D20" s="100">
        <f t="shared" si="2"/>
        <v>87866880.936978459</v>
      </c>
      <c r="E20" s="100">
        <f t="shared" si="1"/>
        <v>1820535.8981666714</v>
      </c>
      <c r="F20" s="100"/>
      <c r="G20" s="100"/>
      <c r="H20" s="100"/>
      <c r="I20" s="100"/>
      <c r="J20" s="100"/>
      <c r="K20" s="100"/>
      <c r="L20" s="100"/>
      <c r="M20" s="100"/>
    </row>
    <row r="21" spans="1:13" x14ac:dyDescent="0.35">
      <c r="A21" s="86">
        <v>44500</v>
      </c>
      <c r="B21" s="108">
        <v>86046345.038811788</v>
      </c>
      <c r="C21" s="108">
        <v>0</v>
      </c>
      <c r="D21" s="100">
        <f t="shared" si="2"/>
        <v>86046345.038811788</v>
      </c>
      <c r="E21" s="100">
        <f t="shared" si="1"/>
        <v>1820535.8981666714</v>
      </c>
      <c r="F21" s="100"/>
      <c r="G21" s="100"/>
      <c r="H21" s="100"/>
      <c r="I21" s="100"/>
      <c r="J21" s="100"/>
      <c r="K21" s="100"/>
      <c r="L21" s="100"/>
      <c r="M21" s="100"/>
    </row>
    <row r="22" spans="1:13" x14ac:dyDescent="0.35">
      <c r="A22" s="86">
        <v>44530</v>
      </c>
      <c r="B22" s="108">
        <v>84225809.140645117</v>
      </c>
      <c r="C22" s="108">
        <v>0</v>
      </c>
      <c r="D22" s="100">
        <f t="shared" si="2"/>
        <v>84225809.140645117</v>
      </c>
      <c r="E22" s="100">
        <f t="shared" si="1"/>
        <v>1820535.8981666714</v>
      </c>
      <c r="F22" s="100"/>
      <c r="G22" s="100"/>
      <c r="H22" s="100"/>
      <c r="I22" s="100"/>
      <c r="J22" s="100"/>
      <c r="K22" s="100"/>
      <c r="L22" s="100"/>
      <c r="M22" s="100"/>
    </row>
    <row r="23" spans="1:13" x14ac:dyDescent="0.35">
      <c r="A23" s="86">
        <v>44561</v>
      </c>
      <c r="B23" s="108">
        <v>82405273.242478445</v>
      </c>
      <c r="C23" s="108">
        <v>0</v>
      </c>
      <c r="D23" s="100">
        <f t="shared" si="2"/>
        <v>82405273.242478445</v>
      </c>
      <c r="E23" s="100">
        <f t="shared" si="1"/>
        <v>1820535.8981666714</v>
      </c>
      <c r="F23" s="100"/>
      <c r="G23" s="100"/>
      <c r="H23" s="100"/>
      <c r="I23" s="100"/>
      <c r="J23" s="100"/>
      <c r="K23" s="100"/>
      <c r="L23" s="100"/>
      <c r="M23" s="100"/>
    </row>
    <row r="24" spans="1:13" x14ac:dyDescent="0.35">
      <c r="A24" s="86">
        <v>44592</v>
      </c>
      <c r="B24" s="108">
        <v>80584737.344311774</v>
      </c>
      <c r="C24" s="108">
        <v>0</v>
      </c>
      <c r="D24" s="100">
        <f t="shared" si="2"/>
        <v>80584737.344311774</v>
      </c>
      <c r="E24" s="100">
        <f t="shared" si="1"/>
        <v>1820535.8981666714</v>
      </c>
      <c r="F24" s="100"/>
      <c r="G24" s="100"/>
      <c r="H24" s="100"/>
      <c r="I24" s="100"/>
      <c r="J24" s="100"/>
      <c r="K24" s="100"/>
      <c r="L24" s="100"/>
      <c r="M24" s="100"/>
    </row>
    <row r="25" spans="1:13" x14ac:dyDescent="0.35">
      <c r="A25" s="86">
        <v>44620</v>
      </c>
      <c r="B25" s="108">
        <v>78764201.446145102</v>
      </c>
      <c r="C25" s="108">
        <v>0</v>
      </c>
      <c r="D25" s="100">
        <f t="shared" si="2"/>
        <v>78764201.446145102</v>
      </c>
      <c r="E25" s="100">
        <f t="shared" si="1"/>
        <v>1820535.8981666714</v>
      </c>
      <c r="F25" s="100"/>
      <c r="G25" s="100"/>
      <c r="H25" s="100"/>
      <c r="I25" s="100"/>
      <c r="J25" s="100"/>
      <c r="K25" s="100"/>
      <c r="L25" s="100"/>
      <c r="M25" s="100"/>
    </row>
    <row r="26" spans="1:13" x14ac:dyDescent="0.35">
      <c r="A26" s="86">
        <v>44651</v>
      </c>
      <c r="B26" s="108">
        <v>76943665.547978431</v>
      </c>
      <c r="C26" s="108">
        <v>0</v>
      </c>
      <c r="D26" s="100">
        <f t="shared" si="2"/>
        <v>76943665.547978431</v>
      </c>
      <c r="E26" s="100">
        <f t="shared" si="1"/>
        <v>1820535.8981666714</v>
      </c>
      <c r="F26" s="100"/>
      <c r="G26" s="100"/>
      <c r="H26" s="100"/>
      <c r="I26" s="100"/>
      <c r="J26" s="100"/>
      <c r="K26" s="100"/>
      <c r="L26" s="100"/>
      <c r="M26" s="100"/>
    </row>
    <row r="27" spans="1:13" x14ac:dyDescent="0.35">
      <c r="A27" s="86">
        <v>44681</v>
      </c>
      <c r="B27" s="108">
        <v>75123129.64981176</v>
      </c>
      <c r="C27" s="108">
        <v>0</v>
      </c>
      <c r="D27" s="100">
        <f t="shared" si="2"/>
        <v>75123129.64981176</v>
      </c>
      <c r="E27" s="100">
        <f t="shared" si="1"/>
        <v>1820535.8981666714</v>
      </c>
      <c r="F27" s="100"/>
      <c r="G27" s="100"/>
      <c r="H27" s="100"/>
      <c r="I27" s="100"/>
      <c r="J27" s="100"/>
      <c r="K27" s="100"/>
      <c r="L27" s="100"/>
      <c r="M27" s="100"/>
    </row>
    <row r="28" spans="1:13" x14ac:dyDescent="0.35">
      <c r="A28" s="86">
        <v>44712</v>
      </c>
      <c r="B28" s="108">
        <v>73302593.751645088</v>
      </c>
      <c r="C28" s="108">
        <v>0</v>
      </c>
      <c r="D28" s="100">
        <f t="shared" si="2"/>
        <v>73302593.751645088</v>
      </c>
      <c r="E28" s="100">
        <f t="shared" si="1"/>
        <v>1820535.8981666714</v>
      </c>
      <c r="F28" s="100"/>
      <c r="G28" s="100"/>
      <c r="H28" s="100"/>
      <c r="I28" s="100"/>
      <c r="J28" s="100"/>
      <c r="K28" s="100"/>
      <c r="L28" s="100"/>
      <c r="M28" s="100"/>
    </row>
    <row r="29" spans="1:13" x14ac:dyDescent="0.35">
      <c r="A29" s="86">
        <v>44742</v>
      </c>
      <c r="B29" s="108">
        <v>71482057.853478417</v>
      </c>
      <c r="C29" s="108">
        <v>0</v>
      </c>
      <c r="D29" s="100">
        <f t="shared" si="2"/>
        <v>71482057.853478417</v>
      </c>
      <c r="E29" s="100">
        <f t="shared" si="1"/>
        <v>1820535.8981666714</v>
      </c>
      <c r="F29" s="100"/>
      <c r="G29" s="100"/>
      <c r="H29" s="100"/>
      <c r="I29" s="100"/>
      <c r="J29" s="100"/>
      <c r="K29" s="100"/>
      <c r="L29" s="100"/>
      <c r="M29" s="100"/>
    </row>
    <row r="30" spans="1:13" x14ac:dyDescent="0.35">
      <c r="A30" s="86">
        <v>44773</v>
      </c>
      <c r="B30" s="108">
        <v>69661521.955311745</v>
      </c>
      <c r="C30" s="108">
        <v>0</v>
      </c>
      <c r="D30" s="100">
        <f t="shared" si="2"/>
        <v>69661521.955311745</v>
      </c>
      <c r="E30" s="100">
        <f t="shared" si="1"/>
        <v>1820535.8981666714</v>
      </c>
      <c r="F30" s="100"/>
      <c r="G30" s="100"/>
      <c r="H30" s="100"/>
      <c r="I30" s="100"/>
      <c r="J30" s="100"/>
      <c r="K30" s="100"/>
      <c r="L30" s="100"/>
      <c r="M30" s="100"/>
    </row>
    <row r="31" spans="1:13" x14ac:dyDescent="0.35">
      <c r="A31" s="86">
        <v>44804</v>
      </c>
      <c r="B31" s="108">
        <v>67840986.057145074</v>
      </c>
      <c r="C31" s="108">
        <v>0</v>
      </c>
      <c r="D31" s="100">
        <f t="shared" si="2"/>
        <v>67840986.057145074</v>
      </c>
      <c r="E31" s="100">
        <f t="shared" si="1"/>
        <v>1820535.8981666714</v>
      </c>
      <c r="F31" s="100"/>
      <c r="G31" s="100"/>
      <c r="H31" s="100"/>
      <c r="I31" s="100"/>
      <c r="J31" s="100"/>
      <c r="K31" s="100"/>
      <c r="L31" s="100"/>
      <c r="M31" s="100"/>
    </row>
    <row r="32" spans="1:13" x14ac:dyDescent="0.35">
      <c r="A32" s="86">
        <v>44834</v>
      </c>
      <c r="B32" s="108">
        <v>66020450.15897841</v>
      </c>
      <c r="C32" s="108">
        <v>0</v>
      </c>
      <c r="D32" s="100">
        <f t="shared" si="2"/>
        <v>66020450.15897841</v>
      </c>
      <c r="E32" s="100">
        <f t="shared" si="1"/>
        <v>1820535.8981666639</v>
      </c>
      <c r="F32" s="100"/>
      <c r="G32" s="100"/>
      <c r="H32" s="100"/>
      <c r="I32" s="100"/>
      <c r="J32" s="100"/>
      <c r="K32" s="100"/>
      <c r="L32" s="100"/>
      <c r="M32" s="100"/>
    </row>
    <row r="33" spans="1:15" x14ac:dyDescent="0.35">
      <c r="A33" s="86">
        <v>44865</v>
      </c>
      <c r="B33" s="108">
        <v>64199914.260811746</v>
      </c>
      <c r="C33" s="108">
        <v>0</v>
      </c>
      <c r="D33" s="100">
        <f t="shared" si="2"/>
        <v>64199914.260811746</v>
      </c>
      <c r="E33" s="100">
        <f t="shared" si="1"/>
        <v>1820535.8981666639</v>
      </c>
      <c r="F33" s="100"/>
      <c r="G33" s="100"/>
      <c r="H33" s="100"/>
      <c r="I33" s="100"/>
      <c r="J33" s="100"/>
      <c r="K33" s="100"/>
      <c r="L33" s="100"/>
      <c r="M33" s="100"/>
    </row>
    <row r="34" spans="1:15" x14ac:dyDescent="0.35">
      <c r="A34" s="86">
        <v>44895</v>
      </c>
      <c r="B34" s="108">
        <v>62379378.362645082</v>
      </c>
      <c r="C34" s="108">
        <v>0</v>
      </c>
      <c r="D34" s="100">
        <f t="shared" si="2"/>
        <v>62379378.362645082</v>
      </c>
      <c r="E34" s="100">
        <f t="shared" si="1"/>
        <v>1820535.8981666639</v>
      </c>
      <c r="F34" s="100"/>
      <c r="G34" s="100"/>
      <c r="H34" s="100"/>
      <c r="I34" s="100"/>
      <c r="J34" s="100"/>
      <c r="K34" s="100"/>
      <c r="L34" s="100"/>
      <c r="M34" s="100"/>
    </row>
    <row r="35" spans="1:15" x14ac:dyDescent="0.35">
      <c r="A35" s="86">
        <v>44926</v>
      </c>
      <c r="B35" s="108">
        <v>60558842.464478418</v>
      </c>
      <c r="C35" s="108">
        <v>49594633.009999998</v>
      </c>
      <c r="D35" s="100">
        <f>SUM(B35:C35)</f>
        <v>110153475.47447842</v>
      </c>
      <c r="E35" s="100">
        <f>D34-D35+C35</f>
        <v>1820535.8981666565</v>
      </c>
      <c r="F35" s="100"/>
      <c r="G35" s="100"/>
      <c r="H35" s="100"/>
      <c r="I35" s="100"/>
      <c r="J35" s="100"/>
      <c r="K35" s="100"/>
      <c r="L35" s="100"/>
      <c r="M35" s="100"/>
    </row>
    <row r="36" spans="1:15" x14ac:dyDescent="0.35">
      <c r="A36" s="86">
        <v>44957</v>
      </c>
      <c r="B36" s="108">
        <v>58738306.566311754</v>
      </c>
      <c r="C36" s="108">
        <v>48561411.488958329</v>
      </c>
      <c r="D36" s="100">
        <f>SUM(B36:C36)</f>
        <v>107299718.05527008</v>
      </c>
      <c r="E36" s="100">
        <f>D35-D36</f>
        <v>2853757.4192083478</v>
      </c>
      <c r="F36" s="100"/>
      <c r="G36" s="100"/>
      <c r="H36" s="100">
        <f>+D36</f>
        <v>107299718.05527008</v>
      </c>
      <c r="I36" s="100">
        <f>+$H$36/5/12</f>
        <v>1788328.6342545012</v>
      </c>
      <c r="J36" s="100"/>
      <c r="K36" s="100"/>
      <c r="L36" s="100"/>
      <c r="M36" s="100"/>
    </row>
    <row r="37" spans="1:15" x14ac:dyDescent="0.35">
      <c r="A37" s="86">
        <v>44985</v>
      </c>
      <c r="B37" s="108">
        <v>56917770.66814509</v>
      </c>
      <c r="C37" s="108">
        <v>47528189.96791666</v>
      </c>
      <c r="D37" s="100">
        <f t="shared" si="0"/>
        <v>104445960.63606176</v>
      </c>
      <c r="E37" s="100">
        <f t="shared" si="1"/>
        <v>2853757.419208318</v>
      </c>
      <c r="F37" s="100"/>
      <c r="G37" s="100"/>
      <c r="H37" s="100">
        <f>+H36-I36</f>
        <v>105511389.42101558</v>
      </c>
      <c r="I37" s="100">
        <f t="shared" ref="I37:I71" si="3">+$H$36/5/12</f>
        <v>1788328.6342545012</v>
      </c>
      <c r="J37" s="100"/>
      <c r="K37" s="100"/>
      <c r="L37" s="100"/>
      <c r="M37" s="100"/>
    </row>
    <row r="38" spans="1:15" x14ac:dyDescent="0.35">
      <c r="A38" s="86">
        <v>45016</v>
      </c>
      <c r="B38" s="108">
        <v>55097234.769978426</v>
      </c>
      <c r="C38" s="108">
        <v>46494968.446874991</v>
      </c>
      <c r="D38" s="100">
        <f t="shared" si="0"/>
        <v>101592203.21685341</v>
      </c>
      <c r="E38" s="100">
        <f t="shared" si="1"/>
        <v>2853757.4192083478</v>
      </c>
      <c r="F38" s="100"/>
      <c r="G38" s="100"/>
      <c r="H38" s="100">
        <f t="shared" ref="H38:H71" si="4">+D38</f>
        <v>101592203.21685341</v>
      </c>
      <c r="I38" s="100">
        <f t="shared" si="3"/>
        <v>1788328.6342545012</v>
      </c>
      <c r="J38" s="100"/>
      <c r="K38" s="100"/>
      <c r="L38" s="100"/>
      <c r="M38" s="100"/>
    </row>
    <row r="39" spans="1:15" x14ac:dyDescent="0.35">
      <c r="A39" s="86">
        <v>45046</v>
      </c>
      <c r="B39" s="108">
        <v>53276698.871811762</v>
      </c>
      <c r="C39" s="108">
        <v>45461746.925833322</v>
      </c>
      <c r="D39" s="100">
        <f t="shared" si="0"/>
        <v>98738445.797645092</v>
      </c>
      <c r="E39" s="100">
        <f t="shared" si="1"/>
        <v>2853757.419208318</v>
      </c>
      <c r="F39" s="100"/>
      <c r="G39" s="100"/>
      <c r="H39" s="100">
        <f t="shared" si="4"/>
        <v>98738445.797645092</v>
      </c>
      <c r="I39" s="100">
        <f t="shared" si="3"/>
        <v>1788328.6342545012</v>
      </c>
      <c r="J39" s="100"/>
      <c r="K39" s="100"/>
      <c r="L39" s="100"/>
      <c r="M39" s="100"/>
    </row>
    <row r="40" spans="1:15" x14ac:dyDescent="0.35">
      <c r="A40" s="86">
        <v>45077</v>
      </c>
      <c r="B40" s="108">
        <v>51456162.973645099</v>
      </c>
      <c r="C40" s="108">
        <v>44428525.404791653</v>
      </c>
      <c r="D40" s="100">
        <f t="shared" si="0"/>
        <v>95884688.378436744</v>
      </c>
      <c r="E40" s="100">
        <f t="shared" si="1"/>
        <v>2853757.4192083478</v>
      </c>
      <c r="F40" s="100"/>
      <c r="G40" s="100"/>
      <c r="H40" s="100">
        <f t="shared" si="4"/>
        <v>95884688.378436744</v>
      </c>
      <c r="I40" s="100">
        <f t="shared" si="3"/>
        <v>1788328.6342545012</v>
      </c>
      <c r="J40" s="100"/>
      <c r="K40" s="100"/>
      <c r="L40" s="100"/>
      <c r="M40" s="100"/>
    </row>
    <row r="41" spans="1:15" x14ac:dyDescent="0.35">
      <c r="A41" s="86">
        <v>45107</v>
      </c>
      <c r="B41" s="108">
        <v>49635627.075478435</v>
      </c>
      <c r="C41" s="108">
        <v>43395303.883749984</v>
      </c>
      <c r="D41" s="100">
        <f t="shared" si="0"/>
        <v>93030930.959228426</v>
      </c>
      <c r="E41" s="100">
        <f t="shared" si="1"/>
        <v>2853757.419208318</v>
      </c>
      <c r="F41" s="100"/>
      <c r="G41" s="100"/>
      <c r="H41" s="100">
        <f t="shared" si="4"/>
        <v>93030930.959228426</v>
      </c>
      <c r="I41" s="100">
        <f t="shared" si="3"/>
        <v>1788328.6342545012</v>
      </c>
      <c r="J41" s="100"/>
      <c r="K41" s="100"/>
      <c r="L41" s="100"/>
      <c r="M41" s="100"/>
    </row>
    <row r="42" spans="1:15" x14ac:dyDescent="0.35">
      <c r="A42" s="86">
        <v>45138</v>
      </c>
      <c r="B42" s="108">
        <v>47815091.177311771</v>
      </c>
      <c r="C42" s="108">
        <v>42362082.362708315</v>
      </c>
      <c r="D42" s="100">
        <f t="shared" si="0"/>
        <v>90177173.540020078</v>
      </c>
      <c r="E42" s="100">
        <f t="shared" si="1"/>
        <v>2853757.4192083478</v>
      </c>
      <c r="F42" s="100"/>
      <c r="G42" s="100"/>
      <c r="H42" s="100">
        <f t="shared" si="4"/>
        <v>90177173.540020078</v>
      </c>
      <c r="I42" s="100">
        <f t="shared" si="3"/>
        <v>1788328.6342545012</v>
      </c>
      <c r="J42" s="100"/>
      <c r="K42" s="100"/>
      <c r="L42" s="100"/>
      <c r="M42" s="100"/>
    </row>
    <row r="43" spans="1:15" x14ac:dyDescent="0.35">
      <c r="A43" s="86">
        <v>45169</v>
      </c>
      <c r="B43" s="108">
        <v>45994555.279145107</v>
      </c>
      <c r="C43" s="108">
        <v>41328860.841666646</v>
      </c>
      <c r="D43" s="100">
        <f t="shared" si="0"/>
        <v>87323416.12081176</v>
      </c>
      <c r="E43" s="100">
        <f t="shared" si="1"/>
        <v>2853757.419208318</v>
      </c>
      <c r="F43" s="100"/>
      <c r="G43" s="100"/>
      <c r="H43" s="100">
        <f t="shared" si="4"/>
        <v>87323416.12081176</v>
      </c>
      <c r="I43" s="100">
        <f t="shared" si="3"/>
        <v>1788328.6342545012</v>
      </c>
      <c r="J43" s="100"/>
      <c r="K43" s="100"/>
      <c r="L43" s="100"/>
      <c r="M43" s="100"/>
    </row>
    <row r="44" spans="1:15" x14ac:dyDescent="0.35">
      <c r="A44" s="86">
        <v>45199</v>
      </c>
      <c r="B44" s="108">
        <v>44174019.380978443</v>
      </c>
      <c r="C44" s="108">
        <v>40295639.320624977</v>
      </c>
      <c r="D44" s="100">
        <f t="shared" si="0"/>
        <v>84469658.701603413</v>
      </c>
      <c r="E44" s="100">
        <f t="shared" si="1"/>
        <v>2853757.4192083478</v>
      </c>
      <c r="F44" s="100"/>
      <c r="G44" s="100"/>
      <c r="H44" s="137">
        <f t="shared" si="4"/>
        <v>84469658.701603413</v>
      </c>
      <c r="I44" s="100">
        <f t="shared" si="3"/>
        <v>1788328.6342545012</v>
      </c>
      <c r="J44" s="100"/>
      <c r="K44" s="100"/>
      <c r="L44" s="100"/>
      <c r="M44" s="100"/>
    </row>
    <row r="45" spans="1:15" x14ac:dyDescent="0.35">
      <c r="A45" s="86">
        <v>45230</v>
      </c>
      <c r="B45" s="108">
        <v>42353483.482811779</v>
      </c>
      <c r="C45" s="108">
        <v>39262417.799583308</v>
      </c>
      <c r="D45" s="100">
        <f t="shared" si="0"/>
        <v>81615901.282395095</v>
      </c>
      <c r="E45" s="100">
        <f t="shared" si="1"/>
        <v>2853757.419208318</v>
      </c>
      <c r="F45" s="100"/>
      <c r="G45" s="100"/>
      <c r="H45" s="100">
        <f t="shared" si="4"/>
        <v>81615901.282395095</v>
      </c>
      <c r="I45" s="100">
        <f t="shared" si="3"/>
        <v>1788328.6342545012</v>
      </c>
      <c r="J45" s="100"/>
      <c r="K45" s="100"/>
      <c r="L45" s="100"/>
      <c r="M45" s="100"/>
      <c r="O45" t="s">
        <v>121</v>
      </c>
    </row>
    <row r="46" spans="1:15" x14ac:dyDescent="0.35">
      <c r="A46" s="86">
        <v>45260</v>
      </c>
      <c r="B46" s="108">
        <v>40532947.584645115</v>
      </c>
      <c r="C46" s="108">
        <v>38229196.278541639</v>
      </c>
      <c r="D46" s="100">
        <f t="shared" si="0"/>
        <v>78762143.863186747</v>
      </c>
      <c r="E46" s="100">
        <f t="shared" si="1"/>
        <v>2853757.4192083478</v>
      </c>
      <c r="F46" s="100"/>
      <c r="G46" s="100"/>
      <c r="H46" s="100">
        <f t="shared" si="4"/>
        <v>78762143.863186747</v>
      </c>
      <c r="I46" s="100">
        <f t="shared" si="3"/>
        <v>1788328.6342545012</v>
      </c>
      <c r="J46" s="100"/>
      <c r="K46" s="100"/>
      <c r="L46" s="100"/>
      <c r="M46" s="100"/>
      <c r="O46" s="70">
        <v>21846430.778000005</v>
      </c>
    </row>
    <row r="47" spans="1:15" x14ac:dyDescent="0.35">
      <c r="A47" s="86">
        <v>45291</v>
      </c>
      <c r="B47" s="108">
        <v>38712411.686478451</v>
      </c>
      <c r="C47" s="108">
        <v>37195974.75749997</v>
      </c>
      <c r="D47" s="100">
        <f t="shared" si="0"/>
        <v>75908386.443978429</v>
      </c>
      <c r="E47" s="100">
        <f t="shared" si="1"/>
        <v>2853757.419208318</v>
      </c>
      <c r="F47" s="100">
        <f>SUM(E36:E47)</f>
        <v>34245089.030499995</v>
      </c>
      <c r="G47" s="100"/>
      <c r="H47" s="100">
        <f t="shared" si="4"/>
        <v>75908386.443978429</v>
      </c>
      <c r="I47" s="100">
        <f t="shared" si="3"/>
        <v>1788328.6342545012</v>
      </c>
      <c r="J47" s="100">
        <f>SUM(I36:I47)</f>
        <v>21459943.611054007</v>
      </c>
      <c r="K47" s="100"/>
      <c r="L47" s="100">
        <f>+J47-F47</f>
        <v>-12785145.419445988</v>
      </c>
      <c r="M47" s="100">
        <f>-J47/2</f>
        <v>-10729971.805527003</v>
      </c>
      <c r="O47" s="100">
        <f>+J47-O46</f>
        <v>-386487.16694599763</v>
      </c>
    </row>
    <row r="48" spans="1:15" x14ac:dyDescent="0.35">
      <c r="A48" s="86">
        <v>45322</v>
      </c>
      <c r="B48" s="108">
        <v>36891875.788311787</v>
      </c>
      <c r="C48" s="108">
        <v>36162753.236458302</v>
      </c>
      <c r="D48" s="100">
        <f t="shared" si="0"/>
        <v>73054629.024770081</v>
      </c>
      <c r="E48" s="100">
        <f t="shared" si="1"/>
        <v>2853757.4192083478</v>
      </c>
      <c r="F48" s="100"/>
      <c r="G48" s="100"/>
      <c r="H48" s="100">
        <f t="shared" si="4"/>
        <v>73054629.024770081</v>
      </c>
      <c r="I48" s="100">
        <f t="shared" si="3"/>
        <v>1788328.6342545012</v>
      </c>
      <c r="J48" s="100"/>
      <c r="K48" s="100"/>
      <c r="L48" s="100"/>
      <c r="M48" s="100"/>
    </row>
    <row r="49" spans="1:15" x14ac:dyDescent="0.35">
      <c r="A49" s="86">
        <v>45351</v>
      </c>
      <c r="B49" s="108">
        <v>35071339.890145123</v>
      </c>
      <c r="C49" s="108">
        <v>35129531.715416633</v>
      </c>
      <c r="D49" s="100">
        <f t="shared" si="0"/>
        <v>70200871.605561763</v>
      </c>
      <c r="E49" s="100">
        <f t="shared" si="1"/>
        <v>2853757.419208318</v>
      </c>
      <c r="F49" s="100"/>
      <c r="G49" s="100"/>
      <c r="H49" s="100">
        <f t="shared" si="4"/>
        <v>70200871.605561763</v>
      </c>
      <c r="I49" s="100">
        <f t="shared" si="3"/>
        <v>1788328.6342545012</v>
      </c>
      <c r="J49" s="100"/>
      <c r="K49" s="100"/>
      <c r="L49" s="100"/>
      <c r="M49" s="100"/>
    </row>
    <row r="50" spans="1:15" x14ac:dyDescent="0.35">
      <c r="A50" s="86">
        <v>45382</v>
      </c>
      <c r="B50" s="108">
        <v>33250803.991978455</v>
      </c>
      <c r="C50" s="108">
        <v>34096310.194374964</v>
      </c>
      <c r="D50" s="100">
        <f t="shared" si="0"/>
        <v>67347114.186353415</v>
      </c>
      <c r="E50" s="100">
        <f t="shared" si="1"/>
        <v>2853757.4192083478</v>
      </c>
      <c r="F50" s="100"/>
      <c r="G50" s="100"/>
      <c r="H50" s="100">
        <f t="shared" si="4"/>
        <v>67347114.186353415</v>
      </c>
      <c r="I50" s="100">
        <f t="shared" si="3"/>
        <v>1788328.6342545012</v>
      </c>
      <c r="J50" s="100"/>
      <c r="K50" s="100"/>
      <c r="L50" s="100"/>
      <c r="M50" s="100"/>
    </row>
    <row r="51" spans="1:15" x14ac:dyDescent="0.35">
      <c r="A51" s="86">
        <v>45412</v>
      </c>
      <c r="B51" s="108">
        <v>31430268.093811788</v>
      </c>
      <c r="C51" s="108">
        <v>33063088.673333298</v>
      </c>
      <c r="D51" s="100">
        <f t="shared" si="0"/>
        <v>64493356.767145082</v>
      </c>
      <c r="E51" s="100">
        <f t="shared" si="1"/>
        <v>2853757.4192083329</v>
      </c>
      <c r="F51" s="100"/>
      <c r="G51" s="100"/>
      <c r="H51" s="100">
        <f t="shared" si="4"/>
        <v>64493356.767145082</v>
      </c>
      <c r="I51" s="100">
        <f t="shared" si="3"/>
        <v>1788328.6342545012</v>
      </c>
      <c r="J51" s="100"/>
      <c r="K51" s="100"/>
      <c r="L51" s="100"/>
      <c r="M51" s="100"/>
    </row>
    <row r="52" spans="1:15" x14ac:dyDescent="0.35">
      <c r="A52" s="86">
        <v>45443</v>
      </c>
      <c r="B52" s="108">
        <v>29609732.19564512</v>
      </c>
      <c r="C52" s="108">
        <v>32029867.152291633</v>
      </c>
      <c r="D52" s="100">
        <f t="shared" si="0"/>
        <v>61639599.347936749</v>
      </c>
      <c r="E52" s="100">
        <f t="shared" si="1"/>
        <v>2853757.4192083329</v>
      </c>
      <c r="F52" s="100"/>
      <c r="G52" s="100"/>
      <c r="H52" s="100">
        <f t="shared" si="4"/>
        <v>61639599.347936749</v>
      </c>
      <c r="I52" s="100">
        <f t="shared" si="3"/>
        <v>1788328.6342545012</v>
      </c>
      <c r="J52" s="100"/>
      <c r="K52" s="100"/>
      <c r="L52" s="100"/>
      <c r="M52" s="100"/>
    </row>
    <row r="53" spans="1:15" x14ac:dyDescent="0.35">
      <c r="A53" s="86">
        <v>45473</v>
      </c>
      <c r="B53" s="108">
        <v>27789196.297478452</v>
      </c>
      <c r="C53" s="108">
        <v>30996645.631249968</v>
      </c>
      <c r="D53" s="100">
        <f t="shared" si="0"/>
        <v>58785841.928728417</v>
      </c>
      <c r="E53" s="100">
        <f t="shared" si="1"/>
        <v>2853757.4192083329</v>
      </c>
      <c r="F53" s="100"/>
      <c r="G53" s="100"/>
      <c r="H53" s="100">
        <f t="shared" si="4"/>
        <v>58785841.928728417</v>
      </c>
      <c r="I53" s="100">
        <f t="shared" si="3"/>
        <v>1788328.6342545012</v>
      </c>
      <c r="J53" s="100"/>
      <c r="K53" s="100"/>
      <c r="L53" s="100"/>
      <c r="M53" s="100"/>
    </row>
    <row r="54" spans="1:15" x14ac:dyDescent="0.35">
      <c r="A54" s="86">
        <v>45504</v>
      </c>
      <c r="B54" s="108">
        <v>25968660.399311785</v>
      </c>
      <c r="C54" s="108">
        <v>29963424.110208303</v>
      </c>
      <c r="D54" s="100">
        <f t="shared" si="0"/>
        <v>55932084.509520084</v>
      </c>
      <c r="E54" s="100">
        <f t="shared" si="1"/>
        <v>2853757.4192083329</v>
      </c>
      <c r="F54" s="100"/>
      <c r="G54" s="100"/>
      <c r="H54" s="100">
        <f t="shared" si="4"/>
        <v>55932084.509520084</v>
      </c>
      <c r="I54" s="100">
        <f t="shared" si="3"/>
        <v>1788328.6342545012</v>
      </c>
      <c r="J54" s="100"/>
      <c r="K54" s="100"/>
      <c r="L54" s="100"/>
      <c r="M54" s="100"/>
    </row>
    <row r="55" spans="1:15" x14ac:dyDescent="0.35">
      <c r="A55" s="86">
        <v>45535</v>
      </c>
      <c r="B55" s="108">
        <v>24148124.501145117</v>
      </c>
      <c r="C55" s="108">
        <v>28930202.589166638</v>
      </c>
      <c r="D55" s="100">
        <f t="shared" si="0"/>
        <v>53078327.090311751</v>
      </c>
      <c r="E55" s="100">
        <f t="shared" si="1"/>
        <v>2853757.4192083329</v>
      </c>
      <c r="F55" s="100"/>
      <c r="G55" s="100"/>
      <c r="H55" s="100">
        <f t="shared" si="4"/>
        <v>53078327.090311751</v>
      </c>
      <c r="I55" s="100">
        <f t="shared" si="3"/>
        <v>1788328.6342545012</v>
      </c>
      <c r="J55" s="100"/>
      <c r="K55" s="100"/>
      <c r="L55" s="100"/>
      <c r="M55" s="100"/>
    </row>
    <row r="56" spans="1:15" x14ac:dyDescent="0.35">
      <c r="A56" s="86">
        <v>45565</v>
      </c>
      <c r="B56" s="108">
        <v>22327588.602978449</v>
      </c>
      <c r="C56" s="108">
        <v>27896981.068124972</v>
      </c>
      <c r="D56" s="100">
        <f t="shared" si="0"/>
        <v>50224569.671103418</v>
      </c>
      <c r="E56" s="100">
        <f t="shared" si="1"/>
        <v>2853757.4192083329</v>
      </c>
      <c r="F56" s="100"/>
      <c r="G56" s="100"/>
      <c r="H56" s="100">
        <f t="shared" si="4"/>
        <v>50224569.671103418</v>
      </c>
      <c r="I56" s="100">
        <f t="shared" si="3"/>
        <v>1788328.6342545012</v>
      </c>
      <c r="J56" s="100"/>
      <c r="K56" s="100"/>
      <c r="L56" s="100"/>
      <c r="M56" s="100"/>
    </row>
    <row r="57" spans="1:15" x14ac:dyDescent="0.35">
      <c r="A57" s="86">
        <v>45596</v>
      </c>
      <c r="B57" s="108">
        <v>20507052.704811782</v>
      </c>
      <c r="C57" s="108">
        <v>26863759.547083307</v>
      </c>
      <c r="D57" s="100">
        <f t="shared" si="0"/>
        <v>47370812.251895085</v>
      </c>
      <c r="E57" s="100">
        <f t="shared" si="1"/>
        <v>2853757.4192083329</v>
      </c>
      <c r="F57" s="100"/>
      <c r="G57" s="100"/>
      <c r="H57" s="100">
        <f t="shared" si="4"/>
        <v>47370812.251895085</v>
      </c>
      <c r="I57" s="100">
        <f t="shared" si="3"/>
        <v>1788328.6342545012</v>
      </c>
      <c r="J57" s="100"/>
      <c r="K57" s="100"/>
      <c r="L57" s="100"/>
      <c r="M57" s="100"/>
    </row>
    <row r="58" spans="1:15" x14ac:dyDescent="0.35">
      <c r="A58" s="86">
        <v>45626</v>
      </c>
      <c r="B58" s="108">
        <v>18686516.806645114</v>
      </c>
      <c r="C58" s="108">
        <v>25830538.026041642</v>
      </c>
      <c r="D58" s="100">
        <f t="shared" si="0"/>
        <v>44517054.832686752</v>
      </c>
      <c r="E58" s="100">
        <f t="shared" si="1"/>
        <v>2853757.4192083329</v>
      </c>
      <c r="F58" s="100"/>
      <c r="G58" s="100"/>
      <c r="H58" s="100">
        <f t="shared" si="4"/>
        <v>44517054.832686752</v>
      </c>
      <c r="I58" s="100">
        <f t="shared" si="3"/>
        <v>1788328.6342545012</v>
      </c>
      <c r="J58" s="100"/>
      <c r="K58" s="100"/>
      <c r="L58" s="100"/>
      <c r="M58" s="100"/>
    </row>
    <row r="59" spans="1:15" x14ac:dyDescent="0.35">
      <c r="A59" s="86">
        <v>45657</v>
      </c>
      <c r="B59" s="108">
        <v>16865980.908478446</v>
      </c>
      <c r="C59" s="108">
        <v>24797316.504999977</v>
      </c>
      <c r="D59" s="100">
        <f t="shared" si="0"/>
        <v>41663297.413478419</v>
      </c>
      <c r="E59" s="100">
        <f t="shared" si="1"/>
        <v>2853757.4192083329</v>
      </c>
      <c r="F59" s="100">
        <f>SUM(E48:E59)</f>
        <v>34245089.03050001</v>
      </c>
      <c r="G59" s="100"/>
      <c r="H59" s="100">
        <f t="shared" si="4"/>
        <v>41663297.413478419</v>
      </c>
      <c r="I59" s="100">
        <f t="shared" si="3"/>
        <v>1788328.6342545012</v>
      </c>
      <c r="J59" s="100">
        <f>SUM(I48:I59)</f>
        <v>21459943.611054007</v>
      </c>
      <c r="K59" s="100"/>
      <c r="L59" s="100">
        <f>+J59-F59</f>
        <v>-12785145.419446003</v>
      </c>
      <c r="M59" s="100">
        <f>-J47-J59/2</f>
        <v>-32189915.416581012</v>
      </c>
      <c r="O59" s="100">
        <f>+J59-J47</f>
        <v>0</v>
      </c>
    </row>
    <row r="60" spans="1:15" x14ac:dyDescent="0.35">
      <c r="A60" s="86">
        <v>45688</v>
      </c>
      <c r="B60" s="108">
        <v>15045445.010311779</v>
      </c>
      <c r="C60" s="108">
        <v>23764094.983958311</v>
      </c>
      <c r="D60" s="100">
        <f t="shared" si="0"/>
        <v>38809539.994270086</v>
      </c>
      <c r="E60" s="100">
        <f t="shared" si="1"/>
        <v>2853757.4192083329</v>
      </c>
      <c r="F60" s="100"/>
      <c r="G60" s="100"/>
      <c r="H60" s="100">
        <f t="shared" si="4"/>
        <v>38809539.994270086</v>
      </c>
      <c r="I60" s="100">
        <f t="shared" si="3"/>
        <v>1788328.6342545012</v>
      </c>
      <c r="J60" s="100"/>
      <c r="K60" s="100"/>
      <c r="L60" s="100"/>
      <c r="M60" s="100"/>
    </row>
    <row r="61" spans="1:15" x14ac:dyDescent="0.35">
      <c r="A61" s="86">
        <v>45716</v>
      </c>
      <c r="B61" s="108">
        <v>13224909.112145111</v>
      </c>
      <c r="C61" s="108">
        <v>22730873.462916646</v>
      </c>
      <c r="D61" s="100">
        <f t="shared" si="0"/>
        <v>35955782.575061753</v>
      </c>
      <c r="E61" s="100">
        <f t="shared" si="1"/>
        <v>2853757.4192083329</v>
      </c>
      <c r="F61" s="100"/>
      <c r="G61" s="100"/>
      <c r="H61" s="100">
        <f t="shared" si="4"/>
        <v>35955782.575061753</v>
      </c>
      <c r="I61" s="100">
        <f t="shared" si="3"/>
        <v>1788328.6342545012</v>
      </c>
      <c r="J61" s="100"/>
      <c r="K61" s="100"/>
      <c r="L61" s="100"/>
      <c r="M61" s="100"/>
    </row>
    <row r="62" spans="1:15" x14ac:dyDescent="0.35">
      <c r="A62" s="86">
        <v>45747</v>
      </c>
      <c r="B62" s="108">
        <v>11404373.213978443</v>
      </c>
      <c r="C62" s="108">
        <v>21697651.941874981</v>
      </c>
      <c r="D62" s="100">
        <f t="shared" si="0"/>
        <v>33102025.155853424</v>
      </c>
      <c r="E62" s="100">
        <f t="shared" si="1"/>
        <v>2853757.4192083292</v>
      </c>
      <c r="F62" s="100"/>
      <c r="G62" s="100"/>
      <c r="H62" s="100">
        <f t="shared" si="4"/>
        <v>33102025.155853424</v>
      </c>
      <c r="I62" s="100">
        <f t="shared" si="3"/>
        <v>1788328.6342545012</v>
      </c>
      <c r="J62" s="100"/>
      <c r="K62" s="100"/>
      <c r="L62" s="100"/>
      <c r="M62" s="100"/>
    </row>
    <row r="63" spans="1:15" x14ac:dyDescent="0.35">
      <c r="A63" s="86">
        <v>45777</v>
      </c>
      <c r="B63" s="108">
        <v>9583837.3158117756</v>
      </c>
      <c r="C63" s="108">
        <v>20664430.420833316</v>
      </c>
      <c r="D63" s="100">
        <f t="shared" si="0"/>
        <v>30248267.736645091</v>
      </c>
      <c r="E63" s="100">
        <f t="shared" si="1"/>
        <v>2853757.4192083329</v>
      </c>
      <c r="F63" s="100"/>
      <c r="G63" s="100"/>
      <c r="H63" s="100">
        <f t="shared" si="4"/>
        <v>30248267.736645091</v>
      </c>
      <c r="I63" s="100">
        <f t="shared" si="3"/>
        <v>1788328.6342545012</v>
      </c>
      <c r="J63" s="100"/>
      <c r="K63" s="100"/>
      <c r="L63" s="100"/>
      <c r="M63" s="100"/>
    </row>
    <row r="64" spans="1:15" x14ac:dyDescent="0.35">
      <c r="A64" s="86">
        <v>45808</v>
      </c>
      <c r="B64" s="108">
        <v>7763301.4176451089</v>
      </c>
      <c r="C64" s="108">
        <v>19631208.89979165</v>
      </c>
      <c r="D64" s="100">
        <f t="shared" si="0"/>
        <v>27394510.317436758</v>
      </c>
      <c r="E64" s="100">
        <f t="shared" si="1"/>
        <v>2853757.4192083329</v>
      </c>
      <c r="F64" s="100"/>
      <c r="G64" s="100"/>
      <c r="H64" s="100">
        <f t="shared" si="4"/>
        <v>27394510.317436758</v>
      </c>
      <c r="I64" s="100">
        <f t="shared" si="3"/>
        <v>1788328.6342545012</v>
      </c>
      <c r="J64" s="100"/>
      <c r="K64" s="100"/>
      <c r="L64" s="100"/>
      <c r="M64" s="100"/>
    </row>
    <row r="65" spans="1:15" x14ac:dyDescent="0.35">
      <c r="A65" s="86">
        <v>45838</v>
      </c>
      <c r="B65" s="108">
        <v>5942765.5194784421</v>
      </c>
      <c r="C65" s="108">
        <v>18597987.378749985</v>
      </c>
      <c r="D65" s="100">
        <f t="shared" si="0"/>
        <v>24540752.898228429</v>
      </c>
      <c r="E65" s="100">
        <f t="shared" si="1"/>
        <v>2853757.4192083292</v>
      </c>
      <c r="F65" s="100"/>
      <c r="G65" s="100"/>
      <c r="H65" s="100">
        <f t="shared" si="4"/>
        <v>24540752.898228429</v>
      </c>
      <c r="I65" s="100">
        <f t="shared" si="3"/>
        <v>1788328.6342545012</v>
      </c>
      <c r="J65" s="100"/>
      <c r="K65" s="100"/>
      <c r="L65" s="100"/>
      <c r="M65" s="100"/>
    </row>
    <row r="66" spans="1:15" x14ac:dyDescent="0.35">
      <c r="A66" s="86">
        <v>45869</v>
      </c>
      <c r="B66" s="108">
        <v>4122229.6213117754</v>
      </c>
      <c r="C66" s="108">
        <v>17564765.85770832</v>
      </c>
      <c r="D66" s="100">
        <f t="shared" si="0"/>
        <v>21686995.479020096</v>
      </c>
      <c r="E66" s="100">
        <f t="shared" si="1"/>
        <v>2853757.4192083329</v>
      </c>
      <c r="F66" s="100"/>
      <c r="G66" s="100"/>
      <c r="H66" s="100">
        <f t="shared" si="4"/>
        <v>21686995.479020096</v>
      </c>
      <c r="I66" s="100">
        <f t="shared" si="3"/>
        <v>1788328.6342545012</v>
      </c>
      <c r="J66" s="100"/>
      <c r="K66" s="100"/>
      <c r="L66" s="100"/>
      <c r="M66" s="100"/>
    </row>
    <row r="67" spans="1:15" x14ac:dyDescent="0.35">
      <c r="A67" s="86">
        <v>45900</v>
      </c>
      <c r="B67" s="108">
        <v>2301693.7231451087</v>
      </c>
      <c r="C67" s="108">
        <v>16531544.336666653</v>
      </c>
      <c r="D67" s="100">
        <f t="shared" si="0"/>
        <v>18833238.059811763</v>
      </c>
      <c r="E67" s="100">
        <f t="shared" si="1"/>
        <v>2853757.4192083329</v>
      </c>
      <c r="F67" s="100"/>
      <c r="G67" s="100"/>
      <c r="H67" s="100">
        <f t="shared" si="4"/>
        <v>18833238.059811763</v>
      </c>
      <c r="I67" s="100">
        <f t="shared" si="3"/>
        <v>1788328.6342545012</v>
      </c>
      <c r="J67" s="100"/>
      <c r="K67" s="100"/>
      <c r="L67" s="100"/>
      <c r="M67" s="100"/>
    </row>
    <row r="68" spans="1:15" x14ac:dyDescent="0.35">
      <c r="A68" s="86">
        <v>45930</v>
      </c>
      <c r="B68" s="108">
        <v>481157.8249784417</v>
      </c>
      <c r="C68" s="108">
        <v>15498322.815624986</v>
      </c>
      <c r="D68" s="100">
        <f t="shared" si="0"/>
        <v>15979480.640603427</v>
      </c>
      <c r="E68" s="100">
        <f t="shared" si="1"/>
        <v>2853757.4192083366</v>
      </c>
      <c r="F68" s="100"/>
      <c r="G68" s="100"/>
      <c r="H68" s="100">
        <f t="shared" si="4"/>
        <v>15979480.640603427</v>
      </c>
      <c r="I68" s="100">
        <f t="shared" si="3"/>
        <v>1788328.6342545012</v>
      </c>
      <c r="J68" s="100"/>
      <c r="K68" s="100"/>
      <c r="L68" s="100"/>
      <c r="M68" s="100"/>
    </row>
    <row r="69" spans="1:15" x14ac:dyDescent="0.35">
      <c r="A69" s="86">
        <v>45961</v>
      </c>
      <c r="B69" s="108">
        <v>0</v>
      </c>
      <c r="C69" s="108">
        <v>14465101.294583319</v>
      </c>
      <c r="D69" s="100">
        <f t="shared" si="0"/>
        <v>14465101.294583319</v>
      </c>
      <c r="E69" s="100">
        <f t="shared" si="1"/>
        <v>1514379.3460201081</v>
      </c>
      <c r="F69" s="100"/>
      <c r="G69" s="100"/>
      <c r="H69" s="100">
        <f t="shared" si="4"/>
        <v>14465101.294583319</v>
      </c>
      <c r="I69" s="100">
        <f t="shared" si="3"/>
        <v>1788328.6342545012</v>
      </c>
      <c r="J69" s="100"/>
      <c r="K69" s="100"/>
      <c r="L69" s="100"/>
      <c r="M69" s="100"/>
    </row>
    <row r="70" spans="1:15" x14ac:dyDescent="0.35">
      <c r="A70" s="86">
        <v>45991</v>
      </c>
      <c r="B70" s="108">
        <v>0</v>
      </c>
      <c r="C70" s="108">
        <v>13431879.773541652</v>
      </c>
      <c r="D70" s="100">
        <f t="shared" si="0"/>
        <v>13431879.773541652</v>
      </c>
      <c r="E70" s="100">
        <f t="shared" si="1"/>
        <v>1033221.5210416671</v>
      </c>
      <c r="F70" s="100"/>
      <c r="G70" s="100"/>
      <c r="H70" s="100">
        <f t="shared" si="4"/>
        <v>13431879.773541652</v>
      </c>
      <c r="I70" s="100">
        <f t="shared" si="3"/>
        <v>1788328.6342545012</v>
      </c>
      <c r="J70" s="100"/>
      <c r="K70" s="100"/>
      <c r="L70" s="100"/>
      <c r="M70" s="100"/>
    </row>
    <row r="71" spans="1:15" x14ac:dyDescent="0.35">
      <c r="A71" s="86">
        <v>46022</v>
      </c>
      <c r="B71" s="108">
        <v>0</v>
      </c>
      <c r="C71" s="108">
        <v>12398658.252499985</v>
      </c>
      <c r="D71" s="100">
        <f t="shared" si="0"/>
        <v>12398658.252499985</v>
      </c>
      <c r="E71" s="100">
        <f t="shared" si="1"/>
        <v>1033221.5210416671</v>
      </c>
      <c r="F71" s="100">
        <f>SUM(E60:E71)</f>
        <v>29264639.160978436</v>
      </c>
      <c r="G71" s="100"/>
      <c r="H71" s="100">
        <f t="shared" si="4"/>
        <v>12398658.252499985</v>
      </c>
      <c r="I71" s="100">
        <f t="shared" si="3"/>
        <v>1788328.6342545012</v>
      </c>
      <c r="J71" s="100">
        <f>SUM(I60:I71)</f>
        <v>21459943.611054007</v>
      </c>
      <c r="K71" s="100"/>
      <c r="L71" s="100">
        <f>+J71-F71</f>
        <v>-7804695.5499244295</v>
      </c>
      <c r="M71" s="100">
        <f>-J47-J59-J71/2</f>
        <v>-53649859.027635016</v>
      </c>
      <c r="O71" s="100">
        <f>+F71-F59</f>
        <v>-4980449.8695215732</v>
      </c>
    </row>
    <row r="72" spans="1:15" x14ac:dyDescent="0.35">
      <c r="A72" s="86"/>
      <c r="B72" s="83"/>
      <c r="C72" s="83"/>
      <c r="D72" s="85"/>
      <c r="E72" s="85"/>
    </row>
    <row r="73" spans="1:15" x14ac:dyDescent="0.35">
      <c r="A73" s="86"/>
      <c r="B73" s="83"/>
      <c r="C73" s="83"/>
      <c r="D73" s="85"/>
      <c r="E73" s="85"/>
      <c r="F73" s="85"/>
    </row>
    <row r="74" spans="1:15" x14ac:dyDescent="0.35">
      <c r="A74" s="86"/>
      <c r="B74" s="83"/>
      <c r="C74" s="83"/>
      <c r="D74" s="85"/>
      <c r="E74" s="85"/>
    </row>
    <row r="75" spans="1:15" x14ac:dyDescent="0.35">
      <c r="A75" s="86"/>
      <c r="B75" s="83"/>
      <c r="C75" s="83"/>
      <c r="D75" s="85"/>
      <c r="E75" s="85"/>
    </row>
    <row r="76" spans="1:15" x14ac:dyDescent="0.35">
      <c r="A76" s="86"/>
      <c r="B76" s="83"/>
      <c r="C76" s="83"/>
      <c r="D76" s="85"/>
      <c r="E76" s="85"/>
    </row>
    <row r="77" spans="1:15" x14ac:dyDescent="0.35">
      <c r="A77" s="86"/>
      <c r="B77" s="83"/>
      <c r="C77" s="83"/>
      <c r="D77" s="85"/>
      <c r="E77" s="85"/>
    </row>
    <row r="78" spans="1:15" x14ac:dyDescent="0.35">
      <c r="A78" s="86"/>
      <c r="B78" s="83"/>
      <c r="C78" s="83"/>
      <c r="D78" s="85"/>
      <c r="E78" s="85"/>
    </row>
    <row r="79" spans="1:15" x14ac:dyDescent="0.35">
      <c r="A79" s="86"/>
      <c r="B79" s="83"/>
      <c r="C79" s="83"/>
      <c r="D79" s="85"/>
      <c r="E79" s="85"/>
    </row>
    <row r="80" spans="1:15" x14ac:dyDescent="0.35">
      <c r="A80" s="86"/>
      <c r="B80" s="83"/>
      <c r="C80" s="83"/>
      <c r="D80" s="85"/>
      <c r="E80" s="85"/>
    </row>
    <row r="81" spans="1:5" x14ac:dyDescent="0.35">
      <c r="A81" s="86"/>
      <c r="B81" s="83"/>
      <c r="C81" s="83"/>
      <c r="D81" s="85"/>
      <c r="E81" s="85"/>
    </row>
    <row r="82" spans="1:5" x14ac:dyDescent="0.35">
      <c r="B82" s="83"/>
      <c r="C82" s="83"/>
      <c r="D82" s="83"/>
    </row>
    <row r="83" spans="1:5" x14ac:dyDescent="0.35">
      <c r="B83" s="83"/>
      <c r="C83" s="83"/>
      <c r="D83" s="83"/>
    </row>
    <row r="84" spans="1:5" x14ac:dyDescent="0.35">
      <c r="B84" s="83"/>
      <c r="C84" s="83"/>
      <c r="D84" s="83"/>
    </row>
    <row r="85" spans="1:5" x14ac:dyDescent="0.35">
      <c r="B85" s="83"/>
      <c r="C85" s="83"/>
      <c r="D85" s="83"/>
    </row>
    <row r="86" spans="1:5" x14ac:dyDescent="0.35">
      <c r="B86" s="83"/>
      <c r="C86" s="83"/>
      <c r="D86" s="83"/>
    </row>
    <row r="87" spans="1:5" x14ac:dyDescent="0.35">
      <c r="B87" s="83"/>
      <c r="C87" s="83"/>
      <c r="D87" s="83"/>
    </row>
    <row r="88" spans="1:5" x14ac:dyDescent="0.35">
      <c r="B88" s="83"/>
      <c r="C88" s="83"/>
      <c r="D88" s="83"/>
    </row>
    <row r="89" spans="1:5" x14ac:dyDescent="0.35">
      <c r="B89" s="83"/>
      <c r="C89" s="83"/>
      <c r="D89" s="83"/>
    </row>
    <row r="90" spans="1:5" x14ac:dyDescent="0.35">
      <c r="B90" s="83"/>
      <c r="C90" s="83"/>
      <c r="D90" s="83"/>
    </row>
    <row r="91" spans="1:5" x14ac:dyDescent="0.35">
      <c r="B91" s="83"/>
      <c r="C91" s="83"/>
      <c r="D91" s="83"/>
    </row>
    <row r="92" spans="1:5" x14ac:dyDescent="0.35">
      <c r="B92" s="83"/>
      <c r="C92" s="83"/>
      <c r="D92" s="83"/>
    </row>
    <row r="93" spans="1:5" x14ac:dyDescent="0.35">
      <c r="B93" s="83"/>
      <c r="C93" s="83"/>
      <c r="D93" s="83"/>
    </row>
    <row r="94" spans="1:5" x14ac:dyDescent="0.35">
      <c r="B94" s="83"/>
      <c r="C94" s="83"/>
      <c r="D94" s="83"/>
    </row>
    <row r="95" spans="1:5" x14ac:dyDescent="0.35">
      <c r="B95" s="83"/>
      <c r="C95" s="83"/>
      <c r="D95" s="83"/>
    </row>
    <row r="96" spans="1:5" x14ac:dyDescent="0.35">
      <c r="B96" s="83"/>
      <c r="C96" s="83"/>
      <c r="D96" s="83"/>
    </row>
    <row r="97" spans="2:4" x14ac:dyDescent="0.35">
      <c r="B97" s="83"/>
      <c r="C97" s="83"/>
      <c r="D97" s="83"/>
    </row>
    <row r="98" spans="2:4" x14ac:dyDescent="0.35">
      <c r="B98" s="83"/>
      <c r="C98" s="83"/>
      <c r="D98" s="83"/>
    </row>
    <row r="99" spans="2:4" x14ac:dyDescent="0.35">
      <c r="B99" s="83"/>
      <c r="C99" s="83"/>
      <c r="D99" s="83"/>
    </row>
  </sheetData>
  <pageMargins left="0.7" right="0.7" top="0.75" bottom="0.75" header="0.3" footer="0.3"/>
  <pageSetup scale="75"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89036-8DC7-4F3B-9893-D05E460C5F24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64"/>
  <sheetViews>
    <sheetView topLeftCell="A10" workbookViewId="0">
      <selection activeCell="J24" sqref="J24"/>
    </sheetView>
  </sheetViews>
  <sheetFormatPr defaultRowHeight="14.5" x14ac:dyDescent="0.35"/>
  <cols>
    <col min="1" max="1" width="5.453125" style="24" customWidth="1"/>
    <col min="2" max="2" width="48.1796875" style="24" customWidth="1"/>
    <col min="3" max="3" width="4.54296875" style="24" customWidth="1"/>
    <col min="4" max="5" width="13.453125" style="24" customWidth="1"/>
    <col min="6" max="6" width="16" style="24" customWidth="1"/>
    <col min="7" max="7" width="13.453125" style="24" customWidth="1"/>
    <col min="8" max="16" width="14.7265625" style="24" customWidth="1"/>
  </cols>
  <sheetData>
    <row r="1" spans="1:16" x14ac:dyDescent="0.3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16" x14ac:dyDescent="0.3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pans="1:16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6" spans="1:16" x14ac:dyDescent="0.35">
      <c r="A6" s="25" t="s">
        <v>52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s="91" customFormat="1" x14ac:dyDescent="0.35">
      <c r="A7" s="98" t="s">
        <v>81</v>
      </c>
      <c r="B7" s="98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</row>
    <row r="8" spans="1:16" x14ac:dyDescent="0.35">
      <c r="A8" s="27" t="s">
        <v>53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x14ac:dyDescent="0.35">
      <c r="A9" s="27" t="s">
        <v>10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6" x14ac:dyDescent="0.35">
      <c r="A10" s="25"/>
      <c r="B10" s="25"/>
      <c r="C10" s="26"/>
      <c r="D10" s="28" t="s">
        <v>15</v>
      </c>
      <c r="E10" s="29"/>
      <c r="F10" s="28" t="s">
        <v>14</v>
      </c>
      <c r="G10" s="29"/>
      <c r="H10" s="28" t="s">
        <v>14</v>
      </c>
      <c r="I10" s="29"/>
      <c r="J10" s="28" t="s">
        <v>14</v>
      </c>
      <c r="K10" s="29"/>
      <c r="L10" s="28" t="s">
        <v>15</v>
      </c>
      <c r="M10" s="29"/>
      <c r="N10" s="28" t="s">
        <v>15</v>
      </c>
      <c r="O10" s="29"/>
      <c r="P10" s="28" t="s">
        <v>15</v>
      </c>
    </row>
    <row r="11" spans="1:16" x14ac:dyDescent="0.35">
      <c r="A11" s="25"/>
      <c r="B11" s="25"/>
      <c r="C11" s="26"/>
      <c r="D11" s="30"/>
      <c r="E11" s="31"/>
      <c r="F11" s="31"/>
      <c r="G11" s="31"/>
      <c r="H11" s="32"/>
      <c r="I11" s="30"/>
      <c r="J11" s="31"/>
      <c r="K11" s="31"/>
      <c r="L11" s="31"/>
      <c r="M11" s="31"/>
      <c r="N11" s="31"/>
      <c r="O11" s="31"/>
      <c r="P11" s="32"/>
    </row>
    <row r="12" spans="1:16" x14ac:dyDescent="0.35">
      <c r="A12" s="33"/>
      <c r="B12" s="33"/>
      <c r="C12" s="33"/>
      <c r="D12" s="34"/>
      <c r="E12" s="35"/>
      <c r="F12" s="36"/>
      <c r="G12" s="37"/>
      <c r="H12" s="38" t="s">
        <v>54</v>
      </c>
      <c r="I12" s="39">
        <v>2022</v>
      </c>
      <c r="J12" s="40" t="s">
        <v>55</v>
      </c>
      <c r="K12" s="41">
        <v>2023</v>
      </c>
      <c r="L12" s="40" t="s">
        <v>55</v>
      </c>
      <c r="M12" s="41">
        <v>2024</v>
      </c>
      <c r="N12" s="40" t="s">
        <v>55</v>
      </c>
      <c r="O12" s="41">
        <v>2025</v>
      </c>
      <c r="P12" s="42" t="s">
        <v>55</v>
      </c>
    </row>
    <row r="13" spans="1:16" x14ac:dyDescent="0.35">
      <c r="A13" s="43"/>
      <c r="B13" s="44"/>
      <c r="C13" s="45"/>
      <c r="D13" s="46" t="s">
        <v>56</v>
      </c>
      <c r="E13" s="47"/>
      <c r="F13" s="48" t="s">
        <v>0</v>
      </c>
      <c r="G13" s="49" t="s">
        <v>57</v>
      </c>
      <c r="H13" s="42" t="s">
        <v>55</v>
      </c>
      <c r="I13" s="50" t="s">
        <v>58</v>
      </c>
      <c r="J13" s="48" t="s">
        <v>59</v>
      </c>
      <c r="K13" s="49" t="s">
        <v>60</v>
      </c>
      <c r="L13" s="48" t="s">
        <v>59</v>
      </c>
      <c r="M13" s="49" t="s">
        <v>61</v>
      </c>
      <c r="N13" s="48" t="s">
        <v>59</v>
      </c>
      <c r="O13" s="49" t="s">
        <v>62</v>
      </c>
      <c r="P13" s="42" t="s">
        <v>59</v>
      </c>
    </row>
    <row r="14" spans="1:16" x14ac:dyDescent="0.35">
      <c r="A14" s="51" t="s">
        <v>2</v>
      </c>
      <c r="B14" s="43"/>
      <c r="C14" s="52"/>
      <c r="D14" s="46" t="s">
        <v>11</v>
      </c>
      <c r="E14" s="49" t="s">
        <v>63</v>
      </c>
      <c r="F14" s="48" t="s">
        <v>64</v>
      </c>
      <c r="G14" s="49" t="s">
        <v>1</v>
      </c>
      <c r="H14" s="42" t="s">
        <v>64</v>
      </c>
      <c r="I14" s="50" t="s">
        <v>65</v>
      </c>
      <c r="J14" s="48" t="s">
        <v>66</v>
      </c>
      <c r="K14" s="49" t="s">
        <v>65</v>
      </c>
      <c r="L14" s="48" t="s">
        <v>67</v>
      </c>
      <c r="M14" s="49" t="s">
        <v>65</v>
      </c>
      <c r="N14" s="48" t="s">
        <v>67</v>
      </c>
      <c r="O14" s="49" t="s">
        <v>65</v>
      </c>
      <c r="P14" s="42" t="s">
        <v>67</v>
      </c>
    </row>
    <row r="15" spans="1:16" x14ac:dyDescent="0.35">
      <c r="A15" s="53" t="s">
        <v>3</v>
      </c>
      <c r="B15" s="54" t="s">
        <v>4</v>
      </c>
      <c r="C15" s="55" t="s">
        <v>5</v>
      </c>
      <c r="D15" s="56" t="s">
        <v>12</v>
      </c>
      <c r="E15" s="57" t="s">
        <v>68</v>
      </c>
      <c r="F15" s="58" t="s">
        <v>69</v>
      </c>
      <c r="G15" s="57" t="s">
        <v>68</v>
      </c>
      <c r="H15" s="59" t="s">
        <v>69</v>
      </c>
      <c r="I15" s="60" t="s">
        <v>68</v>
      </c>
      <c r="J15" s="58" t="s">
        <v>60</v>
      </c>
      <c r="K15" s="57" t="s">
        <v>68</v>
      </c>
      <c r="L15" s="58" t="s">
        <v>60</v>
      </c>
      <c r="M15" s="57" t="s">
        <v>68</v>
      </c>
      <c r="N15" s="58" t="s">
        <v>61</v>
      </c>
      <c r="O15" s="57" t="s">
        <v>68</v>
      </c>
      <c r="P15" s="59" t="s">
        <v>62</v>
      </c>
    </row>
    <row r="17" spans="1:16" x14ac:dyDescent="0.35">
      <c r="A17" s="61">
        <v>1</v>
      </c>
      <c r="B17" s="2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</row>
    <row r="18" spans="1:16" x14ac:dyDescent="0.35">
      <c r="A18" s="61">
        <v>2</v>
      </c>
      <c r="B18" s="2"/>
      <c r="C18" s="62"/>
      <c r="D18" s="76"/>
      <c r="E18" s="76"/>
      <c r="F18" s="76"/>
      <c r="G18" s="76"/>
      <c r="H18" s="76"/>
      <c r="I18" s="63"/>
      <c r="J18" s="76"/>
      <c r="K18" s="63"/>
      <c r="L18" s="76"/>
      <c r="M18" s="63"/>
      <c r="N18" s="76"/>
      <c r="O18" s="63"/>
      <c r="P18" s="76"/>
    </row>
    <row r="19" spans="1:16" x14ac:dyDescent="0.35">
      <c r="A19" s="61">
        <v>3</v>
      </c>
      <c r="B19" s="2"/>
      <c r="C19" s="62"/>
      <c r="D19" s="76"/>
      <c r="E19" s="76"/>
      <c r="F19" s="76"/>
      <c r="G19" s="76"/>
      <c r="H19" s="76"/>
      <c r="I19" s="63"/>
      <c r="J19" s="76"/>
      <c r="K19" s="63"/>
      <c r="L19" s="76"/>
      <c r="M19" s="63"/>
      <c r="N19" s="76"/>
      <c r="O19" s="63"/>
      <c r="P19" s="76"/>
    </row>
    <row r="20" spans="1:16" x14ac:dyDescent="0.35">
      <c r="A20" s="61">
        <v>5</v>
      </c>
      <c r="B20" s="2"/>
      <c r="C20" s="64"/>
      <c r="D20" s="76"/>
      <c r="E20" s="76"/>
      <c r="F20" s="76"/>
      <c r="G20" s="76"/>
      <c r="H20" s="77"/>
      <c r="I20" s="65"/>
      <c r="J20" s="77"/>
      <c r="K20" s="65"/>
      <c r="L20" s="77"/>
      <c r="M20" s="65"/>
      <c r="N20" s="77"/>
      <c r="O20" s="65"/>
      <c r="P20" s="77"/>
    </row>
    <row r="21" spans="1:16" x14ac:dyDescent="0.35">
      <c r="A21" s="61">
        <v>6</v>
      </c>
      <c r="B21" s="2"/>
      <c r="C21" s="64"/>
      <c r="D21" s="76"/>
      <c r="E21" s="76"/>
      <c r="F21" s="76"/>
      <c r="G21" s="76"/>
      <c r="H21" s="77"/>
      <c r="I21" s="65"/>
      <c r="J21" s="77"/>
      <c r="K21" s="65"/>
      <c r="L21" s="77"/>
      <c r="M21" s="65"/>
      <c r="N21" s="77"/>
      <c r="O21" s="65"/>
      <c r="P21" s="77"/>
    </row>
    <row r="22" spans="1:16" x14ac:dyDescent="0.35">
      <c r="A22" s="61">
        <v>7</v>
      </c>
      <c r="B22" s="2"/>
      <c r="C22" s="64"/>
      <c r="D22" s="76"/>
      <c r="E22" s="76"/>
      <c r="F22" s="76"/>
      <c r="G22" s="76"/>
      <c r="H22" s="77"/>
      <c r="I22" s="65"/>
      <c r="J22" s="77"/>
      <c r="K22" s="65"/>
      <c r="L22" s="77"/>
      <c r="M22" s="65"/>
      <c r="N22" s="77"/>
      <c r="O22" s="65"/>
      <c r="P22" s="77"/>
    </row>
    <row r="23" spans="1:16" x14ac:dyDescent="0.35">
      <c r="A23" s="61">
        <v>8</v>
      </c>
      <c r="B23" s="69"/>
      <c r="C23" s="66"/>
      <c r="D23" s="68"/>
      <c r="E23" s="68"/>
      <c r="F23" s="68"/>
      <c r="G23" s="68"/>
      <c r="H23" s="70"/>
      <c r="I23" s="70"/>
      <c r="J23" s="70"/>
      <c r="K23" s="70"/>
      <c r="L23" s="70"/>
      <c r="M23" s="70"/>
      <c r="N23" s="70"/>
      <c r="O23" s="70"/>
      <c r="P23" s="70"/>
    </row>
    <row r="24" spans="1:16" x14ac:dyDescent="0.35">
      <c r="A24" s="61">
        <v>9</v>
      </c>
      <c r="B24" s="69" t="s">
        <v>6</v>
      </c>
      <c r="C24" s="66"/>
      <c r="D24" s="63">
        <f>+'Storm Amortization'!K36</f>
        <v>22846388.420000002</v>
      </c>
      <c r="E24" s="63">
        <f>+F24-D24</f>
        <v>-999957.6419999972</v>
      </c>
      <c r="F24" s="68">
        <f>-'Storm Amortization'!D38</f>
        <v>21846430.778000005</v>
      </c>
      <c r="G24" s="63">
        <f>+H24-F24</f>
        <v>0</v>
      </c>
      <c r="H24" s="70">
        <f>+'Storm Amortization'!F44</f>
        <v>21846430.778000005</v>
      </c>
      <c r="I24" s="63"/>
      <c r="J24" s="70">
        <f>+'Storm Amortization'!F44</f>
        <v>21846430.778000005</v>
      </c>
      <c r="K24" s="63">
        <f>+'Storm Amortization'!F51</f>
        <v>12398658.252499999</v>
      </c>
      <c r="L24" s="77">
        <f t="shared" ref="L24" si="0">+K24+J24</f>
        <v>34245089.030500002</v>
      </c>
      <c r="M24" s="70"/>
      <c r="N24" s="70">
        <f t="shared" ref="N24" si="1">+M24+L24</f>
        <v>34245089.030500002</v>
      </c>
      <c r="O24" s="70">
        <f>P24-N24</f>
        <v>-4980449.8695215657</v>
      </c>
      <c r="P24" s="70">
        <f>'BGM-10'!F71</f>
        <v>29264639.160978436</v>
      </c>
    </row>
    <row r="25" spans="1:16" x14ac:dyDescent="0.35">
      <c r="A25" s="61">
        <v>10</v>
      </c>
      <c r="B25" s="69"/>
      <c r="C25" s="66"/>
      <c r="D25" s="67"/>
      <c r="E25" s="67"/>
      <c r="F25" s="67"/>
      <c r="G25" s="67"/>
      <c r="H25" s="67"/>
      <c r="I25" s="70"/>
      <c r="J25" s="67"/>
      <c r="K25" s="70"/>
      <c r="L25" s="67"/>
      <c r="M25" s="70"/>
      <c r="N25" s="67"/>
      <c r="O25" s="70"/>
      <c r="P25" s="67"/>
    </row>
    <row r="26" spans="1:16" x14ac:dyDescent="0.35">
      <c r="A26" s="61">
        <v>11</v>
      </c>
      <c r="B26" s="69" t="s">
        <v>7</v>
      </c>
      <c r="C26" s="66"/>
      <c r="D26" s="78">
        <f>+D24+D22</f>
        <v>22846388.420000002</v>
      </c>
      <c r="E26" s="78">
        <f t="shared" ref="E26:H26" si="2">+E24+E22</f>
        <v>-999957.6419999972</v>
      </c>
      <c r="F26" s="78">
        <f t="shared" si="2"/>
        <v>21846430.778000005</v>
      </c>
      <c r="G26" s="78">
        <f t="shared" si="2"/>
        <v>0</v>
      </c>
      <c r="H26" s="78">
        <f t="shared" si="2"/>
        <v>21846430.778000005</v>
      </c>
      <c r="I26" s="63"/>
      <c r="J26" s="78">
        <f t="shared" ref="J26" si="3">+J24+J22</f>
        <v>21846430.778000005</v>
      </c>
      <c r="K26" s="63">
        <f>+L26-J26</f>
        <v>12398658.252499998</v>
      </c>
      <c r="L26" s="78">
        <f t="shared" ref="L26" si="4">+L24+L22</f>
        <v>34245089.030500002</v>
      </c>
      <c r="M26" s="68"/>
      <c r="N26" s="78">
        <f t="shared" ref="N26" si="5">+N24+N22</f>
        <v>34245089.030500002</v>
      </c>
      <c r="O26" s="70">
        <f>P26-N26</f>
        <v>-4980449.8695215657</v>
      </c>
      <c r="P26" s="78">
        <f t="shared" ref="P26" si="6">+P24+P22</f>
        <v>29264639.160978436</v>
      </c>
    </row>
    <row r="27" spans="1:16" x14ac:dyDescent="0.35">
      <c r="A27" s="61">
        <v>12</v>
      </c>
      <c r="B27" s="69"/>
      <c r="C27" s="66"/>
      <c r="D27" s="68"/>
      <c r="E27" s="68"/>
      <c r="F27" s="68"/>
      <c r="G27" s="68"/>
      <c r="H27" s="70"/>
      <c r="I27" s="70"/>
      <c r="J27" s="70"/>
      <c r="K27" s="70"/>
      <c r="L27" s="70"/>
      <c r="M27" s="70"/>
      <c r="N27" s="70"/>
      <c r="O27" s="70"/>
      <c r="P27" s="70"/>
    </row>
    <row r="28" spans="1:16" x14ac:dyDescent="0.35">
      <c r="A28" s="61">
        <v>13</v>
      </c>
      <c r="B28" s="69" t="s">
        <v>8</v>
      </c>
      <c r="C28" s="71">
        <v>0.21</v>
      </c>
      <c r="D28" s="68">
        <f>-D26*$C$28</f>
        <v>-4797741.5682000006</v>
      </c>
      <c r="E28" s="68">
        <f t="shared" ref="E28:H28" si="7">-E26*$C$28</f>
        <v>209991.1048199994</v>
      </c>
      <c r="F28" s="68">
        <f t="shared" si="7"/>
        <v>-4587750.4633800006</v>
      </c>
      <c r="G28" s="68">
        <f t="shared" si="7"/>
        <v>0</v>
      </c>
      <c r="H28" s="68">
        <f t="shared" si="7"/>
        <v>-4587750.4633800006</v>
      </c>
      <c r="I28" s="63"/>
      <c r="J28" s="68">
        <f t="shared" ref="J28" si="8">-J26*$C$28</f>
        <v>-4587750.4633800006</v>
      </c>
      <c r="K28" s="63">
        <f>+L28-J28</f>
        <v>-2603718.2330249995</v>
      </c>
      <c r="L28" s="68">
        <f t="shared" ref="L28" si="9">-L26*$C$28</f>
        <v>-7191468.6964050001</v>
      </c>
      <c r="M28" s="68"/>
      <c r="N28" s="68">
        <f t="shared" ref="N28" si="10">-N26*$C$28</f>
        <v>-7191468.6964050001</v>
      </c>
      <c r="O28" s="70">
        <f>P28-N28</f>
        <v>1045894.4725995287</v>
      </c>
      <c r="P28" s="68">
        <f t="shared" ref="P28" si="11">-P26*$C$28</f>
        <v>-6145574.2238054713</v>
      </c>
    </row>
    <row r="29" spans="1:16" x14ac:dyDescent="0.35">
      <c r="A29" s="61">
        <v>14</v>
      </c>
      <c r="B29" s="69"/>
      <c r="C29" s="66"/>
      <c r="D29" s="72"/>
      <c r="E29" s="72"/>
      <c r="F29" s="72"/>
      <c r="G29" s="72"/>
      <c r="H29" s="72"/>
      <c r="I29" s="73"/>
      <c r="J29" s="72"/>
      <c r="K29" s="73"/>
      <c r="L29" s="72"/>
      <c r="M29" s="73"/>
      <c r="N29" s="72"/>
      <c r="O29" s="73"/>
      <c r="P29" s="72"/>
    </row>
    <row r="30" spans="1:16" ht="15" thickBot="1" x14ac:dyDescent="0.4">
      <c r="A30" s="61">
        <v>15</v>
      </c>
      <c r="B30" s="69" t="s">
        <v>9</v>
      </c>
      <c r="C30" s="66"/>
      <c r="D30" s="74">
        <f>-SUM(D26:D28)</f>
        <v>-18048646.851800002</v>
      </c>
      <c r="E30" s="74">
        <f t="shared" ref="E30:H30" si="12">-SUM(E26:E28)</f>
        <v>789966.53717999777</v>
      </c>
      <c r="F30" s="74">
        <f t="shared" si="12"/>
        <v>-17258680.314620003</v>
      </c>
      <c r="G30" s="74">
        <f t="shared" si="12"/>
        <v>0</v>
      </c>
      <c r="H30" s="74">
        <f t="shared" si="12"/>
        <v>-17258680.314620003</v>
      </c>
      <c r="I30" s="63"/>
      <c r="J30" s="74">
        <f t="shared" ref="J30" si="13">-SUM(J26:J28)</f>
        <v>-17258680.314620003</v>
      </c>
      <c r="K30" s="63">
        <f>+L30-J30</f>
        <v>-9794940.0194749981</v>
      </c>
      <c r="L30" s="74">
        <f t="shared" ref="L30" si="14">-SUM(L26:L28)</f>
        <v>-27053620.334095001</v>
      </c>
      <c r="M30" s="63"/>
      <c r="N30" s="74">
        <f t="shared" ref="N30" si="15">-SUM(N26:N28)</f>
        <v>-27053620.334095001</v>
      </c>
      <c r="O30" s="70">
        <f>P30-N30</f>
        <v>3934555.396922037</v>
      </c>
      <c r="P30" s="74">
        <f t="shared" ref="P30" si="16">-SUM(P26:P28)</f>
        <v>-23119064.937172964</v>
      </c>
    </row>
    <row r="31" spans="1:16" ht="15" thickTop="1" x14ac:dyDescent="0.35">
      <c r="A31" s="75"/>
    </row>
    <row r="32" spans="1:16" x14ac:dyDescent="0.35">
      <c r="A32" s="5"/>
      <c r="B32" s="5"/>
      <c r="C32" s="5"/>
      <c r="D32" s="5"/>
      <c r="E32" s="5"/>
      <c r="F32" s="5"/>
      <c r="G32" s="5"/>
      <c r="H32" s="5"/>
      <c r="I32"/>
      <c r="J32"/>
      <c r="K32"/>
      <c r="L32"/>
      <c r="M32"/>
      <c r="N32"/>
      <c r="O32"/>
      <c r="P32"/>
    </row>
    <row r="33" spans="1:16" x14ac:dyDescent="0.35">
      <c r="A33" s="5"/>
      <c r="B33" s="5"/>
      <c r="C33" s="5"/>
      <c r="D33" s="5"/>
      <c r="E33" s="5"/>
      <c r="F33" s="5"/>
      <c r="G33" s="5"/>
      <c r="H33" s="5"/>
      <c r="I33"/>
      <c r="J33"/>
      <c r="K33"/>
      <c r="L33"/>
      <c r="M33"/>
      <c r="N33"/>
      <c r="O33"/>
      <c r="P33"/>
    </row>
    <row r="34" spans="1:16" x14ac:dyDescent="0.35">
      <c r="A34" s="5"/>
      <c r="B34" s="5"/>
      <c r="C34" s="5"/>
      <c r="D34" s="5"/>
      <c r="E34" s="5"/>
      <c r="F34" s="5"/>
      <c r="G34" s="5"/>
      <c r="H34" s="5"/>
      <c r="I34"/>
      <c r="J34"/>
      <c r="K34"/>
      <c r="L34"/>
      <c r="M34"/>
      <c r="N34"/>
      <c r="O34"/>
      <c r="P34"/>
    </row>
    <row r="35" spans="1:16" x14ac:dyDescent="0.35">
      <c r="A35" s="5"/>
      <c r="B35" s="5"/>
      <c r="C35" s="5"/>
      <c r="D35" s="5"/>
      <c r="E35" s="5"/>
      <c r="F35" s="5"/>
      <c r="G35" s="5"/>
      <c r="H35" s="5"/>
      <c r="I35"/>
      <c r="J35"/>
      <c r="K35"/>
      <c r="L35"/>
      <c r="M35"/>
      <c r="N35"/>
      <c r="O35"/>
      <c r="P35"/>
    </row>
    <row r="36" spans="1:16" x14ac:dyDescent="0.35">
      <c r="A36" s="5"/>
      <c r="B36" s="5"/>
      <c r="C36" s="5"/>
      <c r="D36" s="5"/>
      <c r="E36" s="5"/>
      <c r="F36" s="5"/>
      <c r="G36" s="5"/>
      <c r="H36" s="5"/>
      <c r="I36"/>
      <c r="J36"/>
      <c r="K36"/>
      <c r="L36"/>
      <c r="M36"/>
      <c r="N36"/>
      <c r="O36"/>
      <c r="P36"/>
    </row>
    <row r="37" spans="1:16" x14ac:dyDescent="0.35">
      <c r="A37" s="5"/>
      <c r="B37" s="5"/>
      <c r="C37" s="5"/>
      <c r="D37" s="5"/>
      <c r="E37" s="5"/>
      <c r="F37" s="5"/>
      <c r="G37" s="5"/>
      <c r="H37" s="5"/>
      <c r="I37"/>
      <c r="J37"/>
      <c r="K37"/>
      <c r="L37"/>
      <c r="M37"/>
      <c r="N37"/>
      <c r="O37"/>
      <c r="P37"/>
    </row>
    <row r="38" spans="1:16" x14ac:dyDescent="0.35">
      <c r="A38" s="5"/>
      <c r="B38" s="5"/>
      <c r="C38" s="5"/>
      <c r="D38" s="5"/>
      <c r="E38" s="5"/>
      <c r="F38" s="5"/>
      <c r="G38" s="5"/>
      <c r="H38" s="5"/>
      <c r="I38"/>
      <c r="J38"/>
      <c r="K38"/>
      <c r="L38"/>
      <c r="M38"/>
      <c r="N38"/>
      <c r="O38"/>
      <c r="P38"/>
    </row>
    <row r="39" spans="1:16" x14ac:dyDescent="0.35">
      <c r="A39" s="5"/>
      <c r="B39" s="5"/>
      <c r="C39" s="5"/>
      <c r="D39" s="5"/>
      <c r="E39" s="5"/>
      <c r="F39" s="5"/>
      <c r="G39" s="5"/>
      <c r="H39" s="5"/>
      <c r="I39"/>
      <c r="J39"/>
      <c r="K39"/>
      <c r="L39"/>
      <c r="M39"/>
      <c r="N39"/>
      <c r="O39"/>
      <c r="P39"/>
    </row>
    <row r="40" spans="1:16" x14ac:dyDescent="0.35">
      <c r="A40" s="5"/>
      <c r="B40" s="5"/>
      <c r="C40" s="5"/>
      <c r="D40" s="5"/>
      <c r="E40" s="5"/>
      <c r="F40" s="5"/>
      <c r="G40" s="5"/>
      <c r="H40" s="5"/>
      <c r="I40"/>
      <c r="J40"/>
      <c r="K40"/>
      <c r="L40"/>
      <c r="M40"/>
      <c r="N40"/>
      <c r="O40"/>
      <c r="P40"/>
    </row>
    <row r="41" spans="1:16" x14ac:dyDescent="0.35">
      <c r="A41" s="5"/>
      <c r="B41" s="5"/>
      <c r="C41" s="5"/>
      <c r="D41" s="5"/>
      <c r="E41" s="5"/>
      <c r="F41" s="5"/>
      <c r="G41" s="5"/>
      <c r="H41" s="5"/>
      <c r="I41"/>
      <c r="J41"/>
      <c r="K41"/>
      <c r="L41"/>
      <c r="M41"/>
      <c r="N41"/>
      <c r="O41"/>
      <c r="P41"/>
    </row>
    <row r="42" spans="1:16" x14ac:dyDescent="0.35">
      <c r="A42" s="5"/>
      <c r="B42" s="5"/>
      <c r="C42" s="5"/>
      <c r="D42" s="5"/>
      <c r="E42" s="5"/>
      <c r="F42" s="5"/>
      <c r="G42" s="5"/>
      <c r="H42" s="5"/>
      <c r="I42"/>
      <c r="J42"/>
      <c r="K42"/>
      <c r="L42"/>
      <c r="M42"/>
      <c r="N42"/>
      <c r="O42"/>
      <c r="P42"/>
    </row>
    <row r="43" spans="1:16" x14ac:dyDescent="0.35">
      <c r="A43" s="5"/>
      <c r="B43" s="5"/>
      <c r="C43" s="5"/>
      <c r="D43" s="5"/>
      <c r="E43" s="5"/>
      <c r="F43" s="5"/>
      <c r="G43" s="5"/>
      <c r="H43" s="5"/>
      <c r="I43"/>
      <c r="J43"/>
      <c r="K43"/>
      <c r="L43"/>
      <c r="M43"/>
      <c r="N43"/>
      <c r="O43"/>
      <c r="P43"/>
    </row>
    <row r="44" spans="1:16" x14ac:dyDescent="0.35">
      <c r="A44" s="5"/>
      <c r="B44" s="5"/>
      <c r="C44" s="5"/>
      <c r="D44" s="5"/>
      <c r="E44" s="5"/>
      <c r="F44" s="5"/>
      <c r="G44" s="5"/>
      <c r="H44" s="5"/>
      <c r="I44"/>
      <c r="J44"/>
      <c r="K44"/>
      <c r="L44"/>
      <c r="M44"/>
      <c r="N44"/>
      <c r="O44"/>
      <c r="P44"/>
    </row>
    <row r="45" spans="1:16" x14ac:dyDescent="0.35">
      <c r="A45" s="5"/>
      <c r="B45" s="5"/>
      <c r="C45" s="5"/>
      <c r="D45" s="5"/>
      <c r="E45" s="5"/>
      <c r="F45" s="5"/>
      <c r="G45" s="5"/>
      <c r="H45" s="5"/>
      <c r="I45"/>
      <c r="J45"/>
      <c r="K45"/>
      <c r="L45"/>
      <c r="M45"/>
      <c r="N45"/>
      <c r="O45"/>
      <c r="P45"/>
    </row>
    <row r="46" spans="1:16" x14ac:dyDescent="0.35">
      <c r="A46" s="5"/>
      <c r="B46" s="5"/>
      <c r="C46" s="5"/>
      <c r="D46" s="5"/>
      <c r="E46" s="5"/>
      <c r="F46" s="5"/>
      <c r="G46" s="5"/>
      <c r="H46" s="5"/>
      <c r="I46"/>
      <c r="J46"/>
      <c r="K46"/>
      <c r="M46"/>
      <c r="N46"/>
      <c r="O46"/>
      <c r="P46"/>
    </row>
    <row r="47" spans="1:16" x14ac:dyDescent="0.35">
      <c r="A47" s="5"/>
      <c r="B47" s="5"/>
      <c r="C47" s="5"/>
      <c r="D47" s="5"/>
      <c r="E47" s="5"/>
      <c r="F47" s="5"/>
      <c r="G47" s="5"/>
      <c r="H47" s="5"/>
      <c r="I47"/>
      <c r="J47"/>
      <c r="K47"/>
      <c r="L47"/>
      <c r="M47"/>
      <c r="N47"/>
      <c r="O47"/>
      <c r="P47"/>
    </row>
    <row r="48" spans="1:16" x14ac:dyDescent="0.35">
      <c r="A48" s="5"/>
      <c r="B48" s="5"/>
      <c r="C48" s="5"/>
      <c r="D48" s="5"/>
      <c r="E48" s="5"/>
      <c r="F48" s="5"/>
      <c r="G48" s="5"/>
      <c r="H48" s="5"/>
      <c r="I48"/>
      <c r="J48"/>
      <c r="K48"/>
      <c r="L48"/>
      <c r="M48"/>
      <c r="N48"/>
      <c r="O48"/>
      <c r="P48"/>
    </row>
    <row r="49" spans="1:16" x14ac:dyDescent="0.35">
      <c r="A49" s="5"/>
      <c r="B49" s="5"/>
      <c r="C49" s="5"/>
      <c r="D49" s="5"/>
      <c r="E49" s="5"/>
      <c r="F49" s="5"/>
      <c r="G49" s="5"/>
      <c r="H49" s="5"/>
      <c r="I49"/>
      <c r="J49"/>
      <c r="K49"/>
      <c r="L49"/>
      <c r="M49"/>
      <c r="N49"/>
      <c r="O49"/>
      <c r="P49"/>
    </row>
    <row r="50" spans="1:16" x14ac:dyDescent="0.35">
      <c r="A50" s="5"/>
      <c r="B50" s="5"/>
      <c r="C50" s="5"/>
      <c r="D50" s="5"/>
      <c r="E50" s="5"/>
      <c r="F50" s="5"/>
      <c r="G50" s="5"/>
      <c r="H50" s="5"/>
      <c r="I50"/>
      <c r="J50"/>
      <c r="K50"/>
      <c r="L50"/>
      <c r="M50"/>
      <c r="N50"/>
      <c r="O50"/>
      <c r="P50"/>
    </row>
    <row r="51" spans="1:16" x14ac:dyDescent="0.35">
      <c r="A51" s="5"/>
      <c r="B51" s="5"/>
      <c r="C51" s="5"/>
      <c r="D51" s="5"/>
      <c r="E51" s="5"/>
      <c r="F51" s="5"/>
      <c r="G51" s="5"/>
      <c r="H51" s="5"/>
      <c r="I51"/>
      <c r="J51"/>
      <c r="K51"/>
      <c r="L51"/>
      <c r="M51"/>
      <c r="N51"/>
      <c r="O51"/>
      <c r="P51"/>
    </row>
    <row r="52" spans="1:16" x14ac:dyDescent="0.35">
      <c r="A52" s="5"/>
      <c r="B52" s="5"/>
      <c r="C52" s="5"/>
      <c r="D52" s="5"/>
      <c r="E52" s="5"/>
      <c r="F52" s="5"/>
      <c r="G52" s="5"/>
      <c r="H52" s="5"/>
      <c r="I52"/>
      <c r="J52"/>
      <c r="K52"/>
      <c r="L52"/>
      <c r="M52"/>
      <c r="O52"/>
      <c r="P52"/>
    </row>
    <row r="53" spans="1:16" x14ac:dyDescent="0.35">
      <c r="A53" s="5"/>
      <c r="B53" s="5"/>
      <c r="C53" s="5"/>
      <c r="D53" s="5"/>
      <c r="E53" s="5"/>
      <c r="F53" s="5"/>
      <c r="G53" s="5"/>
      <c r="H53" s="5"/>
      <c r="I53"/>
      <c r="J53"/>
      <c r="K53"/>
      <c r="L53"/>
      <c r="M53"/>
      <c r="N53"/>
      <c r="O53"/>
      <c r="P53"/>
    </row>
    <row r="54" spans="1:16" x14ac:dyDescent="0.35">
      <c r="A54" s="5"/>
      <c r="B54" s="5"/>
      <c r="C54" s="5"/>
      <c r="D54" s="5"/>
      <c r="E54" s="5"/>
      <c r="F54" s="5"/>
      <c r="G54" s="5"/>
      <c r="H54" s="5"/>
      <c r="I54"/>
      <c r="J54"/>
      <c r="K54"/>
      <c r="L54"/>
      <c r="M54"/>
      <c r="N54"/>
      <c r="O54"/>
      <c r="P54"/>
    </row>
    <row r="55" spans="1:16" x14ac:dyDescent="0.35">
      <c r="A55" s="5"/>
      <c r="B55" s="5"/>
      <c r="C55" s="5"/>
      <c r="D55" s="5"/>
      <c r="E55" s="5"/>
      <c r="F55" s="5"/>
      <c r="G55" s="5"/>
      <c r="H55" s="5"/>
      <c r="I55"/>
      <c r="J55"/>
      <c r="K55"/>
      <c r="L55"/>
      <c r="M55"/>
      <c r="N55"/>
      <c r="O55"/>
      <c r="P55"/>
    </row>
    <row r="56" spans="1:16" x14ac:dyDescent="0.35">
      <c r="A56" s="5"/>
      <c r="B56" s="5"/>
      <c r="C56" s="5"/>
      <c r="D56" s="5"/>
      <c r="E56" s="5"/>
      <c r="F56" s="5"/>
      <c r="G56" s="5"/>
      <c r="H56" s="5"/>
      <c r="I56"/>
      <c r="J56"/>
      <c r="K56"/>
      <c r="L56"/>
      <c r="M56"/>
      <c r="N56"/>
      <c r="O56"/>
      <c r="P56"/>
    </row>
    <row r="57" spans="1:16" x14ac:dyDescent="0.35">
      <c r="A57" s="5"/>
      <c r="B57" s="5"/>
      <c r="C57" s="5"/>
      <c r="D57" s="5"/>
      <c r="E57" s="5"/>
      <c r="F57" s="5"/>
      <c r="G57" s="5"/>
      <c r="H57" s="5"/>
      <c r="I57"/>
      <c r="J57"/>
      <c r="K57"/>
      <c r="L57"/>
      <c r="M57"/>
      <c r="N57"/>
      <c r="O57"/>
      <c r="P57"/>
    </row>
    <row r="58" spans="1:16" x14ac:dyDescent="0.35">
      <c r="A58" s="5"/>
      <c r="B58" s="5"/>
      <c r="C58" s="5"/>
      <c r="D58" s="5"/>
      <c r="E58" s="5"/>
      <c r="F58" s="5"/>
      <c r="G58" s="5"/>
      <c r="H58" s="5"/>
      <c r="I58"/>
      <c r="J58"/>
      <c r="K58"/>
      <c r="L58"/>
      <c r="M58"/>
      <c r="N58"/>
      <c r="O58"/>
      <c r="P58"/>
    </row>
    <row r="59" spans="1:16" x14ac:dyDescent="0.35">
      <c r="A59" s="5"/>
      <c r="B59" s="5"/>
      <c r="C59" s="5"/>
      <c r="D59" s="5"/>
      <c r="E59" s="5"/>
      <c r="F59" s="5"/>
      <c r="G59" s="5"/>
      <c r="H59" s="5"/>
      <c r="I59"/>
      <c r="J59"/>
      <c r="K59"/>
      <c r="L59"/>
      <c r="M59"/>
      <c r="N59"/>
      <c r="O59"/>
      <c r="P59"/>
    </row>
    <row r="60" spans="1:16" x14ac:dyDescent="0.35">
      <c r="A60" s="5"/>
      <c r="B60" s="5"/>
      <c r="C60" s="5"/>
      <c r="D60" s="5"/>
      <c r="E60" s="5"/>
      <c r="F60" s="5"/>
      <c r="G60" s="5"/>
      <c r="H60" s="5"/>
      <c r="I60"/>
      <c r="J60"/>
      <c r="K60"/>
      <c r="L60"/>
      <c r="M60"/>
      <c r="N60"/>
      <c r="O60"/>
      <c r="P60"/>
    </row>
    <row r="61" spans="1:16" x14ac:dyDescent="0.35">
      <c r="A61" s="5"/>
      <c r="B61" s="5"/>
      <c r="C61" s="5"/>
      <c r="D61" s="5"/>
      <c r="E61" s="5"/>
      <c r="F61" s="5"/>
      <c r="G61" s="5"/>
      <c r="H61" s="5"/>
      <c r="I61"/>
      <c r="J61"/>
      <c r="K61"/>
      <c r="L61"/>
      <c r="M61"/>
      <c r="N61"/>
    </row>
    <row r="62" spans="1:16" x14ac:dyDescent="0.35">
      <c r="A62" s="5"/>
      <c r="B62" s="5"/>
      <c r="C62" s="5"/>
      <c r="D62" s="5"/>
      <c r="E62" s="5"/>
      <c r="F62" s="5"/>
      <c r="G62" s="5"/>
      <c r="H62" s="5"/>
      <c r="I62"/>
      <c r="J62"/>
      <c r="K62"/>
      <c r="L62"/>
      <c r="M62"/>
      <c r="N62"/>
    </row>
    <row r="63" spans="1:16" x14ac:dyDescent="0.35">
      <c r="A63" s="5"/>
      <c r="B63" s="5"/>
      <c r="C63" s="5"/>
      <c r="D63" s="5"/>
      <c r="E63" s="5"/>
      <c r="F63" s="5"/>
      <c r="G63" s="5"/>
      <c r="H63" s="5"/>
      <c r="I63"/>
      <c r="J63"/>
      <c r="K63"/>
      <c r="L63"/>
      <c r="M63"/>
      <c r="N63"/>
    </row>
    <row r="64" spans="1:16" x14ac:dyDescent="0.35">
      <c r="A64" s="5"/>
      <c r="B64" s="5"/>
      <c r="C64" s="5"/>
      <c r="D64" s="5"/>
      <c r="E64" s="5"/>
      <c r="F64" s="5"/>
      <c r="G64" s="5"/>
      <c r="H64" s="5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64"/>
  <sheetViews>
    <sheetView workbookViewId="0">
      <selection activeCell="L3" sqref="L3"/>
    </sheetView>
  </sheetViews>
  <sheetFormatPr defaultRowHeight="14.5" x14ac:dyDescent="0.35"/>
  <cols>
    <col min="1" max="1" width="5.453125" style="24" customWidth="1"/>
    <col min="2" max="2" width="48.1796875" style="24" customWidth="1"/>
    <col min="3" max="3" width="4.54296875" style="24" customWidth="1"/>
    <col min="4" max="4" width="5.54296875" style="24" bestFit="1" customWidth="1"/>
    <col min="5" max="6" width="13.453125" style="24" customWidth="1"/>
    <col min="7" max="7" width="16" style="24" customWidth="1"/>
    <col min="8" max="8" width="13.453125" style="24" customWidth="1"/>
    <col min="9" max="17" width="14.7265625" style="24" customWidth="1"/>
  </cols>
  <sheetData>
    <row r="1" spans="1:17" x14ac:dyDescent="0.3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17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x14ac:dyDescent="0.3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6" spans="1:17" x14ac:dyDescent="0.35">
      <c r="A6" s="25" t="s">
        <v>52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s="91" customFormat="1" x14ac:dyDescent="0.35">
      <c r="A7" s="98" t="s">
        <v>81</v>
      </c>
      <c r="B7" s="98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8" spans="1:17" x14ac:dyDescent="0.35">
      <c r="A8" s="27" t="s">
        <v>53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x14ac:dyDescent="0.35">
      <c r="A9" s="27" t="s">
        <v>10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x14ac:dyDescent="0.35">
      <c r="A10" s="25"/>
      <c r="B10" s="25"/>
      <c r="C10" s="26"/>
      <c r="D10" s="26"/>
      <c r="E10" s="28" t="s">
        <v>15</v>
      </c>
      <c r="F10" s="29"/>
      <c r="G10" s="28" t="s">
        <v>14</v>
      </c>
      <c r="H10" s="29"/>
      <c r="I10" s="28" t="s">
        <v>14</v>
      </c>
      <c r="J10" s="29"/>
      <c r="K10" s="28" t="s">
        <v>14</v>
      </c>
      <c r="L10" s="29"/>
      <c r="M10" s="28" t="s">
        <v>15</v>
      </c>
      <c r="N10" s="29"/>
      <c r="O10" s="28" t="s">
        <v>15</v>
      </c>
      <c r="P10" s="29"/>
      <c r="Q10" s="28" t="s">
        <v>15</v>
      </c>
    </row>
    <row r="11" spans="1:17" x14ac:dyDescent="0.35">
      <c r="A11" s="25"/>
      <c r="B11" s="25"/>
      <c r="C11" s="26"/>
      <c r="D11" s="26"/>
      <c r="E11" s="30"/>
      <c r="F11" s="31"/>
      <c r="G11" s="31"/>
      <c r="H11" s="31"/>
      <c r="I11" s="32"/>
      <c r="J11" s="30"/>
      <c r="K11" s="31"/>
      <c r="L11" s="31"/>
      <c r="M11" s="31"/>
      <c r="N11" s="31"/>
      <c r="O11" s="31"/>
      <c r="P11" s="31"/>
      <c r="Q11" s="32"/>
    </row>
    <row r="12" spans="1:17" x14ac:dyDescent="0.35">
      <c r="A12" s="33"/>
      <c r="B12" s="33"/>
      <c r="C12" s="33"/>
      <c r="D12" s="33"/>
      <c r="E12" s="34"/>
      <c r="F12" s="35"/>
      <c r="G12" s="36"/>
      <c r="H12" s="37"/>
      <c r="I12" s="38" t="s">
        <v>54</v>
      </c>
      <c r="J12" s="39">
        <v>2022</v>
      </c>
      <c r="K12" s="40" t="s">
        <v>55</v>
      </c>
      <c r="L12" s="41">
        <v>2023</v>
      </c>
      <c r="M12" s="40" t="s">
        <v>55</v>
      </c>
      <c r="N12" s="41">
        <v>2024</v>
      </c>
      <c r="O12" s="40" t="s">
        <v>55</v>
      </c>
      <c r="P12" s="41">
        <v>2025</v>
      </c>
      <c r="Q12" s="42" t="s">
        <v>55</v>
      </c>
    </row>
    <row r="13" spans="1:17" x14ac:dyDescent="0.35">
      <c r="A13" s="43"/>
      <c r="B13" s="44"/>
      <c r="C13" s="45"/>
      <c r="D13" s="45"/>
      <c r="E13" s="46" t="s">
        <v>56</v>
      </c>
      <c r="F13" s="47"/>
      <c r="G13" s="48" t="s">
        <v>0</v>
      </c>
      <c r="H13" s="49" t="s">
        <v>57</v>
      </c>
      <c r="I13" s="42" t="s">
        <v>55</v>
      </c>
      <c r="J13" s="50" t="s">
        <v>58</v>
      </c>
      <c r="K13" s="48" t="s">
        <v>59</v>
      </c>
      <c r="L13" s="49" t="s">
        <v>60</v>
      </c>
      <c r="M13" s="48" t="s">
        <v>59</v>
      </c>
      <c r="N13" s="49" t="s">
        <v>61</v>
      </c>
      <c r="O13" s="48" t="s">
        <v>59</v>
      </c>
      <c r="P13" s="49" t="s">
        <v>62</v>
      </c>
      <c r="Q13" s="42" t="s">
        <v>59</v>
      </c>
    </row>
    <row r="14" spans="1:17" x14ac:dyDescent="0.35">
      <c r="A14" s="51" t="s">
        <v>2</v>
      </c>
      <c r="B14" s="43"/>
      <c r="C14" s="52"/>
      <c r="D14" s="52"/>
      <c r="E14" s="46" t="s">
        <v>11</v>
      </c>
      <c r="F14" s="49" t="s">
        <v>63</v>
      </c>
      <c r="G14" s="48" t="s">
        <v>64</v>
      </c>
      <c r="H14" s="49" t="s">
        <v>1</v>
      </c>
      <c r="I14" s="42" t="s">
        <v>64</v>
      </c>
      <c r="J14" s="50" t="s">
        <v>65</v>
      </c>
      <c r="K14" s="48" t="s">
        <v>66</v>
      </c>
      <c r="L14" s="49" t="s">
        <v>65</v>
      </c>
      <c r="M14" s="48" t="s">
        <v>67</v>
      </c>
      <c r="N14" s="49" t="s">
        <v>65</v>
      </c>
      <c r="O14" s="48" t="s">
        <v>67</v>
      </c>
      <c r="P14" s="49" t="s">
        <v>65</v>
      </c>
      <c r="Q14" s="42" t="s">
        <v>67</v>
      </c>
    </row>
    <row r="15" spans="1:17" x14ac:dyDescent="0.35">
      <c r="A15" s="53" t="s">
        <v>3</v>
      </c>
      <c r="B15" s="54" t="s">
        <v>4</v>
      </c>
      <c r="C15" s="55" t="s">
        <v>5</v>
      </c>
      <c r="D15" s="55" t="s">
        <v>78</v>
      </c>
      <c r="E15" s="56" t="s">
        <v>12</v>
      </c>
      <c r="F15" s="57" t="s">
        <v>68</v>
      </c>
      <c r="G15" s="58" t="s">
        <v>69</v>
      </c>
      <c r="H15" s="57" t="s">
        <v>68</v>
      </c>
      <c r="I15" s="59" t="s">
        <v>69</v>
      </c>
      <c r="J15" s="60" t="s">
        <v>68</v>
      </c>
      <c r="K15" s="58" t="s">
        <v>60</v>
      </c>
      <c r="L15" s="57" t="s">
        <v>68</v>
      </c>
      <c r="M15" s="58" t="s">
        <v>60</v>
      </c>
      <c r="N15" s="57" t="s">
        <v>68</v>
      </c>
      <c r="O15" s="58" t="s">
        <v>61</v>
      </c>
      <c r="P15" s="57" t="s">
        <v>68</v>
      </c>
      <c r="Q15" s="59" t="s">
        <v>62</v>
      </c>
    </row>
    <row r="17" spans="1:17" x14ac:dyDescent="0.35">
      <c r="A17" s="61">
        <v>1</v>
      </c>
      <c r="B17"/>
    </row>
    <row r="18" spans="1:17" x14ac:dyDescent="0.35">
      <c r="A18" s="61">
        <v>2</v>
      </c>
    </row>
    <row r="19" spans="1:17" x14ac:dyDescent="0.35">
      <c r="A19" s="61">
        <v>3</v>
      </c>
    </row>
    <row r="20" spans="1:17" x14ac:dyDescent="0.35">
      <c r="A20" s="61">
        <v>5</v>
      </c>
    </row>
    <row r="21" spans="1:17" x14ac:dyDescent="0.35">
      <c r="A21" s="61">
        <v>6</v>
      </c>
    </row>
    <row r="22" spans="1:17" x14ac:dyDescent="0.35">
      <c r="A22" s="61">
        <v>7</v>
      </c>
    </row>
    <row r="23" spans="1:17" x14ac:dyDescent="0.35">
      <c r="A23" s="61">
        <v>8</v>
      </c>
      <c r="B23" s="69"/>
      <c r="C23" s="66"/>
      <c r="D23" s="66"/>
      <c r="E23" s="68"/>
      <c r="F23" s="68"/>
      <c r="G23" s="68"/>
      <c r="H23" s="68"/>
      <c r="I23" s="70"/>
      <c r="J23" s="70"/>
      <c r="K23" s="70"/>
      <c r="L23" s="70"/>
      <c r="M23" s="70"/>
      <c r="N23" s="70"/>
      <c r="O23" s="70"/>
      <c r="P23" s="70"/>
      <c r="Q23" s="70"/>
    </row>
    <row r="24" spans="1:17" x14ac:dyDescent="0.35">
      <c r="A24" s="61">
        <v>9</v>
      </c>
      <c r="B24" s="69" t="s">
        <v>6</v>
      </c>
      <c r="C24" s="66"/>
      <c r="D24">
        <v>4070</v>
      </c>
      <c r="E24" s="63">
        <f>+'Storm Amortization'!K36</f>
        <v>22846388.420000002</v>
      </c>
      <c r="F24" s="63">
        <f>+G24-E24</f>
        <v>-999957.6419999972</v>
      </c>
      <c r="G24" s="68">
        <f>-'Storm Amortization'!D38</f>
        <v>21846430.778000005</v>
      </c>
      <c r="H24" s="63">
        <f>+I24-G24</f>
        <v>0</v>
      </c>
      <c r="I24" s="70">
        <f>+'Storm Amortization'!F44</f>
        <v>21846430.778000005</v>
      </c>
      <c r="J24" s="63"/>
      <c r="K24" s="70">
        <f>+'Storm Amortization'!F44</f>
        <v>21846430.778000005</v>
      </c>
      <c r="L24" s="63">
        <f>+'Storm Amortization'!F51</f>
        <v>12398658.252499999</v>
      </c>
      <c r="M24" s="77">
        <f t="shared" ref="M24" si="0">+L24+K24</f>
        <v>34245089.030500002</v>
      </c>
      <c r="N24" s="70"/>
      <c r="O24" s="70">
        <f t="shared" ref="O24:Q24" si="1">+N24+M24</f>
        <v>34245089.030500002</v>
      </c>
      <c r="P24" s="70"/>
      <c r="Q24" s="70">
        <f t="shared" si="1"/>
        <v>34245089.030500002</v>
      </c>
    </row>
    <row r="25" spans="1:17" x14ac:dyDescent="0.35">
      <c r="A25" s="61">
        <v>10</v>
      </c>
      <c r="B25" s="69"/>
      <c r="C25" s="66"/>
      <c r="D25" s="66"/>
      <c r="E25" s="67"/>
      <c r="F25" s="67"/>
      <c r="G25" s="67"/>
      <c r="H25" s="67"/>
      <c r="I25" s="67"/>
      <c r="J25" s="70"/>
      <c r="K25" s="67"/>
      <c r="L25" s="70"/>
      <c r="M25" s="67"/>
      <c r="N25" s="70"/>
      <c r="O25" s="67"/>
      <c r="P25" s="70"/>
      <c r="Q25" s="67"/>
    </row>
    <row r="26" spans="1:17" x14ac:dyDescent="0.35">
      <c r="A26" s="61">
        <v>11</v>
      </c>
      <c r="B26" s="69" t="s">
        <v>7</v>
      </c>
      <c r="C26" s="66"/>
      <c r="D26" s="66"/>
      <c r="E26" s="78">
        <f>+E24+E22</f>
        <v>22846388.420000002</v>
      </c>
      <c r="F26" s="78">
        <f t="shared" ref="F26:I26" si="2">+F24+F22</f>
        <v>-999957.6419999972</v>
      </c>
      <c r="G26" s="78">
        <f t="shared" si="2"/>
        <v>21846430.778000005</v>
      </c>
      <c r="H26" s="78">
        <f t="shared" si="2"/>
        <v>0</v>
      </c>
      <c r="I26" s="78">
        <f t="shared" si="2"/>
        <v>21846430.778000005</v>
      </c>
      <c r="J26" s="63"/>
      <c r="K26" s="78">
        <f t="shared" ref="K26" si="3">+K24+K22</f>
        <v>21846430.778000005</v>
      </c>
      <c r="L26" s="63">
        <f>+M26-K26</f>
        <v>12398658.252499998</v>
      </c>
      <c r="M26" s="78">
        <f t="shared" ref="M26" si="4">+M24+M22</f>
        <v>34245089.030500002</v>
      </c>
      <c r="N26" s="68"/>
      <c r="O26" s="78">
        <f t="shared" ref="O26" si="5">+O24+O22</f>
        <v>34245089.030500002</v>
      </c>
      <c r="P26" s="68"/>
      <c r="Q26" s="78">
        <f t="shared" ref="Q26" si="6">+Q24+Q22</f>
        <v>34245089.030500002</v>
      </c>
    </row>
    <row r="27" spans="1:17" x14ac:dyDescent="0.35">
      <c r="A27" s="61">
        <v>12</v>
      </c>
      <c r="B27" s="69"/>
      <c r="C27" s="66"/>
      <c r="D27" s="66"/>
      <c r="E27" s="68"/>
      <c r="F27" s="68"/>
      <c r="G27" s="68"/>
      <c r="H27" s="68"/>
      <c r="I27" s="70"/>
      <c r="J27" s="70"/>
      <c r="K27" s="70"/>
      <c r="L27" s="70"/>
      <c r="M27" s="70"/>
      <c r="N27" s="70"/>
      <c r="O27" s="70"/>
      <c r="P27" s="70"/>
      <c r="Q27" s="70"/>
    </row>
    <row r="28" spans="1:17" x14ac:dyDescent="0.35">
      <c r="A28" s="61">
        <v>13</v>
      </c>
      <c r="B28" s="69" t="s">
        <v>8</v>
      </c>
      <c r="C28" s="71">
        <v>0.21</v>
      </c>
      <c r="D28">
        <v>4091</v>
      </c>
      <c r="E28" s="68">
        <f>-E26*$C$28</f>
        <v>-4797741.5682000006</v>
      </c>
      <c r="F28" s="68">
        <f t="shared" ref="F28:I28" si="7">-F26*$C$28</f>
        <v>209991.1048199994</v>
      </c>
      <c r="G28" s="68">
        <f t="shared" si="7"/>
        <v>-4587750.4633800006</v>
      </c>
      <c r="H28" s="68">
        <f t="shared" si="7"/>
        <v>0</v>
      </c>
      <c r="I28" s="68">
        <f t="shared" si="7"/>
        <v>-4587750.4633800006</v>
      </c>
      <c r="J28" s="63"/>
      <c r="K28" s="68">
        <f t="shared" ref="K28" si="8">-K26*$C$28</f>
        <v>-4587750.4633800006</v>
      </c>
      <c r="L28" s="63">
        <f>+M28-K28</f>
        <v>-2603718.2330249995</v>
      </c>
      <c r="M28" s="68">
        <f t="shared" ref="M28" si="9">-M26*$C$28</f>
        <v>-7191468.6964050001</v>
      </c>
      <c r="N28" s="68"/>
      <c r="O28" s="68">
        <f t="shared" ref="O28" si="10">-O26*$C$28</f>
        <v>-7191468.6964050001</v>
      </c>
      <c r="P28" s="68"/>
      <c r="Q28" s="68">
        <f t="shared" ref="Q28" si="11">-Q26*$C$28</f>
        <v>-7191468.6964050001</v>
      </c>
    </row>
    <row r="29" spans="1:17" x14ac:dyDescent="0.35">
      <c r="A29" s="61">
        <v>14</v>
      </c>
      <c r="B29" s="69"/>
      <c r="C29" s="66"/>
      <c r="D29" s="66"/>
      <c r="E29" s="72"/>
      <c r="F29" s="72"/>
      <c r="G29" s="72"/>
      <c r="H29" s="72"/>
      <c r="I29" s="72"/>
      <c r="J29" s="73"/>
      <c r="K29" s="72"/>
      <c r="L29" s="73"/>
      <c r="M29" s="72"/>
      <c r="N29" s="73"/>
      <c r="O29" s="72"/>
      <c r="P29" s="73"/>
      <c r="Q29" s="72"/>
    </row>
    <row r="30" spans="1:17" ht="15" thickBot="1" x14ac:dyDescent="0.4">
      <c r="A30" s="61">
        <v>15</v>
      </c>
      <c r="B30" s="69" t="s">
        <v>9</v>
      </c>
      <c r="C30" s="66"/>
      <c r="D30" s="66"/>
      <c r="E30" s="74">
        <f>-SUM(E26:E28)</f>
        <v>-18048646.851800002</v>
      </c>
      <c r="F30" s="74">
        <f t="shared" ref="F30:I30" si="12">-SUM(F26:F28)</f>
        <v>789966.53717999777</v>
      </c>
      <c r="G30" s="74">
        <f t="shared" si="12"/>
        <v>-17258680.314620003</v>
      </c>
      <c r="H30" s="74">
        <f t="shared" si="12"/>
        <v>0</v>
      </c>
      <c r="I30" s="74">
        <f t="shared" si="12"/>
        <v>-17258680.314620003</v>
      </c>
      <c r="J30" s="63"/>
      <c r="K30" s="74">
        <f t="shared" ref="K30" si="13">-SUM(K26:K28)</f>
        <v>-17258680.314620003</v>
      </c>
      <c r="L30" s="63">
        <f>+M30-K30</f>
        <v>-9794940.0194749981</v>
      </c>
      <c r="M30" s="74">
        <f t="shared" ref="M30" si="14">-SUM(M26:M28)</f>
        <v>-27053620.334095001</v>
      </c>
      <c r="N30" s="63"/>
      <c r="O30" s="74">
        <f t="shared" ref="O30" si="15">-SUM(O26:O28)</f>
        <v>-27053620.334095001</v>
      </c>
      <c r="P30" s="63"/>
      <c r="Q30" s="74">
        <f t="shared" ref="Q30" si="16">-SUM(Q26:Q28)</f>
        <v>-27053620.334095001</v>
      </c>
    </row>
    <row r="31" spans="1:17" ht="15" thickTop="1" x14ac:dyDescent="0.35">
      <c r="A31" s="75"/>
    </row>
    <row r="32" spans="1:17" x14ac:dyDescent="0.35">
      <c r="A32" s="5"/>
      <c r="B32" s="5"/>
      <c r="C32" s="5"/>
      <c r="D32" s="5"/>
      <c r="E32" s="5"/>
      <c r="F32" s="5"/>
      <c r="G32" s="5"/>
      <c r="H32" s="5"/>
      <c r="I32" s="5"/>
      <c r="J32"/>
      <c r="K32"/>
      <c r="L32"/>
      <c r="M32"/>
      <c r="N32"/>
      <c r="O32"/>
      <c r="P32"/>
      <c r="Q32"/>
    </row>
    <row r="33" spans="1:17" x14ac:dyDescent="0.35">
      <c r="A33" s="5"/>
      <c r="B33" s="5"/>
      <c r="C33" s="5"/>
      <c r="D33" s="5"/>
      <c r="E33" s="5"/>
      <c r="F33" s="5"/>
      <c r="G33" s="5"/>
      <c r="H33" s="5"/>
      <c r="I33" s="5"/>
      <c r="J33"/>
      <c r="K33"/>
      <c r="L33"/>
      <c r="M33"/>
      <c r="N33"/>
      <c r="O33"/>
      <c r="P33"/>
      <c r="Q33"/>
    </row>
    <row r="34" spans="1:17" x14ac:dyDescent="0.35">
      <c r="A34" s="5"/>
      <c r="B34" s="5"/>
      <c r="C34" s="5"/>
      <c r="D34" s="5"/>
      <c r="E34" s="5"/>
      <c r="F34" s="5"/>
      <c r="G34" s="5"/>
      <c r="H34" s="5"/>
      <c r="I34" s="5"/>
      <c r="J34"/>
      <c r="K34"/>
      <c r="L34"/>
      <c r="M34"/>
      <c r="N34"/>
      <c r="O34"/>
      <c r="P34"/>
      <c r="Q34"/>
    </row>
    <row r="35" spans="1:17" x14ac:dyDescent="0.35">
      <c r="A35" s="5"/>
      <c r="B35" s="5"/>
      <c r="C35" s="5"/>
      <c r="D35" s="5"/>
      <c r="E35" s="5"/>
      <c r="F35" s="5"/>
      <c r="G35" s="5"/>
      <c r="H35" s="5"/>
      <c r="I35" s="5"/>
      <c r="J35"/>
      <c r="K35"/>
      <c r="L35"/>
      <c r="M35"/>
      <c r="N35"/>
      <c r="O35"/>
      <c r="P35"/>
      <c r="Q35"/>
    </row>
    <row r="36" spans="1:17" x14ac:dyDescent="0.35">
      <c r="A36" s="5"/>
      <c r="B36" s="5"/>
      <c r="C36" s="5"/>
      <c r="D36" s="5"/>
      <c r="E36" s="5"/>
      <c r="F36" s="5"/>
      <c r="G36" s="5"/>
      <c r="H36" s="5"/>
      <c r="I36" s="5"/>
      <c r="J36"/>
      <c r="K36"/>
      <c r="L36"/>
      <c r="M36"/>
      <c r="N36"/>
      <c r="O36"/>
      <c r="P36"/>
      <c r="Q36"/>
    </row>
    <row r="37" spans="1:17" x14ac:dyDescent="0.35">
      <c r="A37" s="5"/>
      <c r="B37" s="5"/>
      <c r="C37" s="5"/>
      <c r="D37" s="5"/>
      <c r="E37" s="5"/>
      <c r="F37" s="5"/>
      <c r="G37" s="5"/>
      <c r="H37" s="5"/>
      <c r="I37" s="5"/>
      <c r="J37"/>
      <c r="K37"/>
      <c r="L37"/>
      <c r="M37"/>
      <c r="N37"/>
      <c r="O37"/>
      <c r="P37"/>
      <c r="Q37"/>
    </row>
    <row r="38" spans="1:17" x14ac:dyDescent="0.35">
      <c r="A38" s="5"/>
      <c r="B38" s="5"/>
      <c r="C38" s="5"/>
      <c r="D38" s="5"/>
      <c r="E38" s="5"/>
      <c r="F38" s="5"/>
      <c r="G38" s="5"/>
      <c r="H38" s="5"/>
      <c r="I38" s="5"/>
      <c r="J38"/>
      <c r="K38"/>
      <c r="L38"/>
      <c r="M38"/>
      <c r="N38"/>
      <c r="O38"/>
      <c r="P38"/>
      <c r="Q38"/>
    </row>
    <row r="39" spans="1:17" x14ac:dyDescent="0.35">
      <c r="A39" s="5"/>
      <c r="B39" s="5"/>
      <c r="C39" s="5"/>
      <c r="D39" s="5"/>
      <c r="E39" s="5"/>
      <c r="F39" s="5"/>
      <c r="G39" s="5"/>
      <c r="H39" s="5"/>
      <c r="I39" s="5"/>
      <c r="J39"/>
      <c r="K39"/>
      <c r="L39"/>
      <c r="M39"/>
      <c r="N39"/>
      <c r="O39"/>
      <c r="P39"/>
      <c r="Q39"/>
    </row>
    <row r="40" spans="1:17" x14ac:dyDescent="0.35">
      <c r="A40" s="5"/>
      <c r="B40" s="5"/>
      <c r="C40" s="5"/>
      <c r="D40" s="5"/>
      <c r="E40" s="5"/>
      <c r="F40" s="5"/>
      <c r="G40" s="5"/>
      <c r="H40" s="5"/>
      <c r="I40" s="5"/>
      <c r="J40"/>
      <c r="K40"/>
      <c r="L40"/>
      <c r="M40"/>
      <c r="N40"/>
      <c r="O40"/>
      <c r="P40"/>
      <c r="Q40"/>
    </row>
    <row r="41" spans="1:17" x14ac:dyDescent="0.35">
      <c r="A41" s="5"/>
      <c r="B41" s="5"/>
      <c r="C41" s="5"/>
      <c r="D41" s="5"/>
      <c r="E41" s="5"/>
      <c r="F41" s="5"/>
      <c r="G41" s="5"/>
      <c r="H41" s="5"/>
      <c r="I41" s="5"/>
      <c r="J41"/>
      <c r="K41"/>
      <c r="L41"/>
      <c r="M41"/>
      <c r="N41"/>
      <c r="O41"/>
      <c r="P41"/>
      <c r="Q41"/>
    </row>
    <row r="42" spans="1:17" x14ac:dyDescent="0.35">
      <c r="A42" s="5"/>
      <c r="B42" s="5"/>
      <c r="C42" s="5"/>
      <c r="D42" s="5"/>
      <c r="E42" s="5"/>
      <c r="F42" s="5"/>
      <c r="G42" s="5"/>
      <c r="H42" s="5"/>
      <c r="I42" s="5"/>
      <c r="J42"/>
      <c r="K42"/>
      <c r="L42"/>
      <c r="M42"/>
      <c r="N42"/>
      <c r="O42"/>
      <c r="P42"/>
      <c r="Q42"/>
    </row>
    <row r="43" spans="1:17" x14ac:dyDescent="0.35">
      <c r="A43" s="5"/>
      <c r="B43" s="5"/>
      <c r="C43" s="5"/>
      <c r="D43" s="5"/>
      <c r="E43" s="5"/>
      <c r="F43" s="5"/>
      <c r="G43" s="5"/>
      <c r="H43" s="5"/>
      <c r="I43" s="5"/>
      <c r="J43"/>
      <c r="K43"/>
      <c r="L43"/>
      <c r="M43"/>
      <c r="N43"/>
      <c r="O43"/>
      <c r="P43"/>
      <c r="Q43"/>
    </row>
    <row r="44" spans="1:17" x14ac:dyDescent="0.35">
      <c r="A44" s="5"/>
      <c r="B44" s="5"/>
      <c r="C44" s="5"/>
      <c r="D44" s="5"/>
      <c r="E44" s="5"/>
      <c r="F44" s="5"/>
      <c r="G44" s="5"/>
      <c r="H44" s="5"/>
      <c r="I44" s="5"/>
      <c r="J44"/>
      <c r="K44"/>
      <c r="L44"/>
      <c r="M44"/>
      <c r="N44"/>
      <c r="O44"/>
      <c r="P44"/>
      <c r="Q44"/>
    </row>
    <row r="45" spans="1:17" x14ac:dyDescent="0.35">
      <c r="A45" s="5"/>
      <c r="B45" s="5"/>
      <c r="C45" s="5"/>
      <c r="D45" s="5"/>
      <c r="E45" s="5"/>
      <c r="F45" s="5"/>
      <c r="G45" s="5"/>
      <c r="H45" s="5"/>
      <c r="I45" s="5"/>
      <c r="J45"/>
      <c r="K45"/>
      <c r="L45"/>
      <c r="M45"/>
      <c r="N45"/>
      <c r="O45"/>
      <c r="P45"/>
      <c r="Q45"/>
    </row>
    <row r="46" spans="1:17" x14ac:dyDescent="0.35">
      <c r="A46" s="5"/>
      <c r="B46" s="5"/>
      <c r="C46" s="5"/>
      <c r="D46" s="5"/>
      <c r="E46" s="5"/>
      <c r="F46" s="5"/>
      <c r="G46" s="5"/>
      <c r="H46" s="5"/>
      <c r="I46" s="5"/>
      <c r="J46"/>
      <c r="K46"/>
      <c r="L46"/>
      <c r="N46"/>
      <c r="O46"/>
      <c r="P46"/>
      <c r="Q46"/>
    </row>
    <row r="47" spans="1:17" x14ac:dyDescent="0.35">
      <c r="A47" s="5"/>
      <c r="B47" s="5"/>
      <c r="C47" s="5"/>
      <c r="D47" s="5"/>
      <c r="E47" s="5"/>
      <c r="F47" s="5"/>
      <c r="G47" s="5"/>
      <c r="H47" s="5"/>
      <c r="I47" s="5"/>
      <c r="J47"/>
      <c r="K47"/>
      <c r="L47"/>
      <c r="M47"/>
      <c r="N47"/>
      <c r="O47"/>
      <c r="P47"/>
      <c r="Q47"/>
    </row>
    <row r="48" spans="1:17" x14ac:dyDescent="0.35">
      <c r="A48" s="5"/>
      <c r="B48" s="5"/>
      <c r="C48" s="5"/>
      <c r="D48" s="5"/>
      <c r="E48" s="5"/>
      <c r="F48" s="5"/>
      <c r="G48" s="5"/>
      <c r="H48" s="5"/>
      <c r="I48" s="5"/>
      <c r="J48"/>
      <c r="K48"/>
      <c r="L48"/>
      <c r="M48"/>
      <c r="N48"/>
      <c r="O48"/>
      <c r="P48"/>
      <c r="Q48"/>
    </row>
    <row r="49" spans="1:18" x14ac:dyDescent="0.35">
      <c r="A49" s="5"/>
      <c r="B49" s="5"/>
      <c r="C49" s="5"/>
      <c r="D49" s="5"/>
      <c r="E49" s="5"/>
      <c r="F49" s="5"/>
      <c r="G49" s="5"/>
      <c r="H49" s="5"/>
      <c r="I49" s="5"/>
      <c r="J49"/>
      <c r="K49"/>
      <c r="L49"/>
      <c r="M49"/>
      <c r="N49"/>
      <c r="O49"/>
      <c r="P49"/>
      <c r="Q49"/>
    </row>
    <row r="50" spans="1:18" x14ac:dyDescent="0.35">
      <c r="A50" s="5"/>
      <c r="B50" s="5"/>
      <c r="C50" s="5"/>
      <c r="D50" s="5"/>
      <c r="E50" s="5"/>
      <c r="F50" s="5"/>
      <c r="G50" s="5"/>
      <c r="H50" s="5"/>
      <c r="I50" s="5"/>
      <c r="J50"/>
      <c r="K50"/>
      <c r="L50"/>
      <c r="M50"/>
      <c r="N50"/>
      <c r="O50"/>
      <c r="P50"/>
      <c r="Q50"/>
    </row>
    <row r="51" spans="1:18" x14ac:dyDescent="0.35">
      <c r="A51" s="5"/>
      <c r="B51" s="5"/>
      <c r="C51" s="5"/>
      <c r="D51" s="5"/>
      <c r="E51" s="5"/>
      <c r="F51" s="5"/>
      <c r="G51" s="5"/>
      <c r="H51" s="5"/>
      <c r="I51" s="5"/>
      <c r="J51"/>
      <c r="K51"/>
      <c r="L51"/>
      <c r="M51"/>
      <c r="N51"/>
      <c r="O51"/>
      <c r="P51"/>
      <c r="Q51"/>
    </row>
    <row r="52" spans="1:18" x14ac:dyDescent="0.35">
      <c r="A52" s="5"/>
      <c r="B52" s="5"/>
      <c r="C52" s="5"/>
      <c r="D52" s="5"/>
      <c r="E52" s="5"/>
      <c r="F52" s="5"/>
      <c r="G52" s="5"/>
      <c r="H52" s="5"/>
      <c r="I52" s="5"/>
      <c r="J52"/>
      <c r="K52"/>
      <c r="L52"/>
      <c r="M52"/>
      <c r="N52"/>
      <c r="P52"/>
      <c r="Q52"/>
    </row>
    <row r="53" spans="1:18" x14ac:dyDescent="0.35">
      <c r="A53" s="5"/>
      <c r="B53" s="5"/>
      <c r="C53" s="5"/>
      <c r="D53" s="5"/>
      <c r="E53" s="5"/>
      <c r="F53" s="5"/>
      <c r="G53" s="5"/>
      <c r="H53" s="5"/>
      <c r="I53" s="5"/>
      <c r="J53"/>
      <c r="K53"/>
      <c r="L53"/>
      <c r="M53"/>
      <c r="N53"/>
      <c r="O53"/>
      <c r="P53"/>
      <c r="Q53"/>
    </row>
    <row r="54" spans="1:18" x14ac:dyDescent="0.35">
      <c r="A54" s="5"/>
      <c r="B54" s="5"/>
      <c r="C54" s="5"/>
      <c r="D54" s="5"/>
      <c r="E54" s="5"/>
      <c r="F54" s="5"/>
      <c r="G54" s="5"/>
      <c r="H54" s="5"/>
      <c r="I54" s="5"/>
      <c r="J54"/>
      <c r="K54"/>
      <c r="L54"/>
      <c r="M54"/>
      <c r="N54"/>
      <c r="O54"/>
      <c r="P54"/>
      <c r="Q54"/>
    </row>
    <row r="55" spans="1:18" x14ac:dyDescent="0.35">
      <c r="A55" s="5"/>
      <c r="B55" s="5"/>
      <c r="C55" s="5"/>
      <c r="D55" s="5"/>
      <c r="E55" s="5"/>
      <c r="F55" s="5"/>
      <c r="G55" s="5"/>
      <c r="H55" s="5"/>
      <c r="I55" s="5"/>
      <c r="J55"/>
      <c r="K55"/>
      <c r="L55"/>
      <c r="M55"/>
      <c r="N55"/>
      <c r="O55"/>
      <c r="P55"/>
      <c r="Q55"/>
    </row>
    <row r="56" spans="1:18" x14ac:dyDescent="0.35">
      <c r="A56" s="5"/>
      <c r="B56" s="5"/>
      <c r="C56" s="5"/>
      <c r="D56" s="5"/>
      <c r="E56" s="5"/>
      <c r="F56" s="5"/>
      <c r="G56" s="5"/>
      <c r="H56" s="5"/>
      <c r="I56" s="5"/>
      <c r="J56"/>
      <c r="K56"/>
      <c r="L56"/>
      <c r="M56"/>
      <c r="N56"/>
      <c r="O56"/>
      <c r="P56"/>
      <c r="Q56"/>
    </row>
    <row r="57" spans="1:18" x14ac:dyDescent="0.35">
      <c r="A57" s="5"/>
      <c r="B57" s="5"/>
      <c r="C57" s="5"/>
      <c r="D57" s="5"/>
      <c r="E57" s="5"/>
      <c r="F57" s="5"/>
      <c r="G57" s="5"/>
      <c r="H57" s="5"/>
      <c r="I57" s="5"/>
      <c r="J57"/>
      <c r="K57"/>
      <c r="L57"/>
      <c r="M57"/>
      <c r="N57"/>
      <c r="O57"/>
      <c r="P57"/>
      <c r="Q57"/>
    </row>
    <row r="58" spans="1:18" x14ac:dyDescent="0.35">
      <c r="A58" s="5"/>
      <c r="B58" s="5"/>
      <c r="C58" s="5"/>
      <c r="D58" s="5"/>
      <c r="E58" s="5"/>
      <c r="F58" s="5"/>
      <c r="G58" s="5"/>
      <c r="H58" s="5"/>
      <c r="I58" s="5"/>
      <c r="J58"/>
      <c r="K58"/>
      <c r="L58"/>
      <c r="M58"/>
      <c r="N58"/>
      <c r="O58"/>
      <c r="P58"/>
      <c r="Q58"/>
    </row>
    <row r="59" spans="1:18" x14ac:dyDescent="0.35">
      <c r="A59" s="5"/>
      <c r="B59" s="5"/>
      <c r="C59" s="5"/>
      <c r="D59" s="5"/>
      <c r="E59" s="5"/>
      <c r="F59" s="5"/>
      <c r="G59" s="5"/>
      <c r="H59" s="5"/>
      <c r="I59" s="5"/>
      <c r="J59"/>
      <c r="K59"/>
      <c r="L59"/>
      <c r="M59"/>
      <c r="N59"/>
      <c r="O59"/>
      <c r="P59"/>
      <c r="Q59"/>
    </row>
    <row r="60" spans="1:18" x14ac:dyDescent="0.35">
      <c r="A60" s="5"/>
      <c r="B60" s="5"/>
      <c r="C60" s="5"/>
      <c r="D60" s="5"/>
      <c r="E60" s="5"/>
      <c r="F60" s="5"/>
      <c r="G60" s="5"/>
      <c r="H60" s="5"/>
      <c r="I60" s="5"/>
      <c r="J60"/>
      <c r="K60"/>
      <c r="L60"/>
      <c r="M60"/>
      <c r="N60"/>
      <c r="O60"/>
      <c r="P60"/>
      <c r="Q60"/>
    </row>
    <row r="61" spans="1:18" x14ac:dyDescent="0.35">
      <c r="A61" s="5"/>
      <c r="B61" s="5"/>
      <c r="C61" s="5"/>
      <c r="D61" s="5"/>
      <c r="E61" s="5"/>
      <c r="F61" s="5"/>
      <c r="G61" s="5"/>
      <c r="H61" s="5"/>
      <c r="I61" s="5"/>
      <c r="J61"/>
      <c r="K61"/>
      <c r="L61"/>
      <c r="M61"/>
      <c r="N61"/>
      <c r="O61"/>
    </row>
    <row r="62" spans="1:18" x14ac:dyDescent="0.35">
      <c r="A62" s="5"/>
      <c r="B62" s="5"/>
      <c r="C62" s="5"/>
      <c r="D62" s="5"/>
      <c r="E62" s="5"/>
      <c r="F62" s="5"/>
      <c r="G62" s="5"/>
      <c r="H62" s="5"/>
      <c r="I62" s="5"/>
      <c r="J62"/>
      <c r="K62"/>
      <c r="L62"/>
      <c r="M62"/>
      <c r="N62"/>
      <c r="O62"/>
    </row>
    <row r="63" spans="1:18" x14ac:dyDescent="0.35">
      <c r="A63" s="5"/>
      <c r="B63" s="5"/>
      <c r="C63" s="5"/>
      <c r="D63" s="5"/>
      <c r="E63" s="5"/>
      <c r="F63" s="5"/>
      <c r="G63" s="5"/>
      <c r="H63" s="5"/>
      <c r="I63" s="5"/>
      <c r="J63"/>
      <c r="K63"/>
      <c r="L63"/>
      <c r="M63"/>
      <c r="N63"/>
      <c r="O63"/>
    </row>
    <row r="64" spans="1:18" s="24" customFormat="1" x14ac:dyDescent="0.35">
      <c r="A64" s="5"/>
      <c r="B64" s="5"/>
      <c r="C64" s="5"/>
      <c r="D64" s="5"/>
      <c r="E64" s="5"/>
      <c r="F64" s="5"/>
      <c r="G64" s="5"/>
      <c r="H64" s="5"/>
      <c r="I64" s="5"/>
      <c r="R64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54"/>
  <sheetViews>
    <sheetView topLeftCell="A18" workbookViewId="0">
      <selection activeCell="D51" sqref="D51"/>
    </sheetView>
  </sheetViews>
  <sheetFormatPr defaultRowHeight="14.5" x14ac:dyDescent="0.35"/>
  <cols>
    <col min="1" max="1" width="13.54296875" bestFit="1" customWidth="1"/>
    <col min="3" max="3" width="40.7265625" customWidth="1"/>
    <col min="4" max="4" width="16.26953125" style="1" bestFit="1" customWidth="1"/>
    <col min="5" max="5" width="1.7265625" customWidth="1"/>
    <col min="6" max="6" width="14.26953125" bestFit="1" customWidth="1"/>
    <col min="7" max="7" width="16.26953125" style="1" bestFit="1" customWidth="1"/>
    <col min="8" max="8" width="12.26953125" bestFit="1" customWidth="1"/>
    <col min="9" max="9" width="1.7265625" customWidth="1"/>
    <col min="10" max="10" width="48.453125" customWidth="1"/>
    <col min="11" max="11" width="14.26953125" bestFit="1" customWidth="1"/>
    <col min="12" max="23" width="12.453125" bestFit="1" customWidth="1"/>
  </cols>
  <sheetData>
    <row r="1" spans="1:9" x14ac:dyDescent="0.35">
      <c r="B1" t="s">
        <v>16</v>
      </c>
      <c r="D1" s="8">
        <v>44012</v>
      </c>
      <c r="E1" s="16"/>
      <c r="G1" s="8">
        <v>44377</v>
      </c>
      <c r="I1" s="16"/>
    </row>
    <row r="2" spans="1:9" x14ac:dyDescent="0.35">
      <c r="B2">
        <v>18210281</v>
      </c>
      <c r="C2" t="s">
        <v>17</v>
      </c>
      <c r="D2" s="1">
        <v>31939038.809999999</v>
      </c>
      <c r="E2" s="16"/>
      <c r="F2">
        <v>18210281</v>
      </c>
      <c r="G2" s="1">
        <v>13770027.68</v>
      </c>
      <c r="I2" s="16"/>
    </row>
    <row r="3" spans="1:9" x14ac:dyDescent="0.35">
      <c r="B3">
        <v>18210311</v>
      </c>
      <c r="C3" t="s">
        <v>18</v>
      </c>
      <c r="D3" s="1">
        <v>1171975.3600000001</v>
      </c>
      <c r="E3" s="16"/>
      <c r="I3" s="16"/>
    </row>
    <row r="4" spans="1:9" x14ac:dyDescent="0.35">
      <c r="B4">
        <v>18210321</v>
      </c>
      <c r="C4" t="s">
        <v>19</v>
      </c>
      <c r="D4" s="1">
        <v>10437020.220000001</v>
      </c>
      <c r="E4" s="16"/>
      <c r="F4">
        <v>18210321</v>
      </c>
      <c r="G4" s="1">
        <v>6931618.29</v>
      </c>
      <c r="I4" s="16"/>
    </row>
    <row r="5" spans="1:9" x14ac:dyDescent="0.35">
      <c r="B5">
        <v>18210331</v>
      </c>
      <c r="C5" t="s">
        <v>20</v>
      </c>
      <c r="D5" s="1">
        <v>12707858.34</v>
      </c>
      <c r="E5" s="16"/>
      <c r="F5">
        <v>18210331</v>
      </c>
      <c r="G5" s="1">
        <v>12707858.34</v>
      </c>
      <c r="I5" s="16"/>
    </row>
    <row r="6" spans="1:9" x14ac:dyDescent="0.35">
      <c r="B6">
        <v>18210341</v>
      </c>
      <c r="C6" t="s">
        <v>21</v>
      </c>
      <c r="D6" s="1">
        <v>12215518.98</v>
      </c>
      <c r="E6" s="16"/>
      <c r="F6">
        <v>18210341</v>
      </c>
      <c r="G6" s="1">
        <v>12215518.98</v>
      </c>
      <c r="I6" s="16"/>
    </row>
    <row r="7" spans="1:9" x14ac:dyDescent="0.35">
      <c r="B7">
        <v>18210351</v>
      </c>
      <c r="C7" t="s">
        <v>22</v>
      </c>
      <c r="D7" s="1">
        <v>12247269.48</v>
      </c>
      <c r="E7" s="16"/>
      <c r="F7">
        <v>18210351</v>
      </c>
      <c r="G7" s="1">
        <v>12247269.48</v>
      </c>
      <c r="I7" s="16"/>
    </row>
    <row r="8" spans="1:9" x14ac:dyDescent="0.35">
      <c r="B8" s="11">
        <v>18210361</v>
      </c>
      <c r="C8" s="11" t="s">
        <v>23</v>
      </c>
      <c r="D8" s="10">
        <v>28513472.699999999</v>
      </c>
      <c r="E8" s="17"/>
      <c r="F8" s="11">
        <v>18210361</v>
      </c>
      <c r="G8" s="10">
        <v>28513472.699999999</v>
      </c>
      <c r="I8" s="17"/>
    </row>
    <row r="9" spans="1:9" x14ac:dyDescent="0.35">
      <c r="D9" s="4">
        <f>SUM(D2:D8)</f>
        <v>109232153.89000002</v>
      </c>
      <c r="E9" s="16"/>
      <c r="G9" s="4">
        <f>SUM(G2:G8)</f>
        <v>86385765.469999999</v>
      </c>
      <c r="H9" s="92">
        <f>+G9-D9</f>
        <v>-22846388.420000017</v>
      </c>
      <c r="I9" s="16"/>
    </row>
    <row r="10" spans="1:9" x14ac:dyDescent="0.35">
      <c r="E10" s="16"/>
      <c r="I10" s="16"/>
    </row>
    <row r="11" spans="1:9" x14ac:dyDescent="0.35">
      <c r="B11">
        <v>18210371</v>
      </c>
      <c r="C11" t="s">
        <v>24</v>
      </c>
      <c r="D11" s="1">
        <v>0</v>
      </c>
      <c r="E11" s="16"/>
      <c r="F11">
        <v>18210371</v>
      </c>
      <c r="G11" s="1">
        <v>11400536.98</v>
      </c>
      <c r="I11" s="16"/>
    </row>
    <row r="12" spans="1:9" x14ac:dyDescent="0.35">
      <c r="B12" s="11">
        <v>18210381</v>
      </c>
      <c r="C12" s="11" t="s">
        <v>25</v>
      </c>
      <c r="D12" s="10"/>
      <c r="E12" s="17"/>
      <c r="F12" s="11">
        <v>18210381</v>
      </c>
      <c r="G12" s="10">
        <v>13566782.050000001</v>
      </c>
      <c r="I12" s="17"/>
    </row>
    <row r="13" spans="1:9" x14ac:dyDescent="0.35">
      <c r="D13" s="4">
        <f>SUM(D11:D12)</f>
        <v>0</v>
      </c>
      <c r="E13" s="16"/>
      <c r="G13" s="4">
        <f>SUM(G11:G12)</f>
        <v>24967319.030000001</v>
      </c>
      <c r="I13" s="16"/>
    </row>
    <row r="14" spans="1:9" x14ac:dyDescent="0.35">
      <c r="D14" s="4"/>
      <c r="E14" s="16"/>
      <c r="G14" s="4"/>
      <c r="I14" s="16"/>
    </row>
    <row r="15" spans="1:9" ht="15" thickBot="1" x14ac:dyDescent="0.4">
      <c r="A15" t="s">
        <v>71</v>
      </c>
      <c r="C15" s="3" t="s">
        <v>48</v>
      </c>
      <c r="D15" s="12">
        <f>+D13+D9</f>
        <v>109232153.89000002</v>
      </c>
      <c r="E15" s="16"/>
      <c r="G15" s="12">
        <f>+G13+G9</f>
        <v>111353084.5</v>
      </c>
      <c r="H15" s="8">
        <v>44377</v>
      </c>
      <c r="I15" s="16"/>
    </row>
    <row r="16" spans="1:9" ht="15" thickTop="1" x14ac:dyDescent="0.35">
      <c r="D16" s="4"/>
      <c r="E16" s="16"/>
      <c r="G16" s="4"/>
      <c r="I16" s="16"/>
    </row>
    <row r="17" spans="1:23" x14ac:dyDescent="0.35">
      <c r="A17" t="s">
        <v>71</v>
      </c>
      <c r="C17" t="s">
        <v>26</v>
      </c>
      <c r="D17" s="4">
        <f>+D15/5</f>
        <v>21846430.778000005</v>
      </c>
      <c r="E17" s="16"/>
      <c r="I17" s="16"/>
    </row>
    <row r="18" spans="1:23" x14ac:dyDescent="0.35">
      <c r="A18" t="s">
        <v>71</v>
      </c>
      <c r="C18" t="s">
        <v>27</v>
      </c>
      <c r="D18" s="4">
        <f>+D17/12</f>
        <v>1820535.898166667</v>
      </c>
      <c r="E18" s="16"/>
      <c r="I18" s="16"/>
    </row>
    <row r="19" spans="1:23" x14ac:dyDescent="0.35">
      <c r="D19" s="4"/>
      <c r="E19" s="16"/>
      <c r="I19" s="16"/>
    </row>
    <row r="20" spans="1:23" x14ac:dyDescent="0.35">
      <c r="D20" s="4"/>
      <c r="E20" s="16"/>
      <c r="I20" s="16"/>
    </row>
    <row r="21" spans="1:23" x14ac:dyDescent="0.35">
      <c r="E21" s="16"/>
      <c r="I21" s="16"/>
    </row>
    <row r="22" spans="1:23" x14ac:dyDescent="0.35">
      <c r="A22" s="9">
        <v>44013</v>
      </c>
      <c r="C22" t="s">
        <v>46</v>
      </c>
      <c r="D22" s="1">
        <v>-1927090.36</v>
      </c>
      <c r="E22" s="16"/>
      <c r="I22" s="16"/>
    </row>
    <row r="23" spans="1:23" x14ac:dyDescent="0.35">
      <c r="A23" s="9">
        <v>44044</v>
      </c>
      <c r="C23" t="s">
        <v>46</v>
      </c>
      <c r="D23" s="1">
        <v>-755115</v>
      </c>
      <c r="E23" s="16"/>
      <c r="I23" s="16"/>
    </row>
    <row r="24" spans="1:23" x14ac:dyDescent="0.35">
      <c r="A24" s="9">
        <v>44075</v>
      </c>
      <c r="C24" t="s">
        <v>46</v>
      </c>
      <c r="D24" s="1">
        <v>-3648523.64</v>
      </c>
      <c r="E24" s="16"/>
      <c r="I24" s="16"/>
    </row>
    <row r="25" spans="1:23" x14ac:dyDescent="0.35">
      <c r="A25" s="9">
        <v>44105</v>
      </c>
      <c r="C25" t="s">
        <v>46</v>
      </c>
      <c r="D25" s="1">
        <v>-341019.68</v>
      </c>
      <c r="E25" s="16"/>
      <c r="I25" s="16"/>
    </row>
    <row r="26" spans="1:23" x14ac:dyDescent="0.35">
      <c r="A26" s="9">
        <v>44105</v>
      </c>
      <c r="C26" t="s">
        <v>46</v>
      </c>
      <c r="D26" s="1">
        <v>-611993.29</v>
      </c>
      <c r="E26" s="16"/>
      <c r="I26" s="16"/>
    </row>
    <row r="27" spans="1:23" x14ac:dyDescent="0.35">
      <c r="A27" s="9">
        <v>44105</v>
      </c>
      <c r="C27" t="s">
        <v>73</v>
      </c>
      <c r="D27" s="1">
        <v>-998358.3957688174</v>
      </c>
      <c r="E27" s="16"/>
      <c r="I27" s="16"/>
    </row>
    <row r="28" spans="1:23" x14ac:dyDescent="0.35">
      <c r="A28" s="9">
        <v>44136</v>
      </c>
      <c r="C28" t="s">
        <v>47</v>
      </c>
      <c r="D28" s="1">
        <v>-1820536</v>
      </c>
      <c r="E28" s="16"/>
      <c r="I28" s="16"/>
    </row>
    <row r="29" spans="1:23" x14ac:dyDescent="0.35">
      <c r="A29" s="9">
        <v>44166</v>
      </c>
      <c r="C29" t="s">
        <v>47</v>
      </c>
      <c r="D29" s="1">
        <v>-1820536</v>
      </c>
      <c r="E29" s="16"/>
      <c r="I29" s="16"/>
    </row>
    <row r="30" spans="1:23" x14ac:dyDescent="0.35">
      <c r="A30" s="9">
        <v>44197</v>
      </c>
      <c r="C30" t="s">
        <v>47</v>
      </c>
      <c r="D30" s="1">
        <v>-1820536</v>
      </c>
      <c r="E30" s="16"/>
      <c r="I30" s="16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</row>
    <row r="31" spans="1:23" x14ac:dyDescent="0.35">
      <c r="A31" s="9">
        <v>44228</v>
      </c>
      <c r="C31" t="s">
        <v>47</v>
      </c>
      <c r="D31" s="1">
        <v>-1820536</v>
      </c>
      <c r="E31" s="16"/>
      <c r="I31" s="16"/>
      <c r="J31" s="94" t="s">
        <v>51</v>
      </c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</row>
    <row r="32" spans="1:23" x14ac:dyDescent="0.35">
      <c r="A32" s="9">
        <v>44256</v>
      </c>
      <c r="C32" t="s">
        <v>47</v>
      </c>
      <c r="D32" s="1">
        <v>-1820536</v>
      </c>
      <c r="E32" s="16"/>
      <c r="I32" s="16"/>
      <c r="J32" s="95" t="s">
        <v>28</v>
      </c>
      <c r="K32" s="96" t="s">
        <v>29</v>
      </c>
      <c r="L32" s="96" t="s">
        <v>30</v>
      </c>
      <c r="M32" s="96" t="s">
        <v>31</v>
      </c>
      <c r="N32" s="96" t="s">
        <v>32</v>
      </c>
      <c r="O32" s="96" t="s">
        <v>33</v>
      </c>
      <c r="P32" s="96" t="s">
        <v>34</v>
      </c>
      <c r="Q32" s="96" t="s">
        <v>35</v>
      </c>
      <c r="R32" s="96" t="s">
        <v>36</v>
      </c>
      <c r="S32" s="96" t="s">
        <v>37</v>
      </c>
      <c r="T32" s="96" t="s">
        <v>38</v>
      </c>
      <c r="U32" s="96" t="s">
        <v>39</v>
      </c>
      <c r="V32" s="96" t="s">
        <v>40</v>
      </c>
      <c r="W32" s="96" t="s">
        <v>41</v>
      </c>
    </row>
    <row r="33" spans="1:23" x14ac:dyDescent="0.35">
      <c r="A33" s="9">
        <v>44287</v>
      </c>
      <c r="C33" t="s">
        <v>47</v>
      </c>
      <c r="D33" s="1">
        <v>-1820536</v>
      </c>
      <c r="E33" s="16"/>
      <c r="I33" s="16"/>
      <c r="J33" s="22" t="s">
        <v>42</v>
      </c>
      <c r="K33" s="23">
        <v>2606364.6800000002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341019.68</v>
      </c>
      <c r="U33" s="23">
        <v>755115</v>
      </c>
      <c r="V33" s="23">
        <v>755115</v>
      </c>
      <c r="W33" s="23">
        <v>755115</v>
      </c>
    </row>
    <row r="34" spans="1:23" x14ac:dyDescent="0.35">
      <c r="A34" s="9">
        <v>44317</v>
      </c>
      <c r="C34" t="s">
        <v>47</v>
      </c>
      <c r="D34" s="1">
        <v>-1820536</v>
      </c>
      <c r="E34" s="16"/>
      <c r="I34" s="16"/>
      <c r="J34" s="22" t="s">
        <v>43</v>
      </c>
      <c r="K34" s="23">
        <v>4677377.29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611993.29</v>
      </c>
      <c r="U34" s="23">
        <v>2893408.64</v>
      </c>
      <c r="V34" s="23">
        <v>0</v>
      </c>
      <c r="W34" s="23">
        <v>1171975.3600000001</v>
      </c>
    </row>
    <row r="35" spans="1:23" x14ac:dyDescent="0.35">
      <c r="A35" s="9">
        <v>44348</v>
      </c>
      <c r="C35" t="s">
        <v>47</v>
      </c>
      <c r="D35" s="10">
        <v>-1820536</v>
      </c>
      <c r="E35" s="16"/>
      <c r="I35" s="16"/>
      <c r="J35" s="22" t="s">
        <v>44</v>
      </c>
      <c r="K35" s="93">
        <v>15562646.449999999</v>
      </c>
      <c r="L35" s="93">
        <v>1820536</v>
      </c>
      <c r="M35" s="93">
        <v>1820536</v>
      </c>
      <c r="N35" s="93">
        <v>1820536</v>
      </c>
      <c r="O35" s="93">
        <v>1820536</v>
      </c>
      <c r="P35" s="93">
        <v>1820536</v>
      </c>
      <c r="Q35" s="93">
        <v>1820536</v>
      </c>
      <c r="R35" s="93">
        <v>1820536</v>
      </c>
      <c r="S35" s="93">
        <v>1820536</v>
      </c>
      <c r="T35" s="93">
        <v>998358.45</v>
      </c>
      <c r="U35" s="93">
        <v>0</v>
      </c>
      <c r="V35" s="93">
        <v>0</v>
      </c>
      <c r="W35" s="93">
        <v>0</v>
      </c>
    </row>
    <row r="36" spans="1:23" x14ac:dyDescent="0.35">
      <c r="C36" s="3" t="s">
        <v>45</v>
      </c>
      <c r="D36" s="87">
        <f>SUM(D22:D35)</f>
        <v>-22846388.365768816</v>
      </c>
      <c r="E36" s="16"/>
      <c r="I36" s="16"/>
      <c r="J36" s="94"/>
      <c r="K36" s="87">
        <f t="shared" ref="K36:W36" si="0">SUM(K33:K35)</f>
        <v>22846388.420000002</v>
      </c>
      <c r="L36" s="97">
        <f t="shared" si="0"/>
        <v>1820536</v>
      </c>
      <c r="M36" s="97">
        <f t="shared" si="0"/>
        <v>1820536</v>
      </c>
      <c r="N36" s="97">
        <f t="shared" si="0"/>
        <v>1820536</v>
      </c>
      <c r="O36" s="97">
        <f t="shared" si="0"/>
        <v>1820536</v>
      </c>
      <c r="P36" s="97">
        <f t="shared" si="0"/>
        <v>1820536</v>
      </c>
      <c r="Q36" s="97">
        <f t="shared" si="0"/>
        <v>1820536</v>
      </c>
      <c r="R36" s="97">
        <f t="shared" si="0"/>
        <v>1820536</v>
      </c>
      <c r="S36" s="97">
        <f t="shared" si="0"/>
        <v>1820536</v>
      </c>
      <c r="T36" s="97">
        <f t="shared" si="0"/>
        <v>1951371.42</v>
      </c>
      <c r="U36" s="97">
        <f t="shared" si="0"/>
        <v>3648523.64</v>
      </c>
      <c r="V36" s="97">
        <f t="shared" si="0"/>
        <v>755115</v>
      </c>
      <c r="W36" s="97">
        <f t="shared" si="0"/>
        <v>1927090.36</v>
      </c>
    </row>
    <row r="37" spans="1:23" x14ac:dyDescent="0.35">
      <c r="E37" s="16"/>
      <c r="I37" s="16"/>
    </row>
    <row r="38" spans="1:23" x14ac:dyDescent="0.35">
      <c r="A38" t="s">
        <v>72</v>
      </c>
      <c r="C38" s="80" t="s">
        <v>76</v>
      </c>
      <c r="D38" s="10">
        <f>-D17</f>
        <v>-21846430.778000005</v>
      </c>
      <c r="E38" s="16"/>
      <c r="I38" s="16"/>
    </row>
    <row r="39" spans="1:23" x14ac:dyDescent="0.35">
      <c r="A39" s="90" t="s">
        <v>70</v>
      </c>
      <c r="D39" s="4">
        <f>+D38-D36</f>
        <v>999957.58776881173</v>
      </c>
      <c r="E39" s="16"/>
      <c r="I39" s="16"/>
    </row>
    <row r="40" spans="1:23" x14ac:dyDescent="0.35">
      <c r="E40" s="16"/>
      <c r="I40" s="16"/>
    </row>
    <row r="41" spans="1:23" x14ac:dyDescent="0.35">
      <c r="E41" s="16"/>
      <c r="I41" s="16"/>
    </row>
    <row r="42" spans="1:23" x14ac:dyDescent="0.35">
      <c r="E42" s="16"/>
      <c r="I42" s="16"/>
    </row>
    <row r="43" spans="1:23" x14ac:dyDescent="0.35">
      <c r="E43" s="18"/>
      <c r="F43" s="3" t="s">
        <v>13</v>
      </c>
      <c r="H43" s="1"/>
      <c r="I43" s="18"/>
    </row>
    <row r="44" spans="1:23" ht="15" thickBot="1" x14ac:dyDescent="0.4">
      <c r="A44" s="90" t="s">
        <v>74</v>
      </c>
      <c r="D44" s="12">
        <f>+D15</f>
        <v>109232153.89000002</v>
      </c>
      <c r="E44" s="19"/>
      <c r="F44" s="13">
        <f>+D44/5</f>
        <v>21846430.778000005</v>
      </c>
      <c r="H44" s="4"/>
      <c r="I44" s="19"/>
    </row>
    <row r="45" spans="1:23" ht="15" thickTop="1" x14ac:dyDescent="0.35">
      <c r="A45" s="91"/>
      <c r="D45" s="4"/>
      <c r="E45" s="20"/>
      <c r="H45" s="1"/>
      <c r="I45" s="20"/>
    </row>
    <row r="46" spans="1:23" x14ac:dyDescent="0.35">
      <c r="A46" s="90" t="s">
        <v>50</v>
      </c>
      <c r="B46">
        <v>18210371</v>
      </c>
      <c r="C46" t="s">
        <v>24</v>
      </c>
      <c r="D46" s="79">
        <v>11400536.98</v>
      </c>
      <c r="E46" s="20"/>
      <c r="G46"/>
      <c r="H46" s="1"/>
      <c r="I46" s="20"/>
    </row>
    <row r="47" spans="1:23" x14ac:dyDescent="0.35">
      <c r="A47" s="90" t="s">
        <v>50</v>
      </c>
      <c r="B47" s="6">
        <v>18210381</v>
      </c>
      <c r="C47" s="6" t="s">
        <v>77</v>
      </c>
      <c r="D47" s="79">
        <v>13566782.050000001</v>
      </c>
      <c r="E47" s="21"/>
      <c r="F47" s="3"/>
      <c r="G47"/>
      <c r="H47" s="7"/>
      <c r="I47" s="21"/>
    </row>
    <row r="48" spans="1:23" x14ac:dyDescent="0.35">
      <c r="A48" s="90" t="s">
        <v>50</v>
      </c>
      <c r="B48" s="6">
        <v>18210381</v>
      </c>
      <c r="C48" s="6" t="s">
        <v>79</v>
      </c>
      <c r="D48" s="88">
        <f>5479516.44</f>
        <v>5479516.4400000004</v>
      </c>
      <c r="E48" s="21"/>
      <c r="F48" s="3"/>
      <c r="G48"/>
      <c r="H48" s="7"/>
      <c r="I48" s="21"/>
    </row>
    <row r="49" spans="1:9" x14ac:dyDescent="0.35">
      <c r="A49" s="90" t="s">
        <v>50</v>
      </c>
      <c r="B49" s="6">
        <v>18210381</v>
      </c>
      <c r="C49" s="6" t="s">
        <v>80</v>
      </c>
      <c r="D49" s="88">
        <f>7744701.96</f>
        <v>7744701.96</v>
      </c>
      <c r="E49" s="21"/>
      <c r="F49" s="3"/>
      <c r="G49"/>
      <c r="H49" s="7"/>
      <c r="I49" s="21"/>
    </row>
    <row r="50" spans="1:9" x14ac:dyDescent="0.35">
      <c r="A50" s="90" t="s">
        <v>50</v>
      </c>
      <c r="B50" s="6">
        <v>18210381</v>
      </c>
      <c r="C50" s="11" t="s">
        <v>82</v>
      </c>
      <c r="D50" s="89">
        <f>11403095.58</f>
        <v>11403095.58</v>
      </c>
      <c r="E50" s="21"/>
      <c r="F50" s="3"/>
      <c r="G50"/>
      <c r="H50" s="1"/>
      <c r="I50" s="21"/>
    </row>
    <row r="51" spans="1:9" ht="15" thickBot="1" x14ac:dyDescent="0.4">
      <c r="A51" s="91"/>
      <c r="D51" s="12">
        <f>SUM(D46:D50)</f>
        <v>49594633.009999998</v>
      </c>
      <c r="E51" s="19"/>
      <c r="F51" s="14">
        <f>+D51/4</f>
        <v>12398658.252499999</v>
      </c>
      <c r="G51" s="90" t="s">
        <v>49</v>
      </c>
      <c r="H51" s="1"/>
      <c r="I51" s="19"/>
    </row>
    <row r="52" spans="1:9" ht="15" thickTop="1" x14ac:dyDescent="0.35">
      <c r="A52" s="90" t="s">
        <v>75</v>
      </c>
      <c r="E52" s="1"/>
      <c r="F52" s="15">
        <f>+F51+F44</f>
        <v>34245089.030500002</v>
      </c>
      <c r="G52"/>
      <c r="H52" s="1"/>
      <c r="I52" s="7"/>
    </row>
    <row r="53" spans="1:9" x14ac:dyDescent="0.35">
      <c r="G53"/>
    </row>
    <row r="54" spans="1:9" x14ac:dyDescent="0.35">
      <c r="E54" s="7"/>
      <c r="F54" s="7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B00E6C2-4F89-46A1-B672-22BA18D81CB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4FF6EB25-87F4-4A3C-B30F-9648BE69D9B1}"/>
</file>

<file path=customXml/itemProps3.xml><?xml version="1.0" encoding="utf-8"?>
<ds:datastoreItem xmlns:ds="http://schemas.openxmlformats.org/officeDocument/2006/customXml" ds:itemID="{15581F99-CAB1-44BB-A6CD-B5AE3A5C68D4}"/>
</file>

<file path=customXml/itemProps4.xml><?xml version="1.0" encoding="utf-8"?>
<ds:datastoreItem xmlns:ds="http://schemas.openxmlformats.org/officeDocument/2006/customXml" ds:itemID="{1B3BAA54-5211-4342-BFEC-1D043C0CE988}"/>
</file>

<file path=customXml/itemProps5.xml><?xml version="1.0" encoding="utf-8"?>
<ds:datastoreItem xmlns:ds="http://schemas.openxmlformats.org/officeDocument/2006/customXml" ds:itemID="{B107D8E7-157B-4B34-B278-9338CC924E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Adjustment</vt:lpstr>
      <vt:lpstr>BGM-10</vt:lpstr>
      <vt:lpstr>PSE WPS-&gt;</vt:lpstr>
      <vt:lpstr>LEAD</vt:lpstr>
      <vt:lpstr>LEAD (FERC)</vt:lpstr>
      <vt:lpstr>Storm Amortization</vt:lpstr>
      <vt:lpstr>'BGM-10'!Print_Area</vt:lpstr>
      <vt:lpstr>'BGM-10'!Print_Titles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DiMasso</dc:creator>
  <cp:lastModifiedBy>Bradley Mullins</cp:lastModifiedBy>
  <dcterms:created xsi:type="dcterms:W3CDTF">2021-08-09T16:02:42Z</dcterms:created>
  <dcterms:modified xsi:type="dcterms:W3CDTF">2022-07-28T07:26:46Z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