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charts/colors8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charts/chart11.xml" ContentType="application/vnd.openxmlformats-officedocument.drawingml.chart+xml"/>
  <Override PartName="/xl/charts/chart14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style8.xml" ContentType="application/vnd.ms-office.chartstyle+xml"/>
  <Override PartName="/xl/charts/chart16.xml" ContentType="application/vnd.openxmlformats-officedocument.drawingml.chart+xml"/>
  <Override PartName="/xl/charts/colors7.xml" ContentType="application/vnd.ms-office.chartcolorstyle+xml"/>
  <Override PartName="/xl/charts/style7.xml" ContentType="application/vnd.ms-office.chartstyle+xml"/>
  <Override PartName="/xl/charts/chart15.xml" ContentType="application/vnd.openxmlformats-officedocument.drawingml.chart+xml"/>
  <Override PartName="/xl/charts/chart10.xml" ContentType="application/vnd.openxmlformats-officedocument.drawingml.chart+xml"/>
  <Override PartName="/xl/worksheets/sheet1.xml" ContentType="application/vnd.openxmlformats-officedocument.spreadsheetml.worksheet+xml"/>
  <Override PartName="/xl/charts/chart8.xml" ContentType="application/vnd.openxmlformats-officedocument.drawingml.char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harts/chart2.xml" ContentType="application/vnd.openxmlformats-officedocument.drawingml.chart+xml"/>
  <Override PartName="/xl/charts/chart9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5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style2.xml" ContentType="application/vnd.ms-office.chartstyle+xml"/>
  <Override PartName="/xl/charts/chart3.xml" ContentType="application/vnd.openxmlformats-officedocument.drawingml.chart+xml"/>
  <Override PartName="/xl/charts/colors2.xml" ContentType="application/vnd.ms-office.chartcolorstyle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omments3.xml" ContentType="application/vnd.openxmlformats-officedocument.spreadsheetml.comments+xml"/>
  <Override PartName="/xl/comments2.xml" ContentType="application/vnd.openxmlformats-officedocument.spreadsheetml.comments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8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customXml/itemProps2.xml" ContentType="application/vnd.openxmlformats-officedocument.customXmlProperties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comments4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mments5.xml" ContentType="application/vnd.openxmlformats-officedocument.spreadsheetml.comment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home.utc.wa.gov/sites/ue-150204/Staffs Testimony and Exhibits/"/>
    </mc:Choice>
  </mc:AlternateContent>
  <bookViews>
    <workbookView xWindow="-15" yWindow="-15" windowWidth="11610" windowHeight="8445" tabRatio="708"/>
  </bookViews>
  <sheets>
    <sheet name="Summary" sheetId="126" r:id="rId1"/>
    <sheet name="ROR" sheetId="110" r:id="rId2"/>
    <sheet name="Attrition 09.2014 to 2016" sheetId="120" r:id="rId3"/>
    <sheet name="Cost Trends" sheetId="122" r:id="rId4"/>
    <sheet name="Net Plant" sheetId="144" r:id="rId5"/>
    <sheet name="Dep-Amort" sheetId="142" r:id="rId6"/>
    <sheet name="Adj Taxes" sheetId="143" r:id="rId7"/>
    <sheet name="Other Revenue" sheetId="145" state="hidden" r:id="rId8"/>
    <sheet name="Adj Operating Exp-2007-2014" sheetId="150" r:id="rId9"/>
    <sheet name="Plant Trends" sheetId="147" state="hidden" r:id="rId10"/>
    <sheet name="Weighted Revenue Growth" sheetId="87" r:id="rId11"/>
    <sheet name="09.2014 Rev Model" sheetId="132" state="hidden" r:id="rId12"/>
    <sheet name="2016 Customers and Demand" sheetId="88" state="hidden" r:id="rId13"/>
    <sheet name="2016 Forecast Energy" sheetId="136" state="hidden" r:id="rId14"/>
    <sheet name="12.2014 CB Power Supply" sheetId="135" r:id="rId15"/>
    <sheet name="456 Revenue" sheetId="140" state="hidden" r:id="rId16"/>
    <sheet name="incremental load expense" sheetId="103" r:id="rId17"/>
    <sheet name="CS2-Colstrip 2016 Incrmntl Exp" sheetId="141" state="hidden" r:id="rId18"/>
    <sheet name="PF Power Supply 09.2014 load" sheetId="78" r:id="rId19"/>
    <sheet name="PF Power Supply 2016 load" sheetId="139" r:id="rId20"/>
    <sheet name="Reg Amorts" sheetId="129" state="hidden" r:id="rId21"/>
    <sheet name="DSM" sheetId="91" state="hidden" r:id="rId22"/>
    <sheet name="ResX" sheetId="94" state="hidden" r:id="rId23"/>
    <sheet name="CBR Hist" sheetId="133" r:id="rId24"/>
    <sheet name="PS Consolidated" sheetId="134" state="hidden" r:id="rId25"/>
    <sheet name="Other Rev" sheetId="130" state="hidden" r:id="rId26"/>
    <sheet name="Sheet1" sheetId="138" state="hidden" r:id="rId27"/>
  </sheets>
  <externalReferences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xlnm._FilterDatabase" localSheetId="12" hidden="1">'2016 Customers and Demand'!$A$2:$H$59</definedName>
    <definedName name="Actuals_Mo">[1]Tables!$B$19</definedName>
    <definedName name="Base1_Billing2" localSheetId="11">'09.2014 Rev Model'!$N$8</definedName>
    <definedName name="Base1_Billing2" localSheetId="14">#REF!</definedName>
    <definedName name="Base1_Billing2" localSheetId="8">#REF!</definedName>
    <definedName name="Base1_Billing2" localSheetId="23">#REF!</definedName>
    <definedName name="Base1_Billing2" localSheetId="19">#REF!</definedName>
    <definedName name="Base1_Billing2" localSheetId="24">#REF!</definedName>
    <definedName name="Base1_Billing2">#REF!</definedName>
    <definedName name="BaseRev60_EntryLookup">INDEX('[2]Rev Summary'!$F$1176:$F$1177,2):'[2]Rev Summary'!$F$1221</definedName>
    <definedName name="Basic">'[2]Rev Summary'!$I$1279:$I$1322</definedName>
    <definedName name="BilledRev60_EntryLookup">INDEX('[2]Rev Summary'!$F$70:$F$71,2):'[2]Rev Summary'!$F$115</definedName>
    <definedName name="CalRev60_EntryLookup">INDEX('[2]Rev Summary'!$F$373:$F$374,2):'[2]Rev Summary'!$F$418</definedName>
    <definedName name="ClassEntry">'[2]Rev Summary'!$D$2</definedName>
    <definedName name="ClassEntryNo">'[2]Rev Summary'!$D$3</definedName>
    <definedName name="CopyClasses">'[2]Rev Summary'!$F$1279:INDEX('[2]Rev Summary'!$F$1279:$F$1323,COUNTA('[2]Rev Summary'!$F$1279:$F$1323))</definedName>
    <definedName name="CustMos">'[1]Cust Load'!$D$3</definedName>
    <definedName name="DSMFlag">'[2]Exp Summary'!$E$30</definedName>
    <definedName name="EndMo">[1]Tables!$B$16</definedName>
    <definedName name="ERM" localSheetId="11">'[3]Rate Design'!$D$45</definedName>
    <definedName name="ERM">'[4]Rate Design'!$D$45</definedName>
    <definedName name="GRCRev60_EntryLookup">INDEX('[2]Rev Summary'!$F$1075:$F$1076,2):'[2]Rev Summary'!$F$1120</definedName>
    <definedName name="GrossUnbillAccrRev60_EntryLookup">INDEX('[2]Rev Summary'!$F$873:$F$874,2):'[2]Rev Summary'!$F$918</definedName>
    <definedName name="GrossUnbillRevRev60_EntryLookup">INDEX('[2]Rev Summary'!$F$974:$F$975,2):'[2]Rev Summary'!$F$1019</definedName>
    <definedName name="ID" localSheetId="8">#REF!</definedName>
    <definedName name="ID" localSheetId="19">#REF!</definedName>
    <definedName name="ID">#REF!</definedName>
    <definedName name="ID_001b" localSheetId="14">#REF!</definedName>
    <definedName name="ID_001b" localSheetId="8">#REF!</definedName>
    <definedName name="ID_001b" localSheetId="23">#REF!</definedName>
    <definedName name="ID_001b" localSheetId="19">#REF!</definedName>
    <definedName name="ID_001b" localSheetId="24">#REF!</definedName>
    <definedName name="ID_001b">#REF!</definedName>
    <definedName name="ID_011b" localSheetId="14">#REF!</definedName>
    <definedName name="ID_011b" localSheetId="8">#REF!</definedName>
    <definedName name="ID_011b" localSheetId="23">#REF!</definedName>
    <definedName name="ID_011b" localSheetId="19">#REF!</definedName>
    <definedName name="ID_011b" localSheetId="24">#REF!</definedName>
    <definedName name="ID_011b">#REF!</definedName>
    <definedName name="ID_012b" localSheetId="14">#REF!</definedName>
    <definedName name="ID_012b" localSheetId="8">#REF!</definedName>
    <definedName name="ID_012b" localSheetId="23">#REF!</definedName>
    <definedName name="ID_012b" localSheetId="19">#REF!</definedName>
    <definedName name="ID_012b" localSheetId="24">#REF!</definedName>
    <definedName name="ID_012b">#REF!</definedName>
    <definedName name="ID_021b" localSheetId="14">#REF!</definedName>
    <definedName name="ID_021b" localSheetId="8">#REF!</definedName>
    <definedName name="ID_021b" localSheetId="23">#REF!</definedName>
    <definedName name="ID_021b" localSheetId="19">#REF!</definedName>
    <definedName name="ID_021b" localSheetId="24">#REF!</definedName>
    <definedName name="ID_021b">#REF!</definedName>
    <definedName name="ID_Gas" localSheetId="14">'[5]DEBT CALC'!#REF!</definedName>
    <definedName name="ID_Gas" localSheetId="8">'[5]DEBT CALC'!#REF!</definedName>
    <definedName name="ID_Gas" localSheetId="2">'[5]DEBT CALC'!#REF!</definedName>
    <definedName name="ID_Gas" localSheetId="23">'[5]DEBT CALC'!#REF!</definedName>
    <definedName name="ID_Gas" localSheetId="3">'[5]DEBT CALC'!#REF!</definedName>
    <definedName name="ID_Gas" localSheetId="19">'[5]DEBT CALC'!#REF!</definedName>
    <definedName name="ID_Gas" localSheetId="24">'[5]DEBT CALC'!#REF!</definedName>
    <definedName name="ID_Gas">'[5]DEBT CALC'!#REF!</definedName>
    <definedName name="ID04X">[2]Rates!$O$121:$V$121</definedName>
    <definedName name="IDPPRider">[2]Rates!$O$124:$V$124</definedName>
    <definedName name="IDResEx">[2]Rates!$O$125:$V$125</definedName>
    <definedName name="IDSurch">[2]Rates!$O$122:$V$122</definedName>
    <definedName name="ManualSched">'[2]Rev Summary'!$B$36</definedName>
    <definedName name="Month1">[2]Setup!$B$3</definedName>
    <definedName name="NetUnbillRev60_EntryLookup">INDEX('[2]Rev Summary'!$F$272:$F$273,2):'[2]Rev Summary'!$F$317</definedName>
    <definedName name="PPRev60_EntryLookup">INDEX('[2]Rev Summary'!$F$671:$F$672,2):'[2]Rev Summary'!$F$716</definedName>
    <definedName name="_xlnm.Print_Area" localSheetId="11">'09.2014 Rev Model'!$A$1:$I$295</definedName>
    <definedName name="_xlnm.Print_Area" localSheetId="14">'12.2014 CB Power Supply'!$A$1:$H$48</definedName>
    <definedName name="_xlnm.Print_Area" localSheetId="12">'2016 Customers and Demand'!$A$1:$H$59</definedName>
    <definedName name="_xlnm.Print_Area" localSheetId="13">'2016 Forecast Energy'!$A$1:$H$40</definedName>
    <definedName name="_xlnm.Print_Area" localSheetId="8">'Adj Operating Exp-2007-2014'!$A$1:$J$60</definedName>
    <definedName name="_xlnm.Print_Area" localSheetId="2">'Attrition 09.2014 to 2016'!$A$2:$U$90</definedName>
    <definedName name="_xlnm.Print_Area" localSheetId="23">'CBR Hist'!$A$1:$U$79</definedName>
    <definedName name="_xlnm.Print_Area" localSheetId="3">'Cost Trends'!$A$1:$T$141</definedName>
    <definedName name="_xlnm.Print_Area" localSheetId="5">'Dep-Amort'!$A$1:$I$60</definedName>
    <definedName name="_xlnm.Print_Area" localSheetId="16">'incremental load expense'!$A$1:$J$53</definedName>
    <definedName name="_xlnm.Print_Area" localSheetId="4">'Net Plant'!$A$1:$I$60</definedName>
    <definedName name="_xlnm.Print_Area" localSheetId="19">'PF Power Supply 2016 load'!$A$1:$H$46</definedName>
    <definedName name="_xlnm.Print_Area" localSheetId="1">ROR!$A$2:$G$41</definedName>
    <definedName name="_xlnm.Print_Area" localSheetId="0">Summary!$A$2:$H$50</definedName>
    <definedName name="Print_for_Checking" localSheetId="14">'[5]ADJ SUMMARY'!#REF!:'[5]ADJ SUMMARY'!#REF!</definedName>
    <definedName name="Print_for_Checking" localSheetId="8">'[5]ADJ SUMMARY'!#REF!:'[5]ADJ SUMMARY'!#REF!</definedName>
    <definedName name="Print_for_Checking" localSheetId="2">'[5]ADJ SUMMARY'!#REF!:'[5]ADJ SUMMARY'!#REF!</definedName>
    <definedName name="Print_for_Checking" localSheetId="23">'[5]ADJ SUMMARY'!#REF!:'[5]ADJ SUMMARY'!#REF!</definedName>
    <definedName name="Print_for_Checking" localSheetId="3">'[5]ADJ SUMMARY'!#REF!:'[5]ADJ SUMMARY'!#REF!</definedName>
    <definedName name="Print_for_Checking" localSheetId="19">'[5]ADJ SUMMARY'!#REF!:'[5]ADJ SUMMARY'!#REF!</definedName>
    <definedName name="Print_for_Checking" localSheetId="24">'[5]ADJ SUMMARY'!#REF!:'[5]ADJ SUMMARY'!#REF!</definedName>
    <definedName name="Print_for_Checking">'[5]ADJ SUMMARY'!#REF!:'[5]ADJ SUMMARY'!#REF!</definedName>
    <definedName name="_xlnm.Print_Titles" localSheetId="23">'CBR Hist'!$A:$D,'CBR Hist'!$1:$9</definedName>
    <definedName name="_xlnm.Print_Titles" localSheetId="3">'Cost Trends'!$2:$2</definedName>
    <definedName name="PrintHeader" localSheetId="11">'09.2014 Rev Model'!$P$6</definedName>
    <definedName name="RateDesc">CHOOSE([1]Rev!$B$5, [1]!Rates_WA[RateDesc], [1]!Rates_ID[RateDesc])</definedName>
    <definedName name="RateDesc2">CHOOSE('[1]Manual Rev'!$C1, [1]!Rates_WA[RateDesc], [1]!Rates_ID[RateDesc])</definedName>
    <definedName name="RateID">CHOOSE([1]Rev!$B$5, [1]!Rates_WA[ID], [1]!Rates_ID[ID])</definedName>
    <definedName name="RateID2">CHOOSE('[1]Manual Rev'!$C1, [1]!Rates_WA[ID], [1]!Rates_ID[ID])</definedName>
    <definedName name="RData">CHOOSE([1]Rev!$B$5, [1]!Rates_WA[#Data], [1]!Rates_ID[#Data])</definedName>
    <definedName name="RData2">CHOOSE('[1]Manual Rev'!$C1, [1]!Rates_WA[#Data], [1]!Rates_ID[#Data])</definedName>
    <definedName name="Recover">[6]Macro1!$A$92</definedName>
    <definedName name="ResExchRev60_EntryLookup">INDEX('[2]Rev Summary'!$F$772:$F$773,2):'[2]Rev Summary'!$F$817</definedName>
    <definedName name="RevMos">[1]Rev!$C$2</definedName>
    <definedName name="RH">CHOOSE([1]Rev!$B$5, [1]!Rates_WA[#Headers], [1]!Rates_ID[#Headers])</definedName>
    <definedName name="RH_2">CHOOSE('[1]Manual Rev'!$C1, [1]!Rates_WA[#Headers], [1]!Rates_ID[#Headers])</definedName>
    <definedName name="Sch">CHOOSE([1]Rev!$B$5, [1]!Rates_WA[St-Sch], [1]!Rates_ID[St-Sch])</definedName>
    <definedName name="Sch_2">CHOOSE('[1]Manual Rev'!$C1, [1]!Rates_WA[St-Sch], [1]!Rates_ID[St-Sch])</definedName>
    <definedName name="Sched">'[2]Rev Summary'!$E$2</definedName>
    <definedName name="SL_RateIncr" localSheetId="11">'[3]St Lts'!$AD$1</definedName>
    <definedName name="SL_RateIncr">'[4]St Lts'!$AD$1</definedName>
    <definedName name="StartMo">[1]Tables!$B$13</definedName>
    <definedName name="Summary" localSheetId="14">#REF!</definedName>
    <definedName name="Summary" localSheetId="8">#REF!</definedName>
    <definedName name="Summary" localSheetId="2">#REF!</definedName>
    <definedName name="Summary" localSheetId="23">#REF!</definedName>
    <definedName name="Summary" localSheetId="3">#REF!</definedName>
    <definedName name="Summary" localSheetId="19">#REF!</definedName>
    <definedName name="Summary" localSheetId="24">#REF!</definedName>
    <definedName name="Summary">#REF!</definedName>
    <definedName name="SurchRev60_EntryLookup">INDEX('[2]Rev Summary'!$F$474:$F$475,2):'[2]Rev Summary'!$F$519</definedName>
    <definedName name="TableName">"Dummy"</definedName>
    <definedName name="TaxCreditRev60_EntryLookup">INDEX('[2]Rev Summary'!$F$572:$F$621,2):'[2]Rev Summary'!$F$617</definedName>
    <definedName name="TaxRev60_EntryLookup">INDEX('[2]Rev Summary'!$F$171:$F$216,2):'[2]Rev Summary'!$F$216</definedName>
    <definedName name="Utility">[2]Setup!$B$1</definedName>
    <definedName name="vl_tbl_SchedClass">[1]!tbl_SchedAll[StClSch]</definedName>
    <definedName name="WA_001b" localSheetId="14">#REF!</definedName>
    <definedName name="WA_001b" localSheetId="8">#REF!</definedName>
    <definedName name="WA_001b" localSheetId="23">#REF!</definedName>
    <definedName name="WA_001b" localSheetId="19">#REF!</definedName>
    <definedName name="WA_001b" localSheetId="24">#REF!</definedName>
    <definedName name="WA_001b">#REF!</definedName>
    <definedName name="WA_011b" localSheetId="14">#REF!</definedName>
    <definedName name="WA_011b" localSheetId="8">#REF!</definedName>
    <definedName name="WA_011b" localSheetId="23">#REF!</definedName>
    <definedName name="WA_011b" localSheetId="19">#REF!</definedName>
    <definedName name="WA_011b" localSheetId="24">#REF!</definedName>
    <definedName name="WA_011b">#REF!</definedName>
    <definedName name="WA_012b" localSheetId="14">#REF!</definedName>
    <definedName name="WA_012b" localSheetId="8">#REF!</definedName>
    <definedName name="WA_012b" localSheetId="23">#REF!</definedName>
    <definedName name="WA_012b" localSheetId="19">#REF!</definedName>
    <definedName name="WA_012b" localSheetId="24">#REF!</definedName>
    <definedName name="WA_012b">#REF!</definedName>
    <definedName name="WA_021b" localSheetId="14">#REF!</definedName>
    <definedName name="WA_021b" localSheetId="8">#REF!</definedName>
    <definedName name="WA_021b" localSheetId="23">#REF!</definedName>
    <definedName name="WA_021b" localSheetId="19">#REF!</definedName>
    <definedName name="WA_021b" localSheetId="24">#REF!</definedName>
    <definedName name="WA_021b">#REF!</definedName>
    <definedName name="WA_Gas" localSheetId="14">'[5]DEBT CALC'!#REF!</definedName>
    <definedName name="WA_Gas" localSheetId="8">'[5]DEBT CALC'!#REF!</definedName>
    <definedName name="WA_Gas" localSheetId="2">'[5]DEBT CALC'!#REF!</definedName>
    <definedName name="WA_Gas" localSheetId="23">'[5]DEBT CALC'!#REF!</definedName>
    <definedName name="WA_Gas" localSheetId="3">'[5]DEBT CALC'!#REF!</definedName>
    <definedName name="WA_Gas" localSheetId="17">'[5]DEBT CALC'!#REF!</definedName>
    <definedName name="WA_Gas" localSheetId="19">'[5]DEBT CALC'!#REF!</definedName>
    <definedName name="WA_Gas" localSheetId="24">'[5]DEBT CALC'!#REF!</definedName>
    <definedName name="WA_Gas">'[5]DEBT CALC'!#REF!</definedName>
    <definedName name="WA04X">[2]Rates!$D$121:$K$121</definedName>
    <definedName name="WAPPRider">[2]Rates!$D$124:$K$124</definedName>
    <definedName name="WAResEx">[2]Rates!$D$125:$K$125</definedName>
    <definedName name="WASurch">[2]Rates!$D$122:$K$122</definedName>
    <definedName name="Year1">[2]Setup!$B$2</definedName>
    <definedName name="Z_6E1B8C45_B07F_11D2_B0DC_0000832CDFF0_.wvu.Cols" localSheetId="23" hidden="1">'CBR Hist'!#REF!,'CBR Hist'!$E:$E</definedName>
    <definedName name="Z_6E1B8C45_B07F_11D2_B0DC_0000832CDFF0_.wvu.PrintArea" localSheetId="23" hidden="1">'CBR Hist'!$E:$E</definedName>
    <definedName name="Z_6E1B8C45_B07F_11D2_B0DC_0000832CDFF0_.wvu.PrintTitles" localSheetId="23" hidden="1">'CBR Hist'!$A:$D,'CBR Hist'!$1:$9</definedName>
    <definedName name="Z_A15D1962_B049_11D2_8670_0000832CEEE8_.wvu.Cols" localSheetId="23" hidden="1">'CBR Hist'!$E:$E</definedName>
  </definedNames>
  <calcPr calcId="152511"/>
</workbook>
</file>

<file path=xl/calcChain.xml><?xml version="1.0" encoding="utf-8"?>
<calcChain xmlns="http://schemas.openxmlformats.org/spreadsheetml/2006/main">
  <c r="H38" i="126" l="1"/>
  <c r="F14" i="126"/>
  <c r="U89" i="120"/>
  <c r="T89" i="120"/>
  <c r="B8" i="144"/>
  <c r="C8" i="144"/>
  <c r="C7" i="144"/>
  <c r="E26" i="139"/>
  <c r="E11" i="139"/>
  <c r="K68" i="120" l="1"/>
  <c r="D10" i="150"/>
  <c r="D42" i="150" l="1"/>
  <c r="G38" i="150"/>
  <c r="C41" i="150" s="1"/>
  <c r="C43" i="150" s="1"/>
  <c r="F38" i="150"/>
  <c r="E37" i="150"/>
  <c r="D37" i="150"/>
  <c r="G36" i="150"/>
  <c r="B42" i="150" s="1"/>
  <c r="F36" i="150"/>
  <c r="C36" i="150"/>
  <c r="B36" i="150"/>
  <c r="D41" i="150" l="1"/>
  <c r="D43" i="150" s="1"/>
  <c r="S70" i="120" l="1"/>
  <c r="S63" i="120"/>
  <c r="G76" i="120"/>
  <c r="G19" i="120"/>
  <c r="S72" i="120" l="1"/>
  <c r="S79" i="120" s="1"/>
  <c r="N183" i="122" l="1"/>
  <c r="I62" i="120" l="1"/>
  <c r="S39" i="120"/>
  <c r="S41" i="120" s="1"/>
  <c r="S49" i="120" s="1"/>
  <c r="S46" i="120"/>
  <c r="B5" i="145" l="1"/>
  <c r="H20" i="147" l="1"/>
  <c r="G20" i="147"/>
  <c r="F20" i="147"/>
  <c r="E20" i="147"/>
  <c r="D20" i="147"/>
  <c r="C20" i="147"/>
  <c r="H19" i="147"/>
  <c r="G19" i="147"/>
  <c r="F19" i="147"/>
  <c r="E19" i="147"/>
  <c r="D19" i="147"/>
  <c r="C19" i="147"/>
  <c r="H18" i="147"/>
  <c r="G18" i="147"/>
  <c r="F18" i="147"/>
  <c r="E18" i="147"/>
  <c r="D18" i="147"/>
  <c r="C18" i="147"/>
  <c r="H17" i="147"/>
  <c r="G17" i="147"/>
  <c r="F17" i="147"/>
  <c r="E17" i="147"/>
  <c r="D17" i="147"/>
  <c r="C17" i="147"/>
  <c r="H16" i="147"/>
  <c r="G16" i="147"/>
  <c r="F16" i="147"/>
  <c r="E16" i="147"/>
  <c r="D16" i="147"/>
  <c r="C16" i="147"/>
  <c r="O23" i="133" l="1"/>
  <c r="R38" i="120" l="1"/>
  <c r="R28" i="120"/>
  <c r="F47" i="135"/>
  <c r="D5" i="141" s="1"/>
  <c r="F46" i="135"/>
  <c r="D4" i="141" s="1"/>
  <c r="F46" i="78"/>
  <c r="F5" i="141" s="1"/>
  <c r="G5" i="141" s="1"/>
  <c r="F45" i="78"/>
  <c r="F4" i="141" s="1"/>
  <c r="F45" i="139"/>
  <c r="F44" i="139"/>
  <c r="G4" i="141" l="1"/>
  <c r="F6" i="141"/>
  <c r="D6" i="141"/>
  <c r="F10" i="141" l="1"/>
  <c r="G6" i="141"/>
  <c r="D14" i="135" l="1"/>
  <c r="J25" i="140"/>
  <c r="D31" i="135"/>
  <c r="D30" i="135"/>
  <c r="D17" i="135"/>
  <c r="T54" i="134"/>
  <c r="S16" i="130" l="1"/>
  <c r="R9" i="130"/>
  <c r="R31" i="129"/>
  <c r="S93" i="129"/>
  <c r="S92" i="129"/>
  <c r="U24" i="94"/>
  <c r="S31" i="129"/>
  <c r="S38" i="129"/>
  <c r="R12" i="129"/>
  <c r="R11" i="129"/>
  <c r="S12" i="129"/>
  <c r="S11" i="129"/>
  <c r="F22" i="139"/>
  <c r="F26" i="139"/>
  <c r="J27" i="140"/>
  <c r="J28" i="140"/>
  <c r="J29" i="140"/>
  <c r="J26" i="140"/>
  <c r="J24" i="140"/>
  <c r="J34" i="140" s="1"/>
  <c r="I31" i="140"/>
  <c r="I32" i="140"/>
  <c r="I30" i="140"/>
  <c r="I18" i="140"/>
  <c r="I34" i="140" s="1"/>
  <c r="I19" i="140"/>
  <c r="I20" i="140"/>
  <c r="I21" i="140"/>
  <c r="I22" i="140"/>
  <c r="I23" i="140"/>
  <c r="I17" i="140"/>
  <c r="H7" i="120" l="1"/>
  <c r="H35" i="120" s="1"/>
  <c r="D8" i="141" l="1"/>
  <c r="D10" i="141" s="1"/>
  <c r="H10" i="141" s="1"/>
  <c r="R21" i="120" s="1"/>
  <c r="R39" i="120" s="1"/>
  <c r="R41" i="120" s="1"/>
  <c r="D14" i="139"/>
  <c r="R49" i="120" l="1"/>
  <c r="R54" i="120" s="1"/>
  <c r="T10" i="122" l="1"/>
  <c r="T11" i="122"/>
  <c r="T12" i="122"/>
  <c r="T14" i="122"/>
  <c r="T137" i="122" s="1"/>
  <c r="T19" i="122"/>
  <c r="T92" i="122" s="1"/>
  <c r="T20" i="122"/>
  <c r="T23" i="122"/>
  <c r="T27" i="122"/>
  <c r="T94" i="122" s="1"/>
  <c r="T28" i="122"/>
  <c r="T109" i="122" s="1"/>
  <c r="T29" i="122"/>
  <c r="T32" i="122"/>
  <c r="T95" i="122" s="1"/>
  <c r="T33" i="122"/>
  <c r="T96" i="122" s="1"/>
  <c r="T34" i="122"/>
  <c r="T97" i="122" s="1"/>
  <c r="T37" i="122"/>
  <c r="T98" i="122" s="1"/>
  <c r="T38" i="122"/>
  <c r="T110" i="122" s="1"/>
  <c r="T39" i="122"/>
  <c r="T123" i="122" s="1"/>
  <c r="T46" i="122"/>
  <c r="T47" i="122"/>
  <c r="T48" i="122"/>
  <c r="T49" i="122"/>
  <c r="T50" i="122"/>
  <c r="T59" i="122"/>
  <c r="T90" i="122"/>
  <c r="T93" i="122"/>
  <c r="T101" i="122"/>
  <c r="T102" i="122"/>
  <c r="T116" i="122"/>
  <c r="T122" i="122"/>
  <c r="T125" i="122"/>
  <c r="T126" i="122"/>
  <c r="T139" i="122"/>
  <c r="T13" i="122" l="1"/>
  <c r="T15" i="122" s="1"/>
  <c r="T121" i="122"/>
  <c r="T124" i="122" s="1"/>
  <c r="T127" i="122" s="1"/>
  <c r="T30" i="122"/>
  <c r="T99" i="122"/>
  <c r="T40" i="122"/>
  <c r="D14" i="78"/>
  <c r="S20" i="129"/>
  <c r="S34" i="129"/>
  <c r="S42" i="129" s="1"/>
  <c r="S52" i="129"/>
  <c r="S53" i="129"/>
  <c r="T63" i="122" s="1"/>
  <c r="S54" i="129"/>
  <c r="T64" i="122" s="1"/>
  <c r="S55" i="129"/>
  <c r="T65" i="122" s="1"/>
  <c r="S56" i="129"/>
  <c r="T66" i="122" s="1"/>
  <c r="S59" i="129"/>
  <c r="T69" i="122" s="1"/>
  <c r="S60" i="129"/>
  <c r="T70" i="122" s="1"/>
  <c r="S61" i="129"/>
  <c r="T71" i="122" s="1"/>
  <c r="S62" i="129"/>
  <c r="T72" i="122" s="1"/>
  <c r="S63" i="129"/>
  <c r="T73" i="122" s="1"/>
  <c r="S67" i="129"/>
  <c r="T77" i="122" s="1"/>
  <c r="S69" i="129"/>
  <c r="S70" i="129"/>
  <c r="T80" i="122" s="1"/>
  <c r="S74" i="129"/>
  <c r="S91" i="129"/>
  <c r="S102" i="129" s="1"/>
  <c r="T79" i="122" s="1"/>
  <c r="S107" i="129"/>
  <c r="S13" i="130"/>
  <c r="S7" i="130"/>
  <c r="S14" i="130"/>
  <c r="T16" i="133"/>
  <c r="T18" i="133" s="1"/>
  <c r="T27" i="133"/>
  <c r="T33" i="133"/>
  <c r="T43" i="133"/>
  <c r="T63" i="133"/>
  <c r="T70" i="133"/>
  <c r="D165" i="132"/>
  <c r="C165" i="132" s="1"/>
  <c r="C174" i="132"/>
  <c r="C175" i="132"/>
  <c r="D187" i="132"/>
  <c r="D188" i="132"/>
  <c r="D191" i="132"/>
  <c r="D198" i="132"/>
  <c r="G34" i="143" l="1"/>
  <c r="B38" i="143" s="1"/>
  <c r="I3" i="143"/>
  <c r="B7" i="143" s="1"/>
  <c r="B8" i="143" s="1"/>
  <c r="K20" i="120" s="1"/>
  <c r="T71" i="133"/>
  <c r="T74" i="133" s="1"/>
  <c r="T78" i="133" s="1"/>
  <c r="T82" i="122" s="1"/>
  <c r="T133" i="122" s="1"/>
  <c r="S57" i="129"/>
  <c r="T62" i="122"/>
  <c r="T67" i="122" s="1"/>
  <c r="T74" i="122"/>
  <c r="S64" i="129"/>
  <c r="S47" i="129"/>
  <c r="T22" i="122"/>
  <c r="S44" i="129"/>
  <c r="T44" i="133"/>
  <c r="T46" i="133" s="1"/>
  <c r="T54" i="133" s="1"/>
  <c r="T79" i="133" s="1"/>
  <c r="D195" i="132"/>
  <c r="D189" i="132"/>
  <c r="E39" i="143" l="1"/>
  <c r="B39" i="143"/>
  <c r="S65" i="129"/>
  <c r="S68" i="129" s="1"/>
  <c r="S72" i="129" s="1"/>
  <c r="T75" i="122"/>
  <c r="T78" i="122" s="1"/>
  <c r="I3" i="144" s="1"/>
  <c r="K58" i="120" s="1"/>
  <c r="T115" i="122"/>
  <c r="T117" i="122" s="1"/>
  <c r="T21" i="122"/>
  <c r="T130" i="122" l="1"/>
  <c r="G33" i="144" s="1"/>
  <c r="T83" i="122"/>
  <c r="T108" i="122"/>
  <c r="T111" i="122" s="1"/>
  <c r="T24" i="122"/>
  <c r="T41" i="122" s="1"/>
  <c r="T43" i="122" s="1"/>
  <c r="T51" i="122" s="1"/>
  <c r="F13" i="110"/>
  <c r="F26" i="135"/>
  <c r="G33" i="142" l="1"/>
  <c r="I3" i="142"/>
  <c r="B7" i="142" s="1"/>
  <c r="B8" i="142" s="1"/>
  <c r="K18" i="120" s="1"/>
  <c r="B37" i="144"/>
  <c r="E38" i="144" s="1"/>
  <c r="B38" i="142"/>
  <c r="B37" i="142"/>
  <c r="E38" i="142" s="1"/>
  <c r="F17" i="120"/>
  <c r="S21" i="134"/>
  <c r="F34" i="78"/>
  <c r="F33" i="78"/>
  <c r="D35" i="135"/>
  <c r="F34" i="135"/>
  <c r="F33" i="135"/>
  <c r="F34" i="139"/>
  <c r="F33" i="139"/>
  <c r="D35" i="139"/>
  <c r="D35" i="78"/>
  <c r="B38" i="144" l="1"/>
  <c r="F15" i="139"/>
  <c r="F14" i="139"/>
  <c r="F15" i="78"/>
  <c r="J24" i="103" l="1"/>
  <c r="I40" i="103"/>
  <c r="I30" i="103"/>
  <c r="H40" i="103"/>
  <c r="H30" i="103"/>
  <c r="G40" i="103"/>
  <c r="G30" i="103"/>
  <c r="F32" i="139" l="1"/>
  <c r="F30" i="139"/>
  <c r="F29" i="139"/>
  <c r="F28" i="139"/>
  <c r="F25" i="139"/>
  <c r="F24" i="139"/>
  <c r="F23" i="139"/>
  <c r="D19" i="139"/>
  <c r="D37" i="139" s="1"/>
  <c r="F18" i="139"/>
  <c r="F17" i="139"/>
  <c r="F13" i="139"/>
  <c r="F12" i="139"/>
  <c r="F11" i="139"/>
  <c r="G57" i="88"/>
  <c r="G56" i="88"/>
  <c r="G31" i="88"/>
  <c r="G29" i="88"/>
  <c r="G28" i="88"/>
  <c r="D38" i="136"/>
  <c r="D30" i="136"/>
  <c r="D28" i="136"/>
  <c r="D27" i="136"/>
  <c r="F35" i="139" l="1"/>
  <c r="H20" i="103"/>
  <c r="F19" i="139"/>
  <c r="H12" i="103"/>
  <c r="H13" i="103" s="1"/>
  <c r="D40" i="136"/>
  <c r="F277" i="132"/>
  <c r="B295" i="132"/>
  <c r="B263" i="132"/>
  <c r="F244" i="132"/>
  <c r="F225" i="132"/>
  <c r="B262" i="132" s="1"/>
  <c r="H19" i="103" l="1"/>
  <c r="H24" i="103" s="1"/>
  <c r="H41" i="103" s="1"/>
  <c r="H14" i="103"/>
  <c r="H15" i="103" s="1"/>
  <c r="F37" i="139"/>
  <c r="F39" i="139" s="1"/>
  <c r="F41" i="139" s="1"/>
  <c r="H27" i="120"/>
  <c r="H30" i="120"/>
  <c r="F15" i="135"/>
  <c r="H43" i="103" l="1"/>
  <c r="H46" i="103" s="1"/>
  <c r="H51" i="103" s="1"/>
  <c r="F54" i="110"/>
  <c r="E28" i="120" l="1"/>
  <c r="R16" i="130"/>
  <c r="R13" i="130"/>
  <c r="G139" i="122" l="1"/>
  <c r="R17" i="130" l="1"/>
  <c r="R19" i="130" s="1"/>
  <c r="S138" i="122" s="1"/>
  <c r="S139" i="122"/>
  <c r="Q16" i="130"/>
  <c r="R139" i="122" s="1"/>
  <c r="R14" i="130"/>
  <c r="R21" i="130" l="1"/>
  <c r="R10" i="130"/>
  <c r="R29" i="134"/>
  <c r="R23" i="130" l="1"/>
  <c r="S90" i="122" l="1"/>
  <c r="S100" i="122"/>
  <c r="S101" i="122"/>
  <c r="S102" i="122"/>
  <c r="S116" i="122"/>
  <c r="S125" i="122"/>
  <c r="S126" i="122"/>
  <c r="R102" i="129"/>
  <c r="R93" i="129"/>
  <c r="R92" i="129"/>
  <c r="R91" i="129"/>
  <c r="Q91" i="129"/>
  <c r="R74" i="129"/>
  <c r="R52" i="129"/>
  <c r="S62" i="122" s="1"/>
  <c r="R53" i="129"/>
  <c r="S63" i="122" s="1"/>
  <c r="R54" i="129"/>
  <c r="S64" i="122" s="1"/>
  <c r="R55" i="129"/>
  <c r="R56" i="129"/>
  <c r="R59" i="129"/>
  <c r="S69" i="122" s="1"/>
  <c r="R60" i="129"/>
  <c r="S70" i="122" s="1"/>
  <c r="R61" i="129"/>
  <c r="S71" i="122" s="1"/>
  <c r="R62" i="129"/>
  <c r="R63" i="129"/>
  <c r="S73" i="122" s="1"/>
  <c r="R67" i="129"/>
  <c r="S77" i="122" s="1"/>
  <c r="R69" i="129"/>
  <c r="R107" i="129" s="1"/>
  <c r="R70" i="129"/>
  <c r="S80" i="122" s="1"/>
  <c r="R34" i="129"/>
  <c r="R35" i="129"/>
  <c r="R20" i="129"/>
  <c r="S59" i="122"/>
  <c r="S65" i="122"/>
  <c r="S66" i="122"/>
  <c r="S11" i="122"/>
  <c r="S10" i="122"/>
  <c r="S12" i="122"/>
  <c r="S14" i="122"/>
  <c r="S137" i="122" s="1"/>
  <c r="S19" i="122"/>
  <c r="S92" i="122" s="1"/>
  <c r="S20" i="122"/>
  <c r="S93" i="122" s="1"/>
  <c r="S23" i="122"/>
  <c r="S121" i="122" s="1"/>
  <c r="S27" i="122"/>
  <c r="S94" i="122" s="1"/>
  <c r="S28" i="122"/>
  <c r="S109" i="122" s="1"/>
  <c r="S29" i="122"/>
  <c r="S122" i="122" s="1"/>
  <c r="S32" i="122"/>
  <c r="S95" i="122" s="1"/>
  <c r="S33" i="122"/>
  <c r="S96" i="122" s="1"/>
  <c r="S34" i="122"/>
  <c r="S97" i="122" s="1"/>
  <c r="S37" i="122"/>
  <c r="S38" i="122"/>
  <c r="S110" i="122" s="1"/>
  <c r="S39" i="122"/>
  <c r="S123" i="122" s="1"/>
  <c r="S46" i="122"/>
  <c r="S47" i="122"/>
  <c r="S48" i="122"/>
  <c r="S49" i="122"/>
  <c r="S50" i="122"/>
  <c r="S70" i="133"/>
  <c r="S63" i="133"/>
  <c r="S43" i="133"/>
  <c r="S33" i="133"/>
  <c r="S27" i="133"/>
  <c r="S16" i="133"/>
  <c r="S18" i="133" s="1"/>
  <c r="R42" i="129" l="1"/>
  <c r="R44" i="129" s="1"/>
  <c r="S22" i="122"/>
  <c r="S21" i="122" s="1"/>
  <c r="S24" i="122" s="1"/>
  <c r="R47" i="129"/>
  <c r="S71" i="133"/>
  <c r="S40" i="122"/>
  <c r="S124" i="122"/>
  <c r="S127" i="122" s="1"/>
  <c r="R64" i="129"/>
  <c r="R57" i="129"/>
  <c r="S98" i="122"/>
  <c r="S99" i="122" s="1"/>
  <c r="S104" i="122" s="1"/>
  <c r="S30" i="122"/>
  <c r="S72" i="122"/>
  <c r="S74" i="122" s="1"/>
  <c r="S140" i="122"/>
  <c r="F2" i="145" s="1"/>
  <c r="S67" i="122"/>
  <c r="S13" i="122"/>
  <c r="S15" i="122" s="1"/>
  <c r="S74" i="133"/>
  <c r="S78" i="133" s="1"/>
  <c r="S82" i="122" s="1"/>
  <c r="S133" i="122" s="1"/>
  <c r="S44" i="133"/>
  <c r="S46" i="133" s="1"/>
  <c r="S54" i="133" s="1"/>
  <c r="H3" i="150" l="1"/>
  <c r="H5" i="150" s="1"/>
  <c r="F34" i="143"/>
  <c r="H3" i="143"/>
  <c r="T171" i="122"/>
  <c r="T187" i="122" s="1"/>
  <c r="T155" i="122"/>
  <c r="T128" i="122"/>
  <c r="T175" i="122"/>
  <c r="T191" i="122" s="1"/>
  <c r="T134" i="122"/>
  <c r="T159" i="122"/>
  <c r="S115" i="122"/>
  <c r="S117" i="122" s="1"/>
  <c r="S108" i="122"/>
  <c r="S111" i="122" s="1"/>
  <c r="R65" i="129"/>
  <c r="R68" i="129" s="1"/>
  <c r="R72" i="129" s="1"/>
  <c r="S75" i="122"/>
  <c r="S78" i="122" s="1"/>
  <c r="S41" i="122"/>
  <c r="S43" i="122" s="1"/>
  <c r="S51" i="122" s="1"/>
  <c r="S79" i="122"/>
  <c r="S79" i="133"/>
  <c r="B44" i="120"/>
  <c r="S130" i="122" l="1"/>
  <c r="F33" i="144" s="1"/>
  <c r="H3" i="144"/>
  <c r="F33" i="142"/>
  <c r="H3" i="142"/>
  <c r="T173" i="122"/>
  <c r="T189" i="122" s="1"/>
  <c r="T157" i="122"/>
  <c r="T153" i="122"/>
  <c r="T112" i="122"/>
  <c r="T169" i="122"/>
  <c r="T185" i="122" s="1"/>
  <c r="S83" i="122"/>
  <c r="T131" i="122" l="1"/>
  <c r="F18" i="87"/>
  <c r="F17" i="87"/>
  <c r="F16" i="87"/>
  <c r="F15" i="87"/>
  <c r="F14" i="87"/>
  <c r="F13" i="87"/>
  <c r="G59" i="122" l="1"/>
  <c r="H59" i="122"/>
  <c r="I59" i="122"/>
  <c r="J59" i="122"/>
  <c r="K59" i="122"/>
  <c r="L59" i="122"/>
  <c r="M59" i="122"/>
  <c r="N59" i="122"/>
  <c r="O59" i="122"/>
  <c r="P59" i="122"/>
  <c r="Q59" i="122"/>
  <c r="R59" i="122"/>
  <c r="F59" i="122"/>
  <c r="A58" i="122"/>
  <c r="A88" i="122" s="1"/>
  <c r="A55" i="122"/>
  <c r="E55" i="122"/>
  <c r="F138" i="122"/>
  <c r="G90" i="122"/>
  <c r="H90" i="122"/>
  <c r="I90" i="122"/>
  <c r="J90" i="122"/>
  <c r="K90" i="122"/>
  <c r="L90" i="122"/>
  <c r="M90" i="122"/>
  <c r="N90" i="122"/>
  <c r="O90" i="122"/>
  <c r="P90" i="122"/>
  <c r="Q90" i="122"/>
  <c r="R90" i="122"/>
  <c r="F90" i="122"/>
  <c r="G116" i="122"/>
  <c r="H116" i="122"/>
  <c r="I116" i="122"/>
  <c r="K116" i="122"/>
  <c r="M116" i="122"/>
  <c r="N116" i="122"/>
  <c r="O116" i="122"/>
  <c r="P116" i="122"/>
  <c r="R116" i="122"/>
  <c r="F116" i="122"/>
  <c r="F74" i="129" l="1"/>
  <c r="G74" i="129"/>
  <c r="H74" i="129"/>
  <c r="I74" i="129"/>
  <c r="J74" i="129"/>
  <c r="K74" i="129"/>
  <c r="L74" i="129"/>
  <c r="M74" i="129"/>
  <c r="N74" i="129"/>
  <c r="O74" i="129"/>
  <c r="P74" i="129"/>
  <c r="Q74" i="129"/>
  <c r="E74" i="129"/>
  <c r="D29" i="103" l="1"/>
  <c r="H39" i="94"/>
  <c r="H34" i="91"/>
  <c r="H31" i="91" l="1"/>
  <c r="H31" i="94"/>
  <c r="D32" i="103"/>
  <c r="D37" i="103"/>
  <c r="H39" i="91"/>
  <c r="H34" i="94"/>
  <c r="F33" i="110"/>
  <c r="F35" i="110" s="1"/>
  <c r="H12" i="91" l="1"/>
  <c r="F37" i="110"/>
  <c r="F39" i="110" s="1"/>
  <c r="H12" i="94"/>
  <c r="U87" i="120" l="1"/>
  <c r="T87" i="120"/>
  <c r="H26" i="126"/>
  <c r="R10" i="122"/>
  <c r="R11" i="122"/>
  <c r="F32" i="135" l="1"/>
  <c r="S27" i="134" s="1"/>
  <c r="F23" i="135"/>
  <c r="S18" i="134" s="1"/>
  <c r="F24" i="135"/>
  <c r="S19" i="134" s="1"/>
  <c r="F25" i="135"/>
  <c r="S20" i="134" s="1"/>
  <c r="F27" i="135"/>
  <c r="S22" i="134" s="1"/>
  <c r="F28" i="135"/>
  <c r="S23" i="134" s="1"/>
  <c r="F29" i="135"/>
  <c r="S24" i="134" s="1"/>
  <c r="F22" i="135"/>
  <c r="S17" i="134" s="1"/>
  <c r="F18" i="135"/>
  <c r="S13" i="134" s="1"/>
  <c r="F13" i="135"/>
  <c r="S11" i="134" s="1"/>
  <c r="F14" i="135"/>
  <c r="F17" i="135"/>
  <c r="S12" i="134" s="1"/>
  <c r="F12" i="135"/>
  <c r="S10" i="134" s="1"/>
  <c r="F11" i="135"/>
  <c r="F9" i="120" l="1"/>
  <c r="S9" i="134"/>
  <c r="S6" i="130" s="1"/>
  <c r="S9" i="130"/>
  <c r="S14" i="134"/>
  <c r="F11" i="120"/>
  <c r="R14" i="134"/>
  <c r="R31" i="134" s="1"/>
  <c r="R33" i="134" s="1"/>
  <c r="I16" i="130"/>
  <c r="J139" i="122" s="1"/>
  <c r="S17" i="130" l="1"/>
  <c r="S10" i="130"/>
  <c r="R35" i="134"/>
  <c r="R54" i="134"/>
  <c r="P16" i="130"/>
  <c r="Q139" i="122" s="1"/>
  <c r="J16" i="130"/>
  <c r="K139" i="122" s="1"/>
  <c r="K16" i="130"/>
  <c r="L139" i="122" s="1"/>
  <c r="L16" i="130"/>
  <c r="M139" i="122" s="1"/>
  <c r="M16" i="130"/>
  <c r="N139" i="122" s="1"/>
  <c r="N16" i="130"/>
  <c r="O139" i="122" s="1"/>
  <c r="O16" i="130"/>
  <c r="P139" i="122" s="1"/>
  <c r="S19" i="130" l="1"/>
  <c r="T138" i="122" s="1"/>
  <c r="T140" i="122" s="1"/>
  <c r="G2" i="145" s="1"/>
  <c r="B6" i="145" s="1"/>
  <c r="B7" i="145" s="1"/>
  <c r="S21" i="130"/>
  <c r="S23" i="130" s="1"/>
  <c r="E17" i="130"/>
  <c r="E19" i="130" s="1"/>
  <c r="F139" i="122" s="1"/>
  <c r="Q9" i="130"/>
  <c r="T141" i="122" l="1"/>
  <c r="T161" i="122"/>
  <c r="T177" i="122"/>
  <c r="T193" i="122" s="1"/>
  <c r="F12" i="78"/>
  <c r="F14" i="78" l="1"/>
  <c r="F30" i="135"/>
  <c r="S25" i="134" s="1"/>
  <c r="F31" i="135" l="1"/>
  <c r="S26" i="134" s="1"/>
  <c r="S29" i="134" s="1"/>
  <c r="D19" i="135"/>
  <c r="O72" i="120"/>
  <c r="R72" i="120"/>
  <c r="J72" i="120"/>
  <c r="J75" i="120" s="1"/>
  <c r="K72" i="120"/>
  <c r="L72" i="120"/>
  <c r="L75" i="120" s="1"/>
  <c r="F70" i="120"/>
  <c r="F63" i="120"/>
  <c r="T100" i="122" l="1"/>
  <c r="T104" i="122" s="1"/>
  <c r="S31" i="134"/>
  <c r="S33" i="134" s="1"/>
  <c r="S54" i="134" s="1"/>
  <c r="F72" i="120"/>
  <c r="F75" i="120" s="1"/>
  <c r="F79" i="120" s="1"/>
  <c r="I74" i="120"/>
  <c r="I7" i="120"/>
  <c r="N7" i="120" s="1"/>
  <c r="I66" i="120"/>
  <c r="I11" i="120"/>
  <c r="N11" i="120" s="1"/>
  <c r="I32" i="120"/>
  <c r="I37" i="120"/>
  <c r="I61" i="120"/>
  <c r="I69" i="120"/>
  <c r="I76" i="120"/>
  <c r="I17" i="120"/>
  <c r="I36" i="120"/>
  <c r="I18" i="120"/>
  <c r="I24" i="120"/>
  <c r="I35" i="120"/>
  <c r="I52" i="120"/>
  <c r="I67" i="120"/>
  <c r="G21" i="120"/>
  <c r="I30" i="120"/>
  <c r="I51" i="120"/>
  <c r="I8" i="120"/>
  <c r="N8" i="120" s="1"/>
  <c r="I59" i="120"/>
  <c r="I9" i="120"/>
  <c r="I25" i="120"/>
  <c r="I31" i="120"/>
  <c r="I58" i="120"/>
  <c r="I60" i="120"/>
  <c r="I68" i="120"/>
  <c r="I77" i="120"/>
  <c r="I20" i="120"/>
  <c r="I27" i="120"/>
  <c r="G28" i="120"/>
  <c r="G38" i="120"/>
  <c r="G10" i="120"/>
  <c r="G12" i="120" s="1"/>
  <c r="I65" i="120"/>
  <c r="I19" i="120"/>
  <c r="G63" i="120"/>
  <c r="G70" i="120"/>
  <c r="H63" i="120"/>
  <c r="H70" i="120"/>
  <c r="F19" i="135"/>
  <c r="F35" i="135"/>
  <c r="D37" i="135"/>
  <c r="D11" i="110"/>
  <c r="F11" i="110" s="1"/>
  <c r="S50" i="120" l="1"/>
  <c r="S54" i="120" s="1"/>
  <c r="I5" i="150"/>
  <c r="I3" i="150"/>
  <c r="T151" i="122"/>
  <c r="T165" i="122"/>
  <c r="T181" i="122" s="1"/>
  <c r="T105" i="122"/>
  <c r="S35" i="134"/>
  <c r="D15" i="110"/>
  <c r="F15" i="110"/>
  <c r="F16" i="120"/>
  <c r="N10" i="120"/>
  <c r="N12" i="120" s="1"/>
  <c r="H30" i="126"/>
  <c r="G72" i="120"/>
  <c r="I10" i="120"/>
  <c r="G39" i="120"/>
  <c r="G41" i="120" s="1"/>
  <c r="G49" i="120" s="1"/>
  <c r="H72" i="120"/>
  <c r="H75" i="120" s="1"/>
  <c r="H79" i="120" s="1"/>
  <c r="F37" i="135"/>
  <c r="U84" i="120" l="1"/>
  <c r="U85" i="120" s="1"/>
  <c r="T84" i="120"/>
  <c r="C9" i="150"/>
  <c r="D9" i="150" s="1"/>
  <c r="C8" i="150"/>
  <c r="K36" i="120"/>
  <c r="I16" i="120"/>
  <c r="F21" i="120"/>
  <c r="G75" i="120"/>
  <c r="G79" i="120" s="1"/>
  <c r="F39" i="135"/>
  <c r="F41" i="135" s="1"/>
  <c r="I47" i="120"/>
  <c r="J47" i="120"/>
  <c r="K47" i="120"/>
  <c r="L47" i="120"/>
  <c r="M47" i="120"/>
  <c r="N47" i="120"/>
  <c r="O47" i="120"/>
  <c r="P47" i="120"/>
  <c r="Q47" i="120"/>
  <c r="R47" i="120"/>
  <c r="T47" i="120"/>
  <c r="F47" i="120"/>
  <c r="G47" i="120"/>
  <c r="H47" i="120"/>
  <c r="E47" i="120"/>
  <c r="F46" i="120"/>
  <c r="H46" i="120"/>
  <c r="I46" i="120"/>
  <c r="J46" i="120"/>
  <c r="K46" i="120"/>
  <c r="L46" i="120"/>
  <c r="M46" i="120"/>
  <c r="N46" i="120"/>
  <c r="O46" i="120"/>
  <c r="P46" i="120"/>
  <c r="Q46" i="120"/>
  <c r="D8" i="150" l="1"/>
  <c r="K16" i="120" s="1"/>
  <c r="H16" i="126"/>
  <c r="F13" i="130"/>
  <c r="G13" i="130"/>
  <c r="H13" i="130"/>
  <c r="I13" i="130"/>
  <c r="J13" i="130"/>
  <c r="K13" i="130"/>
  <c r="L13" i="130"/>
  <c r="M13" i="130"/>
  <c r="N13" i="130"/>
  <c r="O13" i="130"/>
  <c r="P13" i="130"/>
  <c r="Q13" i="130"/>
  <c r="F14" i="130"/>
  <c r="F21" i="130" s="1"/>
  <c r="G14" i="130"/>
  <c r="H14" i="130"/>
  <c r="I14" i="130"/>
  <c r="J14" i="130"/>
  <c r="K14" i="130"/>
  <c r="L14" i="130"/>
  <c r="M14" i="130"/>
  <c r="N14" i="130"/>
  <c r="O14" i="130"/>
  <c r="P14" i="130"/>
  <c r="Q14" i="130"/>
  <c r="E14" i="130"/>
  <c r="E21" i="130" s="1"/>
  <c r="E23" i="130" s="1"/>
  <c r="E13" i="130"/>
  <c r="F29" i="134"/>
  <c r="G100" i="122" s="1"/>
  <c r="G29" i="134"/>
  <c r="H100" i="122" s="1"/>
  <c r="H29" i="134"/>
  <c r="I100" i="122" s="1"/>
  <c r="I29" i="134"/>
  <c r="J100" i="122" s="1"/>
  <c r="J29" i="134"/>
  <c r="K100" i="122" s="1"/>
  <c r="K29" i="134"/>
  <c r="L100" i="122" s="1"/>
  <c r="L29" i="134"/>
  <c r="M100" i="122" s="1"/>
  <c r="M29" i="134"/>
  <c r="N100" i="122" s="1"/>
  <c r="N29" i="134"/>
  <c r="O100" i="122" s="1"/>
  <c r="O29" i="134"/>
  <c r="P100" i="122" s="1"/>
  <c r="P29" i="134"/>
  <c r="Q100" i="122" s="1"/>
  <c r="Q29" i="134"/>
  <c r="R100" i="122" s="1"/>
  <c r="F14" i="134" l="1"/>
  <c r="F31" i="134" s="1"/>
  <c r="G14" i="134"/>
  <c r="G31" i="134" s="1"/>
  <c r="H14" i="134"/>
  <c r="H31" i="134" s="1"/>
  <c r="I14" i="134"/>
  <c r="I31" i="134" s="1"/>
  <c r="J14" i="134"/>
  <c r="J31" i="134" s="1"/>
  <c r="K14" i="134"/>
  <c r="K31" i="134" s="1"/>
  <c r="L14" i="134"/>
  <c r="L31" i="134" s="1"/>
  <c r="M14" i="134"/>
  <c r="M31" i="134" s="1"/>
  <c r="N14" i="134"/>
  <c r="N31" i="134" s="1"/>
  <c r="O14" i="134"/>
  <c r="O31" i="134" s="1"/>
  <c r="P14" i="134"/>
  <c r="P31" i="134" s="1"/>
  <c r="Q14" i="134"/>
  <c r="Q31" i="134" s="1"/>
  <c r="E14" i="134"/>
  <c r="E29" i="134"/>
  <c r="F100" i="122" s="1"/>
  <c r="M33" i="134" l="1"/>
  <c r="P33" i="134"/>
  <c r="L33" i="134"/>
  <c r="H33" i="134"/>
  <c r="H35" i="134" s="1"/>
  <c r="I33" i="134"/>
  <c r="I35" i="134" s="1"/>
  <c r="N33" i="134"/>
  <c r="J33" i="134"/>
  <c r="J54" i="134" s="1"/>
  <c r="F33" i="134"/>
  <c r="F35" i="134" s="1"/>
  <c r="O33" i="134"/>
  <c r="K33" i="134"/>
  <c r="G33" i="134"/>
  <c r="G35" i="134" s="1"/>
  <c r="Q33" i="134"/>
  <c r="E31" i="134"/>
  <c r="E33" i="134" s="1"/>
  <c r="E70" i="120"/>
  <c r="E63" i="120"/>
  <c r="Q12" i="129"/>
  <c r="Q11" i="129"/>
  <c r="P11" i="129"/>
  <c r="P12" i="129"/>
  <c r="F11" i="129"/>
  <c r="G11" i="129"/>
  <c r="H11" i="129"/>
  <c r="I11" i="129"/>
  <c r="J11" i="129"/>
  <c r="K11" i="129"/>
  <c r="L11" i="129"/>
  <c r="M11" i="129"/>
  <c r="N11" i="129"/>
  <c r="O11" i="129"/>
  <c r="E11" i="129"/>
  <c r="G82" i="122"/>
  <c r="G133" i="122" s="1"/>
  <c r="H82" i="122"/>
  <c r="H133" i="122" s="1"/>
  <c r="I82" i="122"/>
  <c r="I133" i="122" s="1"/>
  <c r="J82" i="122"/>
  <c r="J133" i="122" s="1"/>
  <c r="K82" i="122"/>
  <c r="K133" i="122" s="1"/>
  <c r="L82" i="122"/>
  <c r="L133" i="122" s="1"/>
  <c r="M82" i="122"/>
  <c r="M133" i="122" s="1"/>
  <c r="N82" i="122"/>
  <c r="N133" i="122" s="1"/>
  <c r="O82" i="122"/>
  <c r="O133" i="122" s="1"/>
  <c r="P82" i="122"/>
  <c r="P133" i="122" s="1"/>
  <c r="Q82" i="122"/>
  <c r="Q133" i="122" s="1"/>
  <c r="R82" i="122"/>
  <c r="R133" i="122" s="1"/>
  <c r="S175" i="122" s="1"/>
  <c r="S191" i="122" s="1"/>
  <c r="F82" i="122"/>
  <c r="F133" i="122" s="1"/>
  <c r="F69" i="129"/>
  <c r="G69" i="129"/>
  <c r="H69" i="129"/>
  <c r="I69" i="129"/>
  <c r="J69" i="129"/>
  <c r="K69" i="129"/>
  <c r="L69" i="129"/>
  <c r="M69" i="129"/>
  <c r="N69" i="129"/>
  <c r="O69" i="129"/>
  <c r="P69" i="129"/>
  <c r="P107" i="129" s="1"/>
  <c r="Q69" i="129"/>
  <c r="Q107" i="129" s="1"/>
  <c r="F70" i="129"/>
  <c r="G70" i="129"/>
  <c r="H70" i="129"/>
  <c r="I70" i="129"/>
  <c r="J70" i="129"/>
  <c r="K70" i="129"/>
  <c r="L70" i="129"/>
  <c r="M70" i="129"/>
  <c r="N70" i="129"/>
  <c r="O70" i="129"/>
  <c r="P70" i="129"/>
  <c r="Q70" i="129"/>
  <c r="E70" i="129"/>
  <c r="Q59" i="129"/>
  <c r="R69" i="122" s="1"/>
  <c r="Q60" i="129"/>
  <c r="R70" i="122" s="1"/>
  <c r="Q61" i="129"/>
  <c r="R71" i="122" s="1"/>
  <c r="Q62" i="129"/>
  <c r="R72" i="122" s="1"/>
  <c r="Q63" i="129"/>
  <c r="R73" i="122" s="1"/>
  <c r="P60" i="129"/>
  <c r="Q70" i="122" s="1"/>
  <c r="P61" i="129"/>
  <c r="Q71" i="122" s="1"/>
  <c r="P62" i="129"/>
  <c r="Q72" i="122" s="1"/>
  <c r="P63" i="129"/>
  <c r="Q73" i="122" s="1"/>
  <c r="P59" i="129"/>
  <c r="Q69" i="122" s="1"/>
  <c r="P52" i="129"/>
  <c r="Q52" i="129"/>
  <c r="P53" i="129"/>
  <c r="Q53" i="129"/>
  <c r="P54" i="129"/>
  <c r="Q54" i="129"/>
  <c r="P55" i="129"/>
  <c r="Q55" i="129"/>
  <c r="P56" i="129"/>
  <c r="Q56" i="129"/>
  <c r="P67" i="129"/>
  <c r="Q77" i="122" s="1"/>
  <c r="Q67" i="129"/>
  <c r="R77" i="122" s="1"/>
  <c r="F52" i="129"/>
  <c r="G52" i="129"/>
  <c r="H52" i="129"/>
  <c r="I52" i="129"/>
  <c r="J52" i="129"/>
  <c r="K52" i="129"/>
  <c r="L52" i="129"/>
  <c r="M52" i="129"/>
  <c r="N52" i="129"/>
  <c r="O52" i="129"/>
  <c r="F53" i="129"/>
  <c r="G53" i="129"/>
  <c r="H53" i="129"/>
  <c r="I53" i="129"/>
  <c r="J53" i="129"/>
  <c r="K53" i="129"/>
  <c r="L53" i="129"/>
  <c r="M53" i="129"/>
  <c r="N53" i="129"/>
  <c r="O53" i="129"/>
  <c r="F54" i="129"/>
  <c r="G54" i="129"/>
  <c r="H54" i="129"/>
  <c r="I54" i="129"/>
  <c r="J54" i="129"/>
  <c r="K54" i="129"/>
  <c r="L54" i="129"/>
  <c r="M54" i="129"/>
  <c r="N54" i="129"/>
  <c r="O54" i="129"/>
  <c r="F55" i="129"/>
  <c r="G55" i="129"/>
  <c r="H55" i="129"/>
  <c r="I55" i="129"/>
  <c r="J55" i="129"/>
  <c r="K55" i="129"/>
  <c r="L55" i="129"/>
  <c r="M55" i="129"/>
  <c r="N55" i="129"/>
  <c r="O55" i="129"/>
  <c r="F56" i="129"/>
  <c r="G56" i="129"/>
  <c r="H56" i="129"/>
  <c r="I56" i="129"/>
  <c r="J56" i="129"/>
  <c r="K56" i="129"/>
  <c r="L56" i="129"/>
  <c r="M56" i="129"/>
  <c r="N56" i="129"/>
  <c r="O56" i="129"/>
  <c r="F64" i="129"/>
  <c r="G64" i="129"/>
  <c r="H64" i="129"/>
  <c r="I64" i="129"/>
  <c r="J64" i="129"/>
  <c r="K64" i="129"/>
  <c r="L64" i="129"/>
  <c r="M64" i="129"/>
  <c r="N64" i="129"/>
  <c r="O64" i="129"/>
  <c r="F67" i="129"/>
  <c r="G67" i="129"/>
  <c r="H67" i="129"/>
  <c r="I67" i="129"/>
  <c r="J67" i="129"/>
  <c r="K67" i="129"/>
  <c r="L67" i="129"/>
  <c r="M67" i="129"/>
  <c r="N67" i="129"/>
  <c r="O67" i="129"/>
  <c r="E69" i="129"/>
  <c r="E67" i="129"/>
  <c r="E64" i="129"/>
  <c r="E53" i="129"/>
  <c r="E54" i="129"/>
  <c r="E55" i="129"/>
  <c r="E56" i="129"/>
  <c r="E52" i="129"/>
  <c r="G10" i="122"/>
  <c r="H10" i="122"/>
  <c r="I10" i="122"/>
  <c r="J10" i="122"/>
  <c r="K10" i="122"/>
  <c r="L10" i="122"/>
  <c r="M10" i="122"/>
  <c r="N10" i="122"/>
  <c r="O10" i="122"/>
  <c r="P10" i="122"/>
  <c r="Q10" i="122"/>
  <c r="G11" i="122"/>
  <c r="H11" i="122"/>
  <c r="I11" i="122"/>
  <c r="J11" i="122"/>
  <c r="K11" i="122"/>
  <c r="L11" i="122"/>
  <c r="M11" i="122"/>
  <c r="N11" i="122"/>
  <c r="O11" i="122"/>
  <c r="P11" i="122"/>
  <c r="Q11" i="122"/>
  <c r="G12" i="122"/>
  <c r="H12" i="122"/>
  <c r="I12" i="122"/>
  <c r="J12" i="122"/>
  <c r="K12" i="122"/>
  <c r="L12" i="122"/>
  <c r="M12" i="122"/>
  <c r="N12" i="122"/>
  <c r="O12" i="122"/>
  <c r="P12" i="122"/>
  <c r="Q12" i="122"/>
  <c r="R12" i="122"/>
  <c r="R13" i="122" s="1"/>
  <c r="G14" i="122"/>
  <c r="G137" i="122" s="1"/>
  <c r="H14" i="122"/>
  <c r="H137" i="122" s="1"/>
  <c r="I14" i="122"/>
  <c r="I137" i="122" s="1"/>
  <c r="J14" i="122"/>
  <c r="J137" i="122" s="1"/>
  <c r="K14" i="122"/>
  <c r="K137" i="122" s="1"/>
  <c r="L14" i="122"/>
  <c r="L137" i="122" s="1"/>
  <c r="M14" i="122"/>
  <c r="M137" i="122" s="1"/>
  <c r="N14" i="122"/>
  <c r="N137" i="122" s="1"/>
  <c r="O14" i="122"/>
  <c r="O137" i="122" s="1"/>
  <c r="P14" i="122"/>
  <c r="P137" i="122" s="1"/>
  <c r="Q14" i="122"/>
  <c r="Q137" i="122" s="1"/>
  <c r="R14" i="122"/>
  <c r="R137" i="122" s="1"/>
  <c r="G19" i="122"/>
  <c r="G92" i="122" s="1"/>
  <c r="H19" i="122"/>
  <c r="H92" i="122" s="1"/>
  <c r="I19" i="122"/>
  <c r="I92" i="122" s="1"/>
  <c r="J19" i="122"/>
  <c r="J92" i="122" s="1"/>
  <c r="K19" i="122"/>
  <c r="K92" i="122" s="1"/>
  <c r="L19" i="122"/>
  <c r="L92" i="122" s="1"/>
  <c r="M19" i="122"/>
  <c r="M92" i="122" s="1"/>
  <c r="N19" i="122"/>
  <c r="N92" i="122" s="1"/>
  <c r="O19" i="122"/>
  <c r="O92" i="122" s="1"/>
  <c r="P19" i="122"/>
  <c r="P92" i="122" s="1"/>
  <c r="Q19" i="122"/>
  <c r="Q92" i="122" s="1"/>
  <c r="R19" i="122"/>
  <c r="R92" i="122" s="1"/>
  <c r="G20" i="122"/>
  <c r="G93" i="122" s="1"/>
  <c r="H20" i="122"/>
  <c r="H93" i="122" s="1"/>
  <c r="I20" i="122"/>
  <c r="I93" i="122" s="1"/>
  <c r="J20" i="122"/>
  <c r="J93" i="122" s="1"/>
  <c r="K20" i="122"/>
  <c r="K93" i="122" s="1"/>
  <c r="L20" i="122"/>
  <c r="L93" i="122" s="1"/>
  <c r="M20" i="122"/>
  <c r="M93" i="122" s="1"/>
  <c r="N20" i="122"/>
  <c r="N93" i="122" s="1"/>
  <c r="O20" i="122"/>
  <c r="O93" i="122" s="1"/>
  <c r="P20" i="122"/>
  <c r="P93" i="122" s="1"/>
  <c r="Q20" i="122"/>
  <c r="Q93" i="122" s="1"/>
  <c r="R20" i="122"/>
  <c r="R93" i="122" s="1"/>
  <c r="G23" i="122"/>
  <c r="G121" i="122" s="1"/>
  <c r="H23" i="122"/>
  <c r="H121" i="122" s="1"/>
  <c r="I23" i="122"/>
  <c r="I121" i="122" s="1"/>
  <c r="J23" i="122"/>
  <c r="J121" i="122" s="1"/>
  <c r="K23" i="122"/>
  <c r="K121" i="122" s="1"/>
  <c r="L23" i="122"/>
  <c r="L121" i="122" s="1"/>
  <c r="M23" i="122"/>
  <c r="M121" i="122" s="1"/>
  <c r="N23" i="122"/>
  <c r="N121" i="122" s="1"/>
  <c r="O23" i="122"/>
  <c r="O121" i="122" s="1"/>
  <c r="P23" i="122"/>
  <c r="P121" i="122" s="1"/>
  <c r="Q23" i="122"/>
  <c r="Q121" i="122" s="1"/>
  <c r="R23" i="122"/>
  <c r="R121" i="122" s="1"/>
  <c r="G27" i="122"/>
  <c r="G94" i="122" s="1"/>
  <c r="H27" i="122"/>
  <c r="H94" i="122" s="1"/>
  <c r="I27" i="122"/>
  <c r="I94" i="122" s="1"/>
  <c r="J27" i="122"/>
  <c r="J94" i="122" s="1"/>
  <c r="K27" i="122"/>
  <c r="K94" i="122" s="1"/>
  <c r="L27" i="122"/>
  <c r="L94" i="122" s="1"/>
  <c r="M27" i="122"/>
  <c r="M94" i="122" s="1"/>
  <c r="N27" i="122"/>
  <c r="N94" i="122" s="1"/>
  <c r="O27" i="122"/>
  <c r="O94" i="122" s="1"/>
  <c r="P27" i="122"/>
  <c r="P94" i="122" s="1"/>
  <c r="Q27" i="122"/>
  <c r="Q94" i="122" s="1"/>
  <c r="R27" i="122"/>
  <c r="R94" i="122" s="1"/>
  <c r="G28" i="122"/>
  <c r="G109" i="122" s="1"/>
  <c r="H28" i="122"/>
  <c r="H109" i="122" s="1"/>
  <c r="I28" i="122"/>
  <c r="I109" i="122" s="1"/>
  <c r="J28" i="122"/>
  <c r="J109" i="122" s="1"/>
  <c r="K28" i="122"/>
  <c r="K109" i="122" s="1"/>
  <c r="L28" i="122"/>
  <c r="L109" i="122" s="1"/>
  <c r="M28" i="122"/>
  <c r="M109" i="122" s="1"/>
  <c r="N28" i="122"/>
  <c r="N109" i="122" s="1"/>
  <c r="O28" i="122"/>
  <c r="O109" i="122" s="1"/>
  <c r="P28" i="122"/>
  <c r="P109" i="122" s="1"/>
  <c r="Q28" i="122"/>
  <c r="Q109" i="122" s="1"/>
  <c r="R28" i="122"/>
  <c r="R109" i="122" s="1"/>
  <c r="G29" i="122"/>
  <c r="G122" i="122" s="1"/>
  <c r="H29" i="122"/>
  <c r="H122" i="122" s="1"/>
  <c r="I29" i="122"/>
  <c r="I122" i="122" s="1"/>
  <c r="J29" i="122"/>
  <c r="J122" i="122" s="1"/>
  <c r="K29" i="122"/>
  <c r="K122" i="122" s="1"/>
  <c r="L29" i="122"/>
  <c r="L122" i="122" s="1"/>
  <c r="M29" i="122"/>
  <c r="M122" i="122" s="1"/>
  <c r="N29" i="122"/>
  <c r="N122" i="122" s="1"/>
  <c r="O29" i="122"/>
  <c r="O122" i="122" s="1"/>
  <c r="P29" i="122"/>
  <c r="P122" i="122" s="1"/>
  <c r="Q29" i="122"/>
  <c r="Q122" i="122" s="1"/>
  <c r="R29" i="122"/>
  <c r="R122" i="122" s="1"/>
  <c r="G32" i="122"/>
  <c r="G95" i="122" s="1"/>
  <c r="H32" i="122"/>
  <c r="H95" i="122" s="1"/>
  <c r="I32" i="122"/>
  <c r="I95" i="122" s="1"/>
  <c r="J32" i="122"/>
  <c r="J95" i="122" s="1"/>
  <c r="K32" i="122"/>
  <c r="K95" i="122" s="1"/>
  <c r="L32" i="122"/>
  <c r="L95" i="122" s="1"/>
  <c r="M32" i="122"/>
  <c r="M95" i="122" s="1"/>
  <c r="N32" i="122"/>
  <c r="N95" i="122" s="1"/>
  <c r="O32" i="122"/>
  <c r="O95" i="122" s="1"/>
  <c r="P32" i="122"/>
  <c r="P95" i="122" s="1"/>
  <c r="Q32" i="122"/>
  <c r="Q95" i="122" s="1"/>
  <c r="R32" i="122"/>
  <c r="R95" i="122" s="1"/>
  <c r="G33" i="122"/>
  <c r="G96" i="122" s="1"/>
  <c r="H33" i="122"/>
  <c r="H96" i="122" s="1"/>
  <c r="I33" i="122"/>
  <c r="I96" i="122" s="1"/>
  <c r="J33" i="122"/>
  <c r="J96" i="122" s="1"/>
  <c r="K33" i="122"/>
  <c r="K96" i="122" s="1"/>
  <c r="L33" i="122"/>
  <c r="L96" i="122" s="1"/>
  <c r="M33" i="122"/>
  <c r="M96" i="122" s="1"/>
  <c r="N33" i="122"/>
  <c r="N96" i="122" s="1"/>
  <c r="O33" i="122"/>
  <c r="O96" i="122" s="1"/>
  <c r="P33" i="122"/>
  <c r="P96" i="122" s="1"/>
  <c r="Q33" i="122"/>
  <c r="Q96" i="122" s="1"/>
  <c r="R33" i="122"/>
  <c r="R96" i="122" s="1"/>
  <c r="G34" i="122"/>
  <c r="G97" i="122" s="1"/>
  <c r="H34" i="122"/>
  <c r="H97" i="122" s="1"/>
  <c r="I34" i="122"/>
  <c r="I97" i="122" s="1"/>
  <c r="J34" i="122"/>
  <c r="J97" i="122" s="1"/>
  <c r="K34" i="122"/>
  <c r="K97" i="122" s="1"/>
  <c r="L34" i="122"/>
  <c r="L97" i="122" s="1"/>
  <c r="M34" i="122"/>
  <c r="M97" i="122" s="1"/>
  <c r="N34" i="122"/>
  <c r="N97" i="122" s="1"/>
  <c r="O34" i="122"/>
  <c r="O97" i="122" s="1"/>
  <c r="P34" i="122"/>
  <c r="P97" i="122" s="1"/>
  <c r="Q34" i="122"/>
  <c r="Q97" i="122" s="1"/>
  <c r="R34" i="122"/>
  <c r="R97" i="122" s="1"/>
  <c r="G37" i="122"/>
  <c r="G98" i="122" s="1"/>
  <c r="H37" i="122"/>
  <c r="H98" i="122" s="1"/>
  <c r="I37" i="122"/>
  <c r="I98" i="122" s="1"/>
  <c r="J37" i="122"/>
  <c r="J98" i="122" s="1"/>
  <c r="K37" i="122"/>
  <c r="K98" i="122" s="1"/>
  <c r="L37" i="122"/>
  <c r="L98" i="122" s="1"/>
  <c r="M37" i="122"/>
  <c r="M98" i="122" s="1"/>
  <c r="N37" i="122"/>
  <c r="N98" i="122" s="1"/>
  <c r="O37" i="122"/>
  <c r="O98" i="122" s="1"/>
  <c r="P37" i="122"/>
  <c r="P98" i="122" s="1"/>
  <c r="Q37" i="122"/>
  <c r="Q98" i="122" s="1"/>
  <c r="R37" i="122"/>
  <c r="R98" i="122" s="1"/>
  <c r="G38" i="122"/>
  <c r="G110" i="122" s="1"/>
  <c r="H38" i="122"/>
  <c r="H110" i="122" s="1"/>
  <c r="I38" i="122"/>
  <c r="I110" i="122" s="1"/>
  <c r="J38" i="122"/>
  <c r="J110" i="122" s="1"/>
  <c r="K38" i="122"/>
  <c r="K110" i="122" s="1"/>
  <c r="L38" i="122"/>
  <c r="L110" i="122" s="1"/>
  <c r="M38" i="122"/>
  <c r="M110" i="122" s="1"/>
  <c r="N38" i="122"/>
  <c r="N110" i="122" s="1"/>
  <c r="O38" i="122"/>
  <c r="O110" i="122" s="1"/>
  <c r="P38" i="122"/>
  <c r="P110" i="122" s="1"/>
  <c r="Q38" i="122"/>
  <c r="Q110" i="122" s="1"/>
  <c r="R38" i="122"/>
  <c r="R110" i="122" s="1"/>
  <c r="G39" i="122"/>
  <c r="G123" i="122" s="1"/>
  <c r="H39" i="122"/>
  <c r="H123" i="122" s="1"/>
  <c r="I39" i="122"/>
  <c r="I123" i="122" s="1"/>
  <c r="J39" i="122"/>
  <c r="J123" i="122" s="1"/>
  <c r="K39" i="122"/>
  <c r="K123" i="122" s="1"/>
  <c r="L39" i="122"/>
  <c r="L123" i="122" s="1"/>
  <c r="M39" i="122"/>
  <c r="M123" i="122" s="1"/>
  <c r="N39" i="122"/>
  <c r="N123" i="122" s="1"/>
  <c r="O39" i="122"/>
  <c r="O123" i="122" s="1"/>
  <c r="P39" i="122"/>
  <c r="P123" i="122" s="1"/>
  <c r="Q39" i="122"/>
  <c r="Q123" i="122" s="1"/>
  <c r="R39" i="122"/>
  <c r="R123" i="122" s="1"/>
  <c r="G40" i="122"/>
  <c r="H40" i="122"/>
  <c r="I40" i="122"/>
  <c r="J40" i="122"/>
  <c r="K40" i="122"/>
  <c r="L40" i="122"/>
  <c r="M40" i="122"/>
  <c r="N40" i="122"/>
  <c r="O40" i="122"/>
  <c r="P40" i="122"/>
  <c r="Q40" i="122"/>
  <c r="G46" i="122"/>
  <c r="H46" i="122"/>
  <c r="I46" i="122"/>
  <c r="J46" i="122"/>
  <c r="K46" i="122"/>
  <c r="L46" i="122"/>
  <c r="M46" i="122"/>
  <c r="N46" i="122"/>
  <c r="O46" i="122"/>
  <c r="P46" i="122"/>
  <c r="Q46" i="122"/>
  <c r="R46" i="122"/>
  <c r="G47" i="122"/>
  <c r="H47" i="122"/>
  <c r="I47" i="122"/>
  <c r="J47" i="122"/>
  <c r="K47" i="122"/>
  <c r="L47" i="122"/>
  <c r="M47" i="122"/>
  <c r="N47" i="122"/>
  <c r="O47" i="122"/>
  <c r="P47" i="122"/>
  <c r="Q47" i="122"/>
  <c r="R47" i="122"/>
  <c r="G48" i="122"/>
  <c r="H48" i="122"/>
  <c r="I48" i="122"/>
  <c r="J48" i="122"/>
  <c r="K48" i="122"/>
  <c r="L48" i="122"/>
  <c r="M48" i="122"/>
  <c r="N48" i="122"/>
  <c r="O48" i="122"/>
  <c r="P48" i="122"/>
  <c r="Q48" i="122"/>
  <c r="R48" i="122"/>
  <c r="G49" i="122"/>
  <c r="H49" i="122"/>
  <c r="I49" i="122"/>
  <c r="J49" i="122"/>
  <c r="K49" i="122"/>
  <c r="L49" i="122"/>
  <c r="M49" i="122"/>
  <c r="N49" i="122"/>
  <c r="O49" i="122"/>
  <c r="P49" i="122"/>
  <c r="Q49" i="122"/>
  <c r="R49" i="122"/>
  <c r="G50" i="122"/>
  <c r="H50" i="122"/>
  <c r="I50" i="122"/>
  <c r="J50" i="122"/>
  <c r="K50" i="122"/>
  <c r="L50" i="122"/>
  <c r="M50" i="122"/>
  <c r="N50" i="122"/>
  <c r="O50" i="122"/>
  <c r="P50" i="122"/>
  <c r="Q50" i="122"/>
  <c r="R50" i="122"/>
  <c r="F47" i="122"/>
  <c r="F48" i="122"/>
  <c r="F49" i="122"/>
  <c r="F50" i="122"/>
  <c r="F46" i="122"/>
  <c r="F38" i="122"/>
  <c r="F110" i="122" s="1"/>
  <c r="F39" i="122"/>
  <c r="F123" i="122" s="1"/>
  <c r="F37" i="122"/>
  <c r="F98" i="122" s="1"/>
  <c r="F34" i="122"/>
  <c r="F97" i="122" s="1"/>
  <c r="F33" i="122"/>
  <c r="F96" i="122" s="1"/>
  <c r="F32" i="122"/>
  <c r="F95" i="122" s="1"/>
  <c r="F28" i="122"/>
  <c r="F109" i="122" s="1"/>
  <c r="F29" i="122"/>
  <c r="F122" i="122" s="1"/>
  <c r="F27" i="122"/>
  <c r="F94" i="122" s="1"/>
  <c r="F23" i="122"/>
  <c r="F121" i="122" s="1"/>
  <c r="F20" i="122"/>
  <c r="F93" i="122" s="1"/>
  <c r="F19" i="122"/>
  <c r="F92" i="122" s="1"/>
  <c r="F12" i="122"/>
  <c r="F14" i="122"/>
  <c r="F137" i="122" s="1"/>
  <c r="F140" i="122" s="1"/>
  <c r="F11" i="122"/>
  <c r="F10" i="122"/>
  <c r="R79" i="133"/>
  <c r="O79" i="133"/>
  <c r="N79" i="133"/>
  <c r="K79" i="133"/>
  <c r="J79" i="133"/>
  <c r="G79" i="133"/>
  <c r="F79" i="133"/>
  <c r="Q79" i="133"/>
  <c r="P79" i="133"/>
  <c r="M79" i="133"/>
  <c r="L79" i="133"/>
  <c r="I79" i="133"/>
  <c r="H79" i="133"/>
  <c r="F22" i="87"/>
  <c r="F21" i="87"/>
  <c r="F20" i="87"/>
  <c r="G32" i="132"/>
  <c r="G33" i="132"/>
  <c r="R175" i="122" l="1"/>
  <c r="R191" i="122" s="1"/>
  <c r="N175" i="122"/>
  <c r="N191" i="122" s="1"/>
  <c r="J175" i="122"/>
  <c r="J191" i="122" s="1"/>
  <c r="O175" i="122"/>
  <c r="O191" i="122" s="1"/>
  <c r="K175" i="122"/>
  <c r="K191" i="122" s="1"/>
  <c r="P175" i="122"/>
  <c r="P191" i="122" s="1"/>
  <c r="L175" i="122"/>
  <c r="L191" i="122" s="1"/>
  <c r="H175" i="122"/>
  <c r="H191" i="122" s="1"/>
  <c r="Q175" i="122"/>
  <c r="Q191" i="122" s="1"/>
  <c r="M175" i="122"/>
  <c r="M191" i="122" s="1"/>
  <c r="I175" i="122"/>
  <c r="I191" i="122" s="1"/>
  <c r="Q35" i="134"/>
  <c r="Q54" i="134"/>
  <c r="M35" i="134"/>
  <c r="M54" i="134"/>
  <c r="O35" i="134"/>
  <c r="O54" i="134"/>
  <c r="N35" i="134"/>
  <c r="N54" i="134"/>
  <c r="P35" i="134"/>
  <c r="P54" i="134"/>
  <c r="K35" i="134"/>
  <c r="K54" i="134"/>
  <c r="L35" i="134"/>
  <c r="L54" i="134"/>
  <c r="J35" i="134"/>
  <c r="N57" i="129"/>
  <c r="N65" i="129" s="1"/>
  <c r="N68" i="129" s="1"/>
  <c r="N72" i="129" s="1"/>
  <c r="F57" i="129"/>
  <c r="F65" i="129" s="1"/>
  <c r="F68" i="129" s="1"/>
  <c r="F72" i="129" s="1"/>
  <c r="S134" i="122"/>
  <c r="S159" i="122"/>
  <c r="E35" i="134"/>
  <c r="E57" i="129"/>
  <c r="J57" i="129"/>
  <c r="J65" i="129" s="1"/>
  <c r="J68" i="129" s="1"/>
  <c r="J72" i="129" s="1"/>
  <c r="I57" i="129"/>
  <c r="I65" i="129" s="1"/>
  <c r="I68" i="129" s="1"/>
  <c r="I72" i="129" s="1"/>
  <c r="Q74" i="122"/>
  <c r="M57" i="129"/>
  <c r="M65" i="129" s="1"/>
  <c r="M68" i="129" s="1"/>
  <c r="M72" i="129" s="1"/>
  <c r="R74" i="122"/>
  <c r="I30" i="122"/>
  <c r="N30" i="122"/>
  <c r="G30" i="122"/>
  <c r="R40" i="122"/>
  <c r="J30" i="122"/>
  <c r="P159" i="122"/>
  <c r="H159" i="122"/>
  <c r="Q159" i="122"/>
  <c r="M159" i="122"/>
  <c r="I159" i="122"/>
  <c r="O159" i="122"/>
  <c r="K159" i="122"/>
  <c r="R30" i="122"/>
  <c r="M30" i="122"/>
  <c r="L159" i="122"/>
  <c r="N159" i="122"/>
  <c r="J159" i="122"/>
  <c r="P124" i="122"/>
  <c r="P30" i="122"/>
  <c r="Q30" i="122"/>
  <c r="L30" i="122"/>
  <c r="R159" i="122"/>
  <c r="O30" i="122"/>
  <c r="K30" i="122"/>
  <c r="H30" i="122"/>
  <c r="G13" i="122"/>
  <c r="G15" i="122" s="1"/>
  <c r="O13" i="122"/>
  <c r="O15" i="122" s="1"/>
  <c r="F124" i="122"/>
  <c r="R134" i="122"/>
  <c r="N134" i="122"/>
  <c r="J134" i="122"/>
  <c r="Q134" i="122"/>
  <c r="M134" i="122"/>
  <c r="I134" i="122"/>
  <c r="K134" i="122"/>
  <c r="G134" i="122"/>
  <c r="P134" i="122"/>
  <c r="L134" i="122"/>
  <c r="H134" i="122"/>
  <c r="O134" i="122"/>
  <c r="M124" i="122"/>
  <c r="R124" i="122"/>
  <c r="J124" i="122"/>
  <c r="J127" i="122" s="1"/>
  <c r="K171" i="122" s="1"/>
  <c r="K187" i="122" s="1"/>
  <c r="O124" i="122"/>
  <c r="K124" i="122"/>
  <c r="G124" i="122"/>
  <c r="Q124" i="122"/>
  <c r="I124" i="122"/>
  <c r="N124" i="122"/>
  <c r="L124" i="122"/>
  <c r="L127" i="122" s="1"/>
  <c r="M171" i="122" s="1"/>
  <c r="M187" i="122" s="1"/>
  <c r="H124" i="122"/>
  <c r="N99" i="122"/>
  <c r="K99" i="122"/>
  <c r="Q99" i="122"/>
  <c r="M99" i="122"/>
  <c r="I99" i="122"/>
  <c r="R99" i="122"/>
  <c r="J99" i="122"/>
  <c r="J104" i="122" s="1"/>
  <c r="F99" i="122"/>
  <c r="O99" i="122"/>
  <c r="G99" i="122"/>
  <c r="P99" i="122"/>
  <c r="L99" i="122"/>
  <c r="H99" i="122"/>
  <c r="F30" i="122"/>
  <c r="K13" i="122"/>
  <c r="K15" i="122" s="1"/>
  <c r="F40" i="122"/>
  <c r="J13" i="122"/>
  <c r="J15" i="122" s="1"/>
  <c r="M13" i="122"/>
  <c r="M15" i="122" s="1"/>
  <c r="N13" i="122"/>
  <c r="N15" i="122" s="1"/>
  <c r="Q13" i="122"/>
  <c r="Q15" i="122" s="1"/>
  <c r="I13" i="122"/>
  <c r="I15" i="122" s="1"/>
  <c r="O57" i="129"/>
  <c r="O65" i="129" s="1"/>
  <c r="O68" i="129" s="1"/>
  <c r="O72" i="129" s="1"/>
  <c r="K57" i="129"/>
  <c r="K65" i="129" s="1"/>
  <c r="K68" i="129" s="1"/>
  <c r="K72" i="129" s="1"/>
  <c r="G57" i="129"/>
  <c r="G65" i="129" s="1"/>
  <c r="G68" i="129" s="1"/>
  <c r="G72" i="129" s="1"/>
  <c r="Q57" i="129"/>
  <c r="Q64" i="129"/>
  <c r="F13" i="122"/>
  <c r="F15" i="122" s="1"/>
  <c r="P13" i="122"/>
  <c r="P15" i="122" s="1"/>
  <c r="L13" i="122"/>
  <c r="L15" i="122" s="1"/>
  <c r="H13" i="122"/>
  <c r="H15" i="122" s="1"/>
  <c r="L57" i="129"/>
  <c r="L65" i="129" s="1"/>
  <c r="L68" i="129" s="1"/>
  <c r="L72" i="129" s="1"/>
  <c r="H57" i="129"/>
  <c r="H65" i="129" s="1"/>
  <c r="H68" i="129" s="1"/>
  <c r="H72" i="129" s="1"/>
  <c r="P64" i="129"/>
  <c r="P57" i="129"/>
  <c r="E72" i="120"/>
  <c r="E75" i="120" s="1"/>
  <c r="E79" i="120" s="1"/>
  <c r="R15" i="122"/>
  <c r="B264" i="132"/>
  <c r="C210" i="132"/>
  <c r="B209" i="132"/>
  <c r="F198" i="132"/>
  <c r="E198" i="132"/>
  <c r="F191" i="132"/>
  <c r="E191" i="132"/>
  <c r="I177" i="132"/>
  <c r="I180" i="132" s="1"/>
  <c r="F173" i="132"/>
  <c r="C173" i="132" s="1"/>
  <c r="C145" i="132"/>
  <c r="I142" i="132"/>
  <c r="C138" i="132"/>
  <c r="H187" i="132"/>
  <c r="F187" i="132"/>
  <c r="E187" i="132"/>
  <c r="D142" i="132"/>
  <c r="I128" i="132"/>
  <c r="G128" i="132"/>
  <c r="I124" i="132"/>
  <c r="I127" i="132" s="1"/>
  <c r="C121" i="132"/>
  <c r="C120" i="132"/>
  <c r="H172" i="132"/>
  <c r="F172" i="132"/>
  <c r="C116" i="132"/>
  <c r="C112" i="132"/>
  <c r="B95" i="132"/>
  <c r="L104" i="122" l="1"/>
  <c r="M165" i="122" s="1"/>
  <c r="M181" i="122" s="1"/>
  <c r="C198" i="132"/>
  <c r="C187" i="132"/>
  <c r="C191" i="132"/>
  <c r="Q65" i="129"/>
  <c r="Q68" i="129" s="1"/>
  <c r="Q72" i="129" s="1"/>
  <c r="P65" i="129"/>
  <c r="P68" i="129" s="1"/>
  <c r="P72" i="129" s="1"/>
  <c r="I130" i="132"/>
  <c r="I150" i="132" s="1"/>
  <c r="I152" i="132" s="1"/>
  <c r="H142" i="132"/>
  <c r="C119" i="132"/>
  <c r="H195" i="132"/>
  <c r="F195" i="132"/>
  <c r="E195" i="132"/>
  <c r="F142" i="132"/>
  <c r="E172" i="132"/>
  <c r="C172" i="132" s="1"/>
  <c r="C134" i="132"/>
  <c r="E142" i="132"/>
  <c r="C122" i="132"/>
  <c r="C195" i="132" l="1"/>
  <c r="I205" i="132"/>
  <c r="H18" i="87"/>
  <c r="C142" i="132"/>
  <c r="L56" i="132"/>
  <c r="L55" i="132"/>
  <c r="I41" i="132"/>
  <c r="I181" i="132" s="1"/>
  <c r="I183" i="132" s="1"/>
  <c r="I203" i="132" s="1"/>
  <c r="I204" i="132" s="1"/>
  <c r="I207" i="132" s="1"/>
  <c r="I208" i="132" s="1"/>
  <c r="G41" i="132"/>
  <c r="G181" i="132" s="1"/>
  <c r="I38" i="132"/>
  <c r="H38" i="132"/>
  <c r="G38" i="132"/>
  <c r="F38" i="132"/>
  <c r="E38" i="132"/>
  <c r="D38" i="132"/>
  <c r="H35" i="132"/>
  <c r="G35" i="132"/>
  <c r="F35" i="132"/>
  <c r="E35" i="132"/>
  <c r="D35" i="132"/>
  <c r="I34" i="132"/>
  <c r="H34" i="132"/>
  <c r="G34" i="132"/>
  <c r="F34" i="132"/>
  <c r="E34" i="132"/>
  <c r="D34" i="132"/>
  <c r="D169" i="132" s="1"/>
  <c r="C169" i="132" s="1"/>
  <c r="I33" i="132"/>
  <c r="H33" i="132"/>
  <c r="F33" i="132"/>
  <c r="E33" i="132"/>
  <c r="I32" i="132"/>
  <c r="I31" i="132"/>
  <c r="E22" i="87"/>
  <c r="G22" i="87" s="1"/>
  <c r="E20" i="87"/>
  <c r="G20" i="87" s="1"/>
  <c r="E11" i="87"/>
  <c r="E9" i="87"/>
  <c r="E8" i="87"/>
  <c r="E7" i="87"/>
  <c r="I21" i="132"/>
  <c r="I44" i="132" s="1"/>
  <c r="H21" i="132"/>
  <c r="H44" i="132" s="1"/>
  <c r="G21" i="132"/>
  <c r="G44" i="132" s="1"/>
  <c r="F21" i="132"/>
  <c r="F44" i="132" s="1"/>
  <c r="E21" i="132"/>
  <c r="E44" i="132" s="1"/>
  <c r="D21" i="132"/>
  <c r="D44" i="132" s="1"/>
  <c r="F41" i="132"/>
  <c r="E41" i="132"/>
  <c r="I14" i="132"/>
  <c r="I17" i="132" s="1"/>
  <c r="I20" i="132" s="1"/>
  <c r="I23" i="132" s="1"/>
  <c r="E18" i="87" s="1"/>
  <c r="N10" i="132"/>
  <c r="L57" i="132" s="1"/>
  <c r="N9" i="132"/>
  <c r="E32" i="132"/>
  <c r="G31" i="132"/>
  <c r="E31" i="132"/>
  <c r="B2" i="132"/>
  <c r="C38" i="132" l="1"/>
  <c r="D178" i="132"/>
  <c r="P6" i="132"/>
  <c r="B163" i="132"/>
  <c r="B183" i="132"/>
  <c r="B203" i="132"/>
  <c r="G37" i="132"/>
  <c r="G40" i="132" s="1"/>
  <c r="G43" i="132" s="1"/>
  <c r="G46" i="132" s="1"/>
  <c r="D14" i="132"/>
  <c r="D17" i="132" s="1"/>
  <c r="D48" i="132"/>
  <c r="D164" i="132" s="1"/>
  <c r="G48" i="132"/>
  <c r="E10" i="87"/>
  <c r="F50" i="132"/>
  <c r="E21" i="87"/>
  <c r="G21" i="87" s="1"/>
  <c r="C44" i="132"/>
  <c r="F14" i="132"/>
  <c r="F17" i="132" s="1"/>
  <c r="F20" i="132" s="1"/>
  <c r="F23" i="132" s="1"/>
  <c r="E15" i="87" s="1"/>
  <c r="H48" i="132"/>
  <c r="D250" i="132"/>
  <c r="L59" i="132"/>
  <c r="L58" i="132"/>
  <c r="D249" i="132"/>
  <c r="E37" i="132"/>
  <c r="E40" i="132" s="1"/>
  <c r="E43" i="132" s="1"/>
  <c r="E46" i="132" s="1"/>
  <c r="B110" i="132"/>
  <c r="B130" i="132"/>
  <c r="E14" i="132"/>
  <c r="E17" i="132" s="1"/>
  <c r="E20" i="132" s="1"/>
  <c r="E23" i="132" s="1"/>
  <c r="E14" i="87" s="1"/>
  <c r="C18" i="132"/>
  <c r="C21" i="132"/>
  <c r="H14" i="132"/>
  <c r="H17" i="132" s="1"/>
  <c r="H20" i="132" s="1"/>
  <c r="H23" i="132" s="1"/>
  <c r="E17" i="87" s="1"/>
  <c r="I35" i="132"/>
  <c r="I37" i="132" s="1"/>
  <c r="I40" i="132" s="1"/>
  <c r="I43" i="132" s="1"/>
  <c r="I46" i="132" s="1"/>
  <c r="F48" i="132"/>
  <c r="D274" i="132"/>
  <c r="D241" i="132"/>
  <c r="D222" i="132"/>
  <c r="D221" i="132"/>
  <c r="D275" i="132"/>
  <c r="D223" i="132"/>
  <c r="F31" i="132"/>
  <c r="D32" i="132"/>
  <c r="D167" i="132" s="1"/>
  <c r="H32" i="132"/>
  <c r="G50" i="132"/>
  <c r="G14" i="132"/>
  <c r="G17" i="132" s="1"/>
  <c r="G20" i="132" s="1"/>
  <c r="G23" i="132" s="1"/>
  <c r="E16" i="87" s="1"/>
  <c r="D31" i="132"/>
  <c r="D166" i="132" s="1"/>
  <c r="H31" i="132"/>
  <c r="F32" i="132"/>
  <c r="D33" i="132"/>
  <c r="D168" i="132" s="1"/>
  <c r="D41" i="132"/>
  <c r="D181" i="132" s="1"/>
  <c r="H41" i="132"/>
  <c r="E48" i="132"/>
  <c r="E50" i="132"/>
  <c r="D242" i="132"/>
  <c r="D177" i="132" l="1"/>
  <c r="D180" i="132" s="1"/>
  <c r="G118" i="132"/>
  <c r="H22" i="87" s="1"/>
  <c r="F118" i="132"/>
  <c r="H21" i="87" s="1"/>
  <c r="E118" i="132"/>
  <c r="H20" i="87" s="1"/>
  <c r="G117" i="132"/>
  <c r="H10" i="87" s="1"/>
  <c r="F117" i="132"/>
  <c r="H9" i="87" s="1"/>
  <c r="G115" i="132"/>
  <c r="C223" i="132"/>
  <c r="E223" i="132" s="1"/>
  <c r="D115" i="132"/>
  <c r="H114" i="132"/>
  <c r="G125" i="132"/>
  <c r="G114" i="132"/>
  <c r="C275" i="132"/>
  <c r="E275" i="132" s="1"/>
  <c r="F114" i="132"/>
  <c r="C242" i="132"/>
  <c r="E242" i="132" s="1"/>
  <c r="E114" i="132"/>
  <c r="C222" i="132"/>
  <c r="E222" i="132" s="1"/>
  <c r="D114" i="132"/>
  <c r="C114" i="132" s="1"/>
  <c r="H113" i="132"/>
  <c r="G113" i="132"/>
  <c r="C274" i="132"/>
  <c r="E274" i="132" s="1"/>
  <c r="E277" i="132" s="1"/>
  <c r="F113" i="132"/>
  <c r="C241" i="132"/>
  <c r="E241" i="132" s="1"/>
  <c r="E244" i="132" s="1"/>
  <c r="E113" i="132"/>
  <c r="C221" i="132"/>
  <c r="E221" i="132" s="1"/>
  <c r="D113" i="132"/>
  <c r="C113" i="132" s="1"/>
  <c r="H111" i="132"/>
  <c r="H11" i="87" s="1"/>
  <c r="E111" i="132"/>
  <c r="D111" i="132"/>
  <c r="H7" i="87" s="1"/>
  <c r="F171" i="132"/>
  <c r="G170" i="132"/>
  <c r="G168" i="132"/>
  <c r="C168" i="132" s="1"/>
  <c r="C232" i="132"/>
  <c r="G178" i="132"/>
  <c r="G167" i="132"/>
  <c r="C283" i="132"/>
  <c r="C250" i="132"/>
  <c r="E250" i="132" s="1"/>
  <c r="E167" i="132"/>
  <c r="C231" i="132"/>
  <c r="G166" i="132"/>
  <c r="C282" i="132"/>
  <c r="C249" i="132"/>
  <c r="E249" i="132" s="1"/>
  <c r="E166" i="132"/>
  <c r="C230" i="132"/>
  <c r="H164" i="132"/>
  <c r="D37" i="132"/>
  <c r="D232" i="132"/>
  <c r="F252" i="132"/>
  <c r="F249" i="132" s="1"/>
  <c r="H249" i="132" s="1"/>
  <c r="C41" i="132"/>
  <c r="H166" i="132"/>
  <c r="H37" i="132"/>
  <c r="H40" i="132" s="1"/>
  <c r="H43" i="132" s="1"/>
  <c r="H46" i="132" s="1"/>
  <c r="D231" i="132"/>
  <c r="D20" i="132"/>
  <c r="C17" i="132"/>
  <c r="E171" i="132"/>
  <c r="H167" i="132"/>
  <c r="F170" i="132"/>
  <c r="C170" i="132" s="1"/>
  <c r="D283" i="132"/>
  <c r="D282" i="132"/>
  <c r="F274" i="132"/>
  <c r="F275" i="132" s="1"/>
  <c r="D277" i="132"/>
  <c r="F166" i="132"/>
  <c r="F37" i="132"/>
  <c r="F40" i="132" s="1"/>
  <c r="F43" i="132" s="1"/>
  <c r="F46" i="132" s="1"/>
  <c r="F234" i="132"/>
  <c r="D252" i="132"/>
  <c r="F167" i="132"/>
  <c r="G171" i="132"/>
  <c r="C14" i="132"/>
  <c r="D225" i="132"/>
  <c r="D230" i="132"/>
  <c r="F221" i="132"/>
  <c r="D244" i="132"/>
  <c r="F241" i="132"/>
  <c r="F285" i="132"/>
  <c r="E164" i="132"/>
  <c r="C164" i="132" s="1"/>
  <c r="C166" i="132" l="1"/>
  <c r="C167" i="132"/>
  <c r="E124" i="132"/>
  <c r="H8" i="87"/>
  <c r="C171" i="132"/>
  <c r="D183" i="132"/>
  <c r="F124" i="132"/>
  <c r="C117" i="132"/>
  <c r="H124" i="132"/>
  <c r="F177" i="132"/>
  <c r="G177" i="132"/>
  <c r="G180" i="132" s="1"/>
  <c r="G183" i="132" s="1"/>
  <c r="G203" i="132" s="1"/>
  <c r="G204" i="132" s="1"/>
  <c r="G124" i="132"/>
  <c r="G127" i="132" s="1"/>
  <c r="G130" i="132" s="1"/>
  <c r="G150" i="132" s="1"/>
  <c r="G152" i="132" s="1"/>
  <c r="G205" i="132" s="1"/>
  <c r="C118" i="132"/>
  <c r="E177" i="132"/>
  <c r="H177" i="132"/>
  <c r="C115" i="132"/>
  <c r="G275" i="132"/>
  <c r="G221" i="132"/>
  <c r="G274" i="132"/>
  <c r="G241" i="132"/>
  <c r="E252" i="132"/>
  <c r="E253" i="132" s="1"/>
  <c r="E225" i="132"/>
  <c r="E226" i="132" s="1"/>
  <c r="F230" i="132"/>
  <c r="G230" i="132" s="1"/>
  <c r="D234" i="132"/>
  <c r="I249" i="132"/>
  <c r="D285" i="132"/>
  <c r="F282" i="132"/>
  <c r="G282" i="132" s="1"/>
  <c r="C20" i="132"/>
  <c r="D23" i="132"/>
  <c r="E13" i="87" s="1"/>
  <c r="F222" i="132"/>
  <c r="F242" i="132"/>
  <c r="H242" i="132" s="1"/>
  <c r="I242" i="132" s="1"/>
  <c r="E231" i="132"/>
  <c r="E245" i="132"/>
  <c r="C37" i="132"/>
  <c r="D40" i="132"/>
  <c r="H241" i="132"/>
  <c r="F250" i="132"/>
  <c r="E230" i="132"/>
  <c r="E283" i="132"/>
  <c r="C111" i="132"/>
  <c r="D124" i="132"/>
  <c r="H221" i="132"/>
  <c r="G249" i="132"/>
  <c r="H274" i="132"/>
  <c r="H275" i="132"/>
  <c r="E282" i="132"/>
  <c r="E232" i="132"/>
  <c r="E278" i="132"/>
  <c r="C177" i="132" l="1"/>
  <c r="D203" i="132"/>
  <c r="H16" i="87"/>
  <c r="F283" i="132"/>
  <c r="G283" i="132" s="1"/>
  <c r="G285" i="132" s="1"/>
  <c r="G286" i="132" s="1"/>
  <c r="F231" i="132"/>
  <c r="G231" i="132" s="1"/>
  <c r="G277" i="132"/>
  <c r="G278" i="132" s="1"/>
  <c r="G207" i="132"/>
  <c r="G208" i="132" s="1"/>
  <c r="I275" i="132"/>
  <c r="H283" i="132"/>
  <c r="I283" i="132" s="1"/>
  <c r="C40" i="132"/>
  <c r="D43" i="132"/>
  <c r="I221" i="132"/>
  <c r="H230" i="132"/>
  <c r="G250" i="132"/>
  <c r="G252" i="132" s="1"/>
  <c r="G253" i="132" s="1"/>
  <c r="H250" i="132"/>
  <c r="D300" i="132"/>
  <c r="C23" i="132"/>
  <c r="F188" i="132"/>
  <c r="F189" i="132" s="1"/>
  <c r="F178" i="132"/>
  <c r="F180" i="132" s="1"/>
  <c r="F181" i="132"/>
  <c r="E285" i="132"/>
  <c r="G242" i="132"/>
  <c r="G244" i="132" s="1"/>
  <c r="G245" i="132" s="1"/>
  <c r="H188" i="132"/>
  <c r="H189" i="132" s="1"/>
  <c r="H196" i="132" s="1"/>
  <c r="H202" i="132" s="1"/>
  <c r="H178" i="132"/>
  <c r="H180" i="132" s="1"/>
  <c r="H181" i="132"/>
  <c r="E188" i="132"/>
  <c r="E189" i="132" s="1"/>
  <c r="E181" i="132"/>
  <c r="E178" i="132"/>
  <c r="E135" i="132"/>
  <c r="E136" i="132" s="1"/>
  <c r="E125" i="132"/>
  <c r="E127" i="132" s="1"/>
  <c r="E128" i="132"/>
  <c r="E234" i="132"/>
  <c r="E235" i="132" s="1"/>
  <c r="H282" i="132"/>
  <c r="H277" i="132"/>
  <c r="I274" i="132"/>
  <c r="I241" i="132"/>
  <c r="I244" i="132" s="1"/>
  <c r="G222" i="132"/>
  <c r="F223" i="132"/>
  <c r="H222" i="132"/>
  <c r="H135" i="132"/>
  <c r="H136" i="132" s="1"/>
  <c r="H143" i="132" s="1"/>
  <c r="H149" i="132" s="1"/>
  <c r="H125" i="132"/>
  <c r="H127" i="132" s="1"/>
  <c r="H128" i="132"/>
  <c r="F135" i="132"/>
  <c r="F136" i="132" s="1"/>
  <c r="F125" i="132"/>
  <c r="F127" i="132" s="1"/>
  <c r="F128" i="132"/>
  <c r="C124" i="132"/>
  <c r="F232" i="132"/>
  <c r="G232" i="132" s="1"/>
  <c r="G234" i="132" s="1"/>
  <c r="G235" i="132" s="1"/>
  <c r="C189" i="132" l="1"/>
  <c r="E180" i="132"/>
  <c r="C180" i="132" s="1"/>
  <c r="C178" i="132"/>
  <c r="C181" i="132"/>
  <c r="H183" i="132"/>
  <c r="H203" i="132" s="1"/>
  <c r="H204" i="132" s="1"/>
  <c r="G299" i="132"/>
  <c r="I277" i="132"/>
  <c r="I278" i="132" s="1"/>
  <c r="F146" i="132" s="1"/>
  <c r="F147" i="132" s="1"/>
  <c r="E130" i="132"/>
  <c r="E150" i="132" s="1"/>
  <c r="F130" i="132"/>
  <c r="F150" i="132" s="1"/>
  <c r="F183" i="132"/>
  <c r="F203" i="132" s="1"/>
  <c r="I230" i="132"/>
  <c r="C43" i="132"/>
  <c r="D46" i="132"/>
  <c r="H130" i="132"/>
  <c r="H150" i="132" s="1"/>
  <c r="H152" i="132" s="1"/>
  <c r="I250" i="132"/>
  <c r="I252" i="132" s="1"/>
  <c r="H252" i="132"/>
  <c r="G223" i="132"/>
  <c r="G225" i="132" s="1"/>
  <c r="G226" i="132" s="1"/>
  <c r="H223" i="132"/>
  <c r="H285" i="132"/>
  <c r="I282" i="132"/>
  <c r="I285" i="132" s="1"/>
  <c r="I222" i="132"/>
  <c r="H231" i="132"/>
  <c r="I231" i="132" s="1"/>
  <c r="D135" i="132"/>
  <c r="D136" i="132" s="1"/>
  <c r="D125" i="132"/>
  <c r="D128" i="132"/>
  <c r="C128" i="132" s="1"/>
  <c r="H244" i="132"/>
  <c r="E183" i="132" l="1"/>
  <c r="H205" i="132"/>
  <c r="H17" i="87"/>
  <c r="C46" i="132"/>
  <c r="I253" i="132"/>
  <c r="E192" i="132" s="1"/>
  <c r="E193" i="132" s="1"/>
  <c r="F139" i="132"/>
  <c r="F140" i="132" s="1"/>
  <c r="F143" i="132" s="1"/>
  <c r="F149" i="132" s="1"/>
  <c r="F152" i="132" s="1"/>
  <c r="I245" i="132"/>
  <c r="E139" i="132" s="1"/>
  <c r="E140" i="132" s="1"/>
  <c r="E143" i="132" s="1"/>
  <c r="H207" i="132"/>
  <c r="H299" i="132" s="1"/>
  <c r="H232" i="132"/>
  <c r="I232" i="132" s="1"/>
  <c r="I234" i="132" s="1"/>
  <c r="I223" i="132"/>
  <c r="I225" i="132" s="1"/>
  <c r="C136" i="132"/>
  <c r="H225" i="132"/>
  <c r="C125" i="132"/>
  <c r="D127" i="132"/>
  <c r="I286" i="132"/>
  <c r="E203" i="132" l="1"/>
  <c r="C203" i="132" s="1"/>
  <c r="C183" i="132"/>
  <c r="F205" i="132"/>
  <c r="H15" i="87"/>
  <c r="E196" i="132"/>
  <c r="E199" i="132"/>
  <c r="E200" i="132" s="1"/>
  <c r="E202" i="132" s="1"/>
  <c r="E204" i="132" s="1"/>
  <c r="H234" i="132"/>
  <c r="I235" i="132" s="1"/>
  <c r="H208" i="132"/>
  <c r="E146" i="132"/>
  <c r="E147" i="132" s="1"/>
  <c r="E149" i="132" s="1"/>
  <c r="E152" i="132" s="1"/>
  <c r="F199" i="132"/>
  <c r="F200" i="132" s="1"/>
  <c r="F192" i="132"/>
  <c r="F193" i="132" s="1"/>
  <c r="F196" i="132" s="1"/>
  <c r="D130" i="132"/>
  <c r="C127" i="132"/>
  <c r="I226" i="132"/>
  <c r="D199" i="132" l="1"/>
  <c r="D200" i="132" s="1"/>
  <c r="C200" i="132" s="1"/>
  <c r="D192" i="132"/>
  <c r="D193" i="132" s="1"/>
  <c r="D196" i="132" s="1"/>
  <c r="E205" i="132"/>
  <c r="E207" i="132" s="1"/>
  <c r="E299" i="132" s="1"/>
  <c r="H14" i="87"/>
  <c r="F202" i="132"/>
  <c r="F204" i="132" s="1"/>
  <c r="F207" i="132" s="1"/>
  <c r="F208" i="132" s="1"/>
  <c r="D150" i="132"/>
  <c r="C130" i="132"/>
  <c r="C150" i="132" s="1"/>
  <c r="D139" i="132"/>
  <c r="D140" i="132" s="1"/>
  <c r="D146" i="132"/>
  <c r="D147" i="132" s="1"/>
  <c r="C193" i="132" l="1"/>
  <c r="C196" i="132" s="1"/>
  <c r="C202" i="132" s="1"/>
  <c r="C204" i="132" s="1"/>
  <c r="D202" i="132"/>
  <c r="D204" i="132" s="1"/>
  <c r="E208" i="132"/>
  <c r="F299" i="132"/>
  <c r="C140" i="132"/>
  <c r="D143" i="132"/>
  <c r="D149" i="132" s="1"/>
  <c r="D152" i="132" s="1"/>
  <c r="C147" i="132"/>
  <c r="C143" i="132" l="1"/>
  <c r="C149" i="132" s="1"/>
  <c r="C152" i="132" s="1"/>
  <c r="D205" i="132"/>
  <c r="C205" i="132" s="1"/>
  <c r="H13" i="87"/>
  <c r="H25" i="87" s="1"/>
  <c r="D207" i="132" l="1"/>
  <c r="D208" i="132" l="1"/>
  <c r="C207" i="132"/>
  <c r="C208" i="132" s="1"/>
  <c r="D299" i="132"/>
  <c r="G59" i="88" l="1"/>
  <c r="H7" i="88"/>
  <c r="H8" i="88"/>
  <c r="H9" i="88"/>
  <c r="H10" i="88"/>
  <c r="H11" i="88"/>
  <c r="F10" i="87" s="1"/>
  <c r="G10" i="87" s="1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6" i="88"/>
  <c r="F9" i="87" l="1"/>
  <c r="G9" i="87" s="1"/>
  <c r="F7" i="87"/>
  <c r="G7" i="87" s="1"/>
  <c r="H28" i="88"/>
  <c r="F11" i="87"/>
  <c r="G11" i="87" s="1"/>
  <c r="H29" i="88"/>
  <c r="F8" i="87"/>
  <c r="G8" i="87" s="1"/>
  <c r="H31" i="88"/>
  <c r="G18" i="87"/>
  <c r="G16" i="87"/>
  <c r="G13" i="87"/>
  <c r="G14" i="87"/>
  <c r="G15" i="87"/>
  <c r="G17" i="87" l="1"/>
  <c r="Q17" i="130" l="1"/>
  <c r="Q19" i="130" s="1"/>
  <c r="P17" i="130"/>
  <c r="O17" i="130"/>
  <c r="N17" i="130"/>
  <c r="M17" i="130"/>
  <c r="L17" i="130"/>
  <c r="K17" i="130"/>
  <c r="J17" i="130"/>
  <c r="I17" i="130"/>
  <c r="H17" i="130"/>
  <c r="H19" i="130" s="1"/>
  <c r="I138" i="122" s="1"/>
  <c r="G17" i="130"/>
  <c r="G19" i="130" s="1"/>
  <c r="H138" i="122" s="1"/>
  <c r="F17" i="130"/>
  <c r="H16" i="130"/>
  <c r="I139" i="122" s="1"/>
  <c r="G16" i="130"/>
  <c r="H139" i="122" s="1"/>
  <c r="Q10" i="130"/>
  <c r="P10" i="130"/>
  <c r="O10" i="130"/>
  <c r="N10" i="130"/>
  <c r="M10" i="130"/>
  <c r="L10" i="130"/>
  <c r="K10" i="130"/>
  <c r="J10" i="130"/>
  <c r="I10" i="130"/>
  <c r="H10" i="130"/>
  <c r="G10" i="130"/>
  <c r="F10" i="130"/>
  <c r="E10" i="130"/>
  <c r="R63" i="122"/>
  <c r="R65" i="122"/>
  <c r="Q65" i="122"/>
  <c r="Q63" i="122"/>
  <c r="G80" i="122"/>
  <c r="H80" i="122"/>
  <c r="I80" i="122"/>
  <c r="J80" i="122"/>
  <c r="K80" i="122"/>
  <c r="L80" i="122"/>
  <c r="M80" i="122"/>
  <c r="N80" i="122"/>
  <c r="O80" i="122"/>
  <c r="P80" i="122"/>
  <c r="F80" i="122"/>
  <c r="R80" i="122"/>
  <c r="Q62" i="122"/>
  <c r="R62" i="122"/>
  <c r="Q64" i="122"/>
  <c r="R64" i="122"/>
  <c r="Q66" i="122"/>
  <c r="R66" i="122"/>
  <c r="G62" i="122"/>
  <c r="H62" i="122"/>
  <c r="I62" i="122"/>
  <c r="J62" i="122"/>
  <c r="K62" i="122"/>
  <c r="M62" i="122"/>
  <c r="N62" i="122"/>
  <c r="O62" i="122"/>
  <c r="P62" i="122"/>
  <c r="G64" i="122"/>
  <c r="H64" i="122"/>
  <c r="I64" i="122"/>
  <c r="J64" i="122"/>
  <c r="K64" i="122"/>
  <c r="M64" i="122"/>
  <c r="N64" i="122"/>
  <c r="O64" i="122"/>
  <c r="P64" i="122"/>
  <c r="G66" i="122"/>
  <c r="H66" i="122"/>
  <c r="I66" i="122"/>
  <c r="J66" i="122"/>
  <c r="K66" i="122"/>
  <c r="M66" i="122"/>
  <c r="N66" i="122"/>
  <c r="O66" i="122"/>
  <c r="P66" i="122"/>
  <c r="O73" i="129"/>
  <c r="J73" i="129"/>
  <c r="I73" i="129"/>
  <c r="G73" i="129"/>
  <c r="H73" i="129"/>
  <c r="L73" i="129"/>
  <c r="M73" i="129"/>
  <c r="N73" i="129"/>
  <c r="P73" i="129"/>
  <c r="Q73" i="129"/>
  <c r="F66" i="122"/>
  <c r="F64" i="122"/>
  <c r="F62" i="122"/>
  <c r="L64" i="122"/>
  <c r="L66" i="122"/>
  <c r="L62" i="122"/>
  <c r="K73" i="129"/>
  <c r="E65" i="129"/>
  <c r="F103" i="129"/>
  <c r="G63" i="122" s="1"/>
  <c r="G103" i="129"/>
  <c r="H63" i="122" s="1"/>
  <c r="H103" i="129"/>
  <c r="I63" i="122" s="1"/>
  <c r="I103" i="129"/>
  <c r="J63" i="122" s="1"/>
  <c r="J103" i="129"/>
  <c r="K63" i="122" s="1"/>
  <c r="K103" i="129"/>
  <c r="L63" i="122" s="1"/>
  <c r="L103" i="129"/>
  <c r="M63" i="122" s="1"/>
  <c r="M103" i="129"/>
  <c r="N63" i="122" s="1"/>
  <c r="F104" i="129"/>
  <c r="G65" i="122" s="1"/>
  <c r="G104" i="129"/>
  <c r="H65" i="122" s="1"/>
  <c r="H104" i="129"/>
  <c r="I65" i="122" s="1"/>
  <c r="I104" i="129"/>
  <c r="J65" i="122" s="1"/>
  <c r="J104" i="129"/>
  <c r="K65" i="122" s="1"/>
  <c r="K104" i="129"/>
  <c r="L65" i="122" s="1"/>
  <c r="L104" i="129"/>
  <c r="M65" i="122" s="1"/>
  <c r="M104" i="129"/>
  <c r="N65" i="122" s="1"/>
  <c r="N104" i="129"/>
  <c r="O65" i="122" s="1"/>
  <c r="O104" i="129"/>
  <c r="P65" i="122" s="1"/>
  <c r="F105" i="129"/>
  <c r="G74" i="122" s="1"/>
  <c r="G105" i="129"/>
  <c r="H74" i="122" s="1"/>
  <c r="H105" i="129"/>
  <c r="I74" i="122" s="1"/>
  <c r="I105" i="129"/>
  <c r="J74" i="122" s="1"/>
  <c r="J105" i="129"/>
  <c r="K74" i="122" s="1"/>
  <c r="K105" i="129"/>
  <c r="L74" i="122" s="1"/>
  <c r="L105" i="129"/>
  <c r="M74" i="122" s="1"/>
  <c r="M105" i="129"/>
  <c r="N74" i="122" s="1"/>
  <c r="N105" i="129"/>
  <c r="O74" i="122" s="1"/>
  <c r="O105" i="129"/>
  <c r="P74" i="122" s="1"/>
  <c r="F106" i="129"/>
  <c r="G77" i="122" s="1"/>
  <c r="G106" i="129"/>
  <c r="H77" i="122" s="1"/>
  <c r="H106" i="129"/>
  <c r="I77" i="122" s="1"/>
  <c r="I106" i="129"/>
  <c r="J77" i="122" s="1"/>
  <c r="J106" i="129"/>
  <c r="K77" i="122" s="1"/>
  <c r="K106" i="129"/>
  <c r="L77" i="122" s="1"/>
  <c r="L106" i="129"/>
  <c r="M77" i="122" s="1"/>
  <c r="M106" i="129"/>
  <c r="N77" i="122" s="1"/>
  <c r="F107" i="129"/>
  <c r="G107" i="129"/>
  <c r="H107" i="129"/>
  <c r="I107" i="129"/>
  <c r="J107" i="129"/>
  <c r="K107" i="129"/>
  <c r="L107" i="129"/>
  <c r="M107" i="129"/>
  <c r="N107" i="129"/>
  <c r="O107" i="129"/>
  <c r="E106" i="129"/>
  <c r="F77" i="122" s="1"/>
  <c r="E105" i="129"/>
  <c r="F74" i="122" s="1"/>
  <c r="E104" i="129"/>
  <c r="F65" i="122" s="1"/>
  <c r="E103" i="129"/>
  <c r="F63" i="122" s="1"/>
  <c r="N93" i="129"/>
  <c r="N106" i="129" s="1"/>
  <c r="O77" i="122" s="1"/>
  <c r="N91" i="129"/>
  <c r="N103" i="129" s="1"/>
  <c r="O63" i="122" s="1"/>
  <c r="E107" i="129"/>
  <c r="M102" i="129"/>
  <c r="N79" i="122" s="1"/>
  <c r="L102" i="129"/>
  <c r="M79" i="122" s="1"/>
  <c r="K102" i="129"/>
  <c r="L79" i="122" s="1"/>
  <c r="J102" i="129"/>
  <c r="K79" i="122" s="1"/>
  <c r="I102" i="129"/>
  <c r="J79" i="122" s="1"/>
  <c r="H102" i="129"/>
  <c r="I79" i="122" s="1"/>
  <c r="G102" i="129"/>
  <c r="H79" i="122" s="1"/>
  <c r="F102" i="129"/>
  <c r="G79" i="122" s="1"/>
  <c r="E102" i="129"/>
  <c r="F79" i="122" s="1"/>
  <c r="O93" i="129"/>
  <c r="O106" i="129" s="1"/>
  <c r="P77" i="122" s="1"/>
  <c r="O91" i="129"/>
  <c r="Q93" i="129"/>
  <c r="Q92" i="129"/>
  <c r="P99" i="129"/>
  <c r="P93" i="129"/>
  <c r="P91" i="129"/>
  <c r="T24" i="94"/>
  <c r="Q116" i="122" s="1"/>
  <c r="J16" i="129"/>
  <c r="I16" i="129"/>
  <c r="H16" i="129"/>
  <c r="G16" i="129"/>
  <c r="F16" i="129"/>
  <c r="E16" i="129"/>
  <c r="Q16" i="129"/>
  <c r="Q20" i="129" s="1"/>
  <c r="Q23" i="129"/>
  <c r="P23" i="129"/>
  <c r="P16" i="129"/>
  <c r="O23" i="129"/>
  <c r="O16" i="129"/>
  <c r="N23" i="129"/>
  <c r="N16" i="129"/>
  <c r="M23" i="129"/>
  <c r="M42" i="129" s="1"/>
  <c r="N22" i="122" s="1"/>
  <c r="M16" i="129"/>
  <c r="L23" i="129"/>
  <c r="L42" i="129" s="1"/>
  <c r="M22" i="122" s="1"/>
  <c r="L16" i="129"/>
  <c r="K23" i="129"/>
  <c r="K16" i="129"/>
  <c r="J23" i="129"/>
  <c r="I23" i="129"/>
  <c r="H23" i="129"/>
  <c r="G23" i="129"/>
  <c r="F23" i="129"/>
  <c r="E23" i="129"/>
  <c r="J42" i="129"/>
  <c r="K22" i="122" s="1"/>
  <c r="Q35" i="129"/>
  <c r="Q34" i="129"/>
  <c r="Q31" i="129"/>
  <c r="P31" i="129"/>
  <c r="P42" i="129" s="1"/>
  <c r="P18" i="129"/>
  <c r="P20" i="129" s="1"/>
  <c r="O33" i="129"/>
  <c r="O18" i="129"/>
  <c r="O20" i="129" s="1"/>
  <c r="O31" i="129"/>
  <c r="N18" i="129"/>
  <c r="N20" i="129" s="1"/>
  <c r="N31" i="129"/>
  <c r="N42" i="129" s="1"/>
  <c r="O22" i="122" s="1"/>
  <c r="M18" i="129"/>
  <c r="M20" i="129" s="1"/>
  <c r="L17" i="129"/>
  <c r="L18" i="129"/>
  <c r="K28" i="129"/>
  <c r="K42" i="129" s="1"/>
  <c r="K18" i="129"/>
  <c r="K17" i="129"/>
  <c r="J18" i="129"/>
  <c r="J20" i="129" s="1"/>
  <c r="I28" i="129"/>
  <c r="I18" i="129"/>
  <c r="I22" i="129"/>
  <c r="I17" i="129"/>
  <c r="H22" i="129"/>
  <c r="H42" i="129" s="1"/>
  <c r="I22" i="122" s="1"/>
  <c r="H18" i="129"/>
  <c r="H17" i="129"/>
  <c r="G26" i="129"/>
  <c r="G22" i="129"/>
  <c r="G42" i="129" s="1"/>
  <c r="H22" i="122" s="1"/>
  <c r="G18" i="129"/>
  <c r="G17" i="129"/>
  <c r="F25" i="129"/>
  <c r="F26" i="129"/>
  <c r="F27" i="129"/>
  <c r="F22" i="129"/>
  <c r="F17" i="129"/>
  <c r="F18" i="129"/>
  <c r="E26" i="129"/>
  <c r="E22" i="129"/>
  <c r="E25" i="129"/>
  <c r="E24" i="129"/>
  <c r="E18" i="129"/>
  <c r="E17" i="129"/>
  <c r="U35" i="91"/>
  <c r="I20" i="129" l="1"/>
  <c r="N102" i="129"/>
  <c r="O79" i="122" s="1"/>
  <c r="G20" i="129"/>
  <c r="O102" i="129"/>
  <c r="P79" i="122" s="1"/>
  <c r="N115" i="122"/>
  <c r="N117" i="122" s="1"/>
  <c r="N21" i="122"/>
  <c r="K21" i="122"/>
  <c r="K115" i="122"/>
  <c r="K117" i="122" s="1"/>
  <c r="H21" i="122"/>
  <c r="H115" i="122"/>
  <c r="H117" i="122" s="1"/>
  <c r="O21" i="122"/>
  <c r="O115" i="122"/>
  <c r="O117" i="122" s="1"/>
  <c r="J44" i="129"/>
  <c r="E20" i="129"/>
  <c r="F42" i="129"/>
  <c r="G22" i="122" s="1"/>
  <c r="H20" i="129"/>
  <c r="I42" i="129"/>
  <c r="J22" i="122" s="1"/>
  <c r="K20" i="129"/>
  <c r="K44" i="129" s="1"/>
  <c r="L20" i="129"/>
  <c r="L44" i="129" s="1"/>
  <c r="O42" i="129"/>
  <c r="P22" i="122" s="1"/>
  <c r="P47" i="129"/>
  <c r="Q22" i="122"/>
  <c r="I115" i="122"/>
  <c r="I117" i="122" s="1"/>
  <c r="I21" i="122"/>
  <c r="K47" i="129"/>
  <c r="L22" i="122"/>
  <c r="E42" i="129"/>
  <c r="F22" i="122" s="1"/>
  <c r="F115" i="122" s="1"/>
  <c r="F117" i="122" s="1"/>
  <c r="M44" i="129"/>
  <c r="M21" i="122"/>
  <c r="M115" i="122"/>
  <c r="M117" i="122" s="1"/>
  <c r="R138" i="122"/>
  <c r="R140" i="122" s="1"/>
  <c r="L19" i="130"/>
  <c r="L21" i="130"/>
  <c r="L23" i="130" s="1"/>
  <c r="I140" i="122"/>
  <c r="J177" i="122" s="1"/>
  <c r="J193" i="122" s="1"/>
  <c r="H21" i="130"/>
  <c r="H23" i="130" s="1"/>
  <c r="I19" i="130"/>
  <c r="I21" i="130"/>
  <c r="I23" i="130" s="1"/>
  <c r="M19" i="130"/>
  <c r="M21" i="130"/>
  <c r="M23" i="130" s="1"/>
  <c r="H140" i="122"/>
  <c r="I177" i="122" s="1"/>
  <c r="I193" i="122" s="1"/>
  <c r="G21" i="130"/>
  <c r="G23" i="130" s="1"/>
  <c r="P19" i="130"/>
  <c r="P21" i="130"/>
  <c r="P23" i="130" s="1"/>
  <c r="K19" i="130"/>
  <c r="K21" i="130"/>
  <c r="K23" i="130" s="1"/>
  <c r="O19" i="130"/>
  <c r="O21" i="130"/>
  <c r="O23" i="130" s="1"/>
  <c r="F19" i="130"/>
  <c r="F23" i="130"/>
  <c r="J19" i="130"/>
  <c r="J21" i="130"/>
  <c r="J23" i="130" s="1"/>
  <c r="N19" i="130"/>
  <c r="N21" i="130"/>
  <c r="N23" i="130" s="1"/>
  <c r="Q21" i="130"/>
  <c r="Q23" i="130" s="1"/>
  <c r="E68" i="129"/>
  <c r="E72" i="129" s="1"/>
  <c r="E73" i="129" s="1"/>
  <c r="J67" i="122"/>
  <c r="F67" i="122"/>
  <c r="O67" i="122"/>
  <c r="N67" i="122"/>
  <c r="I67" i="122"/>
  <c r="K67" i="122"/>
  <c r="G67" i="122"/>
  <c r="Q67" i="122"/>
  <c r="Q75" i="122" s="1"/>
  <c r="Q78" i="122" s="1"/>
  <c r="F3" i="144" s="1"/>
  <c r="M67" i="122"/>
  <c r="H67" i="122"/>
  <c r="R67" i="122"/>
  <c r="R75" i="122" s="1"/>
  <c r="R78" i="122" s="1"/>
  <c r="G3" i="144" s="1"/>
  <c r="L67" i="122"/>
  <c r="F73" i="129"/>
  <c r="P102" i="129"/>
  <c r="Q102" i="129"/>
  <c r="O103" i="129"/>
  <c r="P63" i="122" s="1"/>
  <c r="P67" i="122" s="1"/>
  <c r="F20" i="129"/>
  <c r="Q42" i="129"/>
  <c r="Q44" i="129" s="1"/>
  <c r="Q45" i="129" s="1"/>
  <c r="J45" i="129"/>
  <c r="G47" i="129"/>
  <c r="H47" i="129"/>
  <c r="F44" i="129"/>
  <c r="F45" i="129" s="1"/>
  <c r="I44" i="129"/>
  <c r="I45" i="129" s="1"/>
  <c r="N44" i="129"/>
  <c r="N45" i="129" s="1"/>
  <c r="P44" i="129"/>
  <c r="F47" i="129"/>
  <c r="I47" i="129"/>
  <c r="N47" i="129"/>
  <c r="G44" i="129"/>
  <c r="G45" i="129" s="1"/>
  <c r="H44" i="129"/>
  <c r="H45" i="129" s="1"/>
  <c r="L45" i="129"/>
  <c r="K45" i="129"/>
  <c r="P45" i="129"/>
  <c r="M47" i="129"/>
  <c r="M45" i="129"/>
  <c r="L47" i="129"/>
  <c r="J47" i="129"/>
  <c r="S177" i="122" l="1"/>
  <c r="S193" i="122" s="1"/>
  <c r="E2" i="145"/>
  <c r="P115" i="122"/>
  <c r="P117" i="122" s="1"/>
  <c r="P21" i="122"/>
  <c r="O47" i="129"/>
  <c r="E47" i="129"/>
  <c r="E44" i="129"/>
  <c r="E45" i="129" s="1"/>
  <c r="K138" i="122"/>
  <c r="K140" i="122" s="1"/>
  <c r="P138" i="122"/>
  <c r="P140" i="122" s="1"/>
  <c r="Q138" i="122"/>
  <c r="Q140" i="122" s="1"/>
  <c r="D2" i="145" s="1"/>
  <c r="N138" i="122"/>
  <c r="N140" i="122" s="1"/>
  <c r="O177" i="122" s="1"/>
  <c r="O193" i="122" s="1"/>
  <c r="G21" i="122"/>
  <c r="G115" i="122"/>
  <c r="G117" i="122" s="1"/>
  <c r="O108" i="122"/>
  <c r="O111" i="122" s="1"/>
  <c r="O24" i="122"/>
  <c r="O41" i="122" s="1"/>
  <c r="O43" i="122" s="1"/>
  <c r="O51" i="122" s="1"/>
  <c r="K108" i="122"/>
  <c r="K111" i="122" s="1"/>
  <c r="K24" i="122"/>
  <c r="K41" i="122" s="1"/>
  <c r="K43" i="122" s="1"/>
  <c r="K51" i="122" s="1"/>
  <c r="Q47" i="129"/>
  <c r="R22" i="122"/>
  <c r="P109" i="129"/>
  <c r="P110" i="129" s="1"/>
  <c r="Q80" i="122" s="1"/>
  <c r="Q79" i="122"/>
  <c r="I108" i="122"/>
  <c r="I111" i="122" s="1"/>
  <c r="I24" i="122"/>
  <c r="I41" i="122" s="1"/>
  <c r="I43" i="122" s="1"/>
  <c r="I51" i="122" s="1"/>
  <c r="M108" i="122"/>
  <c r="M111" i="122" s="1"/>
  <c r="B3" i="142" s="1"/>
  <c r="M24" i="122"/>
  <c r="M41" i="122" s="1"/>
  <c r="M43" i="122" s="1"/>
  <c r="M51" i="122" s="1"/>
  <c r="L21" i="122"/>
  <c r="L115" i="122"/>
  <c r="L117" i="122" s="1"/>
  <c r="Q115" i="122"/>
  <c r="Q117" i="122" s="1"/>
  <c r="Q21" i="122"/>
  <c r="N108" i="122"/>
  <c r="N111" i="122" s="1"/>
  <c r="C3" i="142" s="1"/>
  <c r="N24" i="122"/>
  <c r="N41" i="122" s="1"/>
  <c r="N43" i="122" s="1"/>
  <c r="N51" i="122" s="1"/>
  <c r="O44" i="129"/>
  <c r="O45" i="129" s="1"/>
  <c r="O138" i="122"/>
  <c r="O140" i="122" s="1"/>
  <c r="G138" i="122"/>
  <c r="G140" i="122" s="1"/>
  <c r="L138" i="122"/>
  <c r="L140" i="122" s="1"/>
  <c r="M177" i="122" s="1"/>
  <c r="M193" i="122" s="1"/>
  <c r="J138" i="122"/>
  <c r="J140" i="122" s="1"/>
  <c r="M138" i="122"/>
  <c r="M140" i="122" s="1"/>
  <c r="J21" i="122"/>
  <c r="J115" i="122"/>
  <c r="J117" i="122" s="1"/>
  <c r="H108" i="122"/>
  <c r="H111" i="122" s="1"/>
  <c r="H24" i="122"/>
  <c r="H41" i="122" s="1"/>
  <c r="H43" i="122" s="1"/>
  <c r="H51" i="122" s="1"/>
  <c r="S161" i="122"/>
  <c r="S141" i="122"/>
  <c r="I161" i="122"/>
  <c r="I141" i="122"/>
  <c r="R79" i="122"/>
  <c r="R83" i="122" s="1"/>
  <c r="R130" i="122"/>
  <c r="F21" i="122"/>
  <c r="B33" i="142" l="1"/>
  <c r="D3" i="142"/>
  <c r="Q83" i="122"/>
  <c r="O141" i="122"/>
  <c r="M161" i="122"/>
  <c r="S173" i="122"/>
  <c r="S189" i="122" s="1"/>
  <c r="E33" i="144"/>
  <c r="P177" i="122"/>
  <c r="P193" i="122" s="1"/>
  <c r="B2" i="145"/>
  <c r="Q177" i="122"/>
  <c r="Q193" i="122" s="1"/>
  <c r="C2" i="145"/>
  <c r="K177" i="122"/>
  <c r="K193" i="122" s="1"/>
  <c r="J141" i="122"/>
  <c r="J161" i="122"/>
  <c r="L177" i="122"/>
  <c r="L193" i="122" s="1"/>
  <c r="K141" i="122"/>
  <c r="K161" i="122"/>
  <c r="H177" i="122"/>
  <c r="H193" i="122" s="1"/>
  <c r="G141" i="122"/>
  <c r="H141" i="122"/>
  <c r="H161" i="122"/>
  <c r="R177" i="122"/>
  <c r="R193" i="122" s="1"/>
  <c r="Q141" i="122"/>
  <c r="R141" i="122"/>
  <c r="R161" i="122"/>
  <c r="Q161" i="122"/>
  <c r="O169" i="122"/>
  <c r="O185" i="122" s="1"/>
  <c r="N153" i="122"/>
  <c r="N112" i="122"/>
  <c r="I153" i="122"/>
  <c r="I112" i="122"/>
  <c r="J169" i="122"/>
  <c r="J185" i="122" s="1"/>
  <c r="O161" i="122"/>
  <c r="N177" i="122"/>
  <c r="N193" i="122" s="1"/>
  <c r="J14" i="103" s="1"/>
  <c r="Q108" i="122"/>
  <c r="Q111" i="122" s="1"/>
  <c r="Q24" i="122"/>
  <c r="Q41" i="122" s="1"/>
  <c r="Q43" i="122" s="1"/>
  <c r="Q51" i="122" s="1"/>
  <c r="L108" i="122"/>
  <c r="L111" i="122" s="1"/>
  <c r="M112" i="122" s="1"/>
  <c r="L24" i="122"/>
  <c r="L41" i="122" s="1"/>
  <c r="L43" i="122" s="1"/>
  <c r="L51" i="122" s="1"/>
  <c r="P169" i="122"/>
  <c r="P185" i="122" s="1"/>
  <c r="O153" i="122"/>
  <c r="O112" i="122"/>
  <c r="N161" i="122"/>
  <c r="P141" i="122"/>
  <c r="M141" i="122"/>
  <c r="L161" i="122"/>
  <c r="J108" i="122"/>
  <c r="J111" i="122" s="1"/>
  <c r="K153" i="122" s="1"/>
  <c r="J24" i="122"/>
  <c r="J41" i="122" s="1"/>
  <c r="J43" i="122" s="1"/>
  <c r="J51" i="122" s="1"/>
  <c r="N169" i="122"/>
  <c r="N185" i="122" s="1"/>
  <c r="M153" i="122"/>
  <c r="L169" i="122"/>
  <c r="L185" i="122" s="1"/>
  <c r="G108" i="122"/>
  <c r="G111" i="122" s="1"/>
  <c r="H169" i="122" s="1"/>
  <c r="H185" i="122" s="1"/>
  <c r="G24" i="122"/>
  <c r="G41" i="122" s="1"/>
  <c r="G43" i="122" s="1"/>
  <c r="G51" i="122" s="1"/>
  <c r="P24" i="122"/>
  <c r="P41" i="122" s="1"/>
  <c r="P43" i="122" s="1"/>
  <c r="P51" i="122" s="1"/>
  <c r="P108" i="122"/>
  <c r="P111" i="122" s="1"/>
  <c r="I169" i="122"/>
  <c r="I185" i="122" s="1"/>
  <c r="N141" i="122"/>
  <c r="P161" i="122"/>
  <c r="L141" i="122"/>
  <c r="R21" i="122"/>
  <c r="R115" i="122"/>
  <c r="R117" i="122" s="1"/>
  <c r="S157" i="122"/>
  <c r="S131" i="122"/>
  <c r="F24" i="122"/>
  <c r="F41" i="122" s="1"/>
  <c r="F43" i="122" s="1"/>
  <c r="F51" i="122" s="1"/>
  <c r="F108" i="122"/>
  <c r="F111" i="122" s="1"/>
  <c r="U12" i="91"/>
  <c r="U15" i="91" s="1"/>
  <c r="U17" i="91" s="1"/>
  <c r="U12" i="94"/>
  <c r="U15" i="94" s="1"/>
  <c r="U17" i="94" s="1"/>
  <c r="U26" i="94"/>
  <c r="U26" i="91"/>
  <c r="C33" i="142" l="1"/>
  <c r="E3" i="142"/>
  <c r="D33" i="142"/>
  <c r="F3" i="142"/>
  <c r="H112" i="122"/>
  <c r="H153" i="122"/>
  <c r="R169" i="122"/>
  <c r="R185" i="122" s="1"/>
  <c r="Q153" i="122"/>
  <c r="Q112" i="122"/>
  <c r="K169" i="122"/>
  <c r="K185" i="122" s="1"/>
  <c r="J112" i="122"/>
  <c r="J153" i="122"/>
  <c r="P112" i="122"/>
  <c r="P153" i="122"/>
  <c r="Q169" i="122"/>
  <c r="Q185" i="122" s="1"/>
  <c r="K112" i="122"/>
  <c r="M169" i="122"/>
  <c r="M185" i="122" s="1"/>
  <c r="L153" i="122"/>
  <c r="L112" i="122"/>
  <c r="R108" i="122"/>
  <c r="R111" i="122" s="1"/>
  <c r="R24" i="122"/>
  <c r="R41" i="122" s="1"/>
  <c r="R43" i="122" s="1"/>
  <c r="R51" i="122" s="1"/>
  <c r="U39" i="94"/>
  <c r="U42" i="94" s="1"/>
  <c r="G112" i="122"/>
  <c r="U34" i="94"/>
  <c r="U31" i="94"/>
  <c r="R126" i="122" s="1"/>
  <c r="U34" i="91"/>
  <c r="R101" i="122" s="1"/>
  <c r="U39" i="91"/>
  <c r="U42" i="91" s="1"/>
  <c r="U31" i="91"/>
  <c r="R125" i="122" s="1"/>
  <c r="E29" i="87"/>
  <c r="K22" i="87" s="1"/>
  <c r="P28" i="120"/>
  <c r="P38" i="120"/>
  <c r="M52" i="120"/>
  <c r="N52" i="120" s="1"/>
  <c r="T52" i="120" s="1"/>
  <c r="K75" i="122"/>
  <c r="N75" i="122"/>
  <c r="N78" i="122" s="1"/>
  <c r="C3" i="144" s="1"/>
  <c r="M75" i="122"/>
  <c r="M78" i="122" s="1"/>
  <c r="B3" i="144" s="1"/>
  <c r="H75" i="122"/>
  <c r="H78" i="122" s="1"/>
  <c r="G75" i="122"/>
  <c r="G78" i="122" s="1"/>
  <c r="F75" i="122"/>
  <c r="F78" i="122" s="1"/>
  <c r="T78" i="120"/>
  <c r="T64" i="120"/>
  <c r="O41" i="120"/>
  <c r="F38" i="120"/>
  <c r="F27" i="87"/>
  <c r="D52" i="110"/>
  <c r="F52" i="110" s="1"/>
  <c r="F50" i="120" s="1"/>
  <c r="T26" i="94"/>
  <c r="S26" i="94"/>
  <c r="R26" i="94"/>
  <c r="Q26" i="94"/>
  <c r="P26" i="94"/>
  <c r="O26" i="94"/>
  <c r="N26" i="94"/>
  <c r="M26" i="94"/>
  <c r="L26" i="94"/>
  <c r="K26" i="94"/>
  <c r="J26" i="94"/>
  <c r="I26" i="94"/>
  <c r="T12" i="94"/>
  <c r="T31" i="94" s="1"/>
  <c r="Q126" i="122" s="1"/>
  <c r="S12" i="94"/>
  <c r="S34" i="94" s="1"/>
  <c r="R12" i="94"/>
  <c r="R39" i="94" s="1"/>
  <c r="R42" i="94" s="1"/>
  <c r="Q12" i="94"/>
  <c r="P12" i="94"/>
  <c r="P15" i="94" s="1"/>
  <c r="P17" i="94" s="1"/>
  <c r="O12" i="94"/>
  <c r="O15" i="94" s="1"/>
  <c r="O17" i="94" s="1"/>
  <c r="N12" i="94"/>
  <c r="N31" i="94" s="1"/>
  <c r="K126" i="122" s="1"/>
  <c r="M12" i="94"/>
  <c r="M34" i="94" s="1"/>
  <c r="L12" i="94"/>
  <c r="L31" i="94" s="1"/>
  <c r="K12" i="94"/>
  <c r="K39" i="94" s="1"/>
  <c r="J12" i="94"/>
  <c r="J31" i="94" s="1"/>
  <c r="I12" i="94"/>
  <c r="I34" i="94" s="1"/>
  <c r="N15" i="94"/>
  <c r="N17" i="94" s="1"/>
  <c r="R15" i="94"/>
  <c r="R17" i="94"/>
  <c r="M35" i="91"/>
  <c r="T26" i="91"/>
  <c r="S26" i="91"/>
  <c r="R26" i="91"/>
  <c r="Q26" i="91"/>
  <c r="P26" i="91"/>
  <c r="O26" i="91"/>
  <c r="N26" i="91"/>
  <c r="M26" i="91"/>
  <c r="L26" i="91"/>
  <c r="K26" i="91"/>
  <c r="J26" i="91"/>
  <c r="I26" i="91"/>
  <c r="T12" i="91"/>
  <c r="T31" i="91" s="1"/>
  <c r="Q125" i="122" s="1"/>
  <c r="Q127" i="122" s="1"/>
  <c r="S12" i="91"/>
  <c r="S34" i="91" s="1"/>
  <c r="R12" i="91"/>
  <c r="R34" i="91" s="1"/>
  <c r="Q12" i="91"/>
  <c r="Q34" i="91" s="1"/>
  <c r="P12" i="91"/>
  <c r="P34" i="91" s="1"/>
  <c r="O12" i="91"/>
  <c r="O39" i="91" s="1"/>
  <c r="O42" i="91" s="1"/>
  <c r="N12" i="91"/>
  <c r="N34" i="91" s="1"/>
  <c r="M12" i="91"/>
  <c r="M34" i="91" s="1"/>
  <c r="L12" i="91"/>
  <c r="L34" i="91" s="1"/>
  <c r="K12" i="91"/>
  <c r="K15" i="91" s="1"/>
  <c r="K17" i="91" s="1"/>
  <c r="J12" i="91"/>
  <c r="J34" i="91" s="1"/>
  <c r="I12" i="91"/>
  <c r="I34" i="91" s="1"/>
  <c r="F32" i="78"/>
  <c r="F29" i="78"/>
  <c r="F28" i="78"/>
  <c r="F26" i="78"/>
  <c r="F25" i="78"/>
  <c r="F24" i="78"/>
  <c r="F23" i="78"/>
  <c r="F22" i="78"/>
  <c r="D19" i="78"/>
  <c r="F18" i="78"/>
  <c r="F17" i="78"/>
  <c r="F13" i="78"/>
  <c r="F11" i="78"/>
  <c r="F30" i="78"/>
  <c r="N39" i="91"/>
  <c r="N42" i="91" s="1"/>
  <c r="Q39" i="91"/>
  <c r="Q42" i="91"/>
  <c r="R39" i="91"/>
  <c r="R42" i="91" s="1"/>
  <c r="N15" i="91"/>
  <c r="N17" i="91" s="1"/>
  <c r="P15" i="91"/>
  <c r="P17" i="91" s="1"/>
  <c r="Q15" i="91"/>
  <c r="Q17" i="91" s="1"/>
  <c r="R15" i="91"/>
  <c r="R17" i="91" s="1"/>
  <c r="T15" i="91"/>
  <c r="T17" i="91" s="1"/>
  <c r="N31" i="91"/>
  <c r="K125" i="122" s="1"/>
  <c r="Q31" i="91"/>
  <c r="N125" i="122" s="1"/>
  <c r="R31" i="91"/>
  <c r="O125" i="122" s="1"/>
  <c r="N34" i="94"/>
  <c r="P34" i="94"/>
  <c r="P31" i="94"/>
  <c r="M126" i="122" s="1"/>
  <c r="R34" i="94"/>
  <c r="R31" i="94"/>
  <c r="O126" i="122" s="1"/>
  <c r="O31" i="94"/>
  <c r="O32" i="94" s="1"/>
  <c r="T34" i="91"/>
  <c r="P39" i="94"/>
  <c r="P42" i="94" s="1"/>
  <c r="M51" i="120"/>
  <c r="N51" i="120" s="1"/>
  <c r="T51" i="120" s="1"/>
  <c r="M17" i="120"/>
  <c r="N17" i="120" s="1"/>
  <c r="R32" i="91"/>
  <c r="R43" i="91" s="1"/>
  <c r="R45" i="91" s="1"/>
  <c r="F10" i="120"/>
  <c r="F29" i="87"/>
  <c r="H28" i="120"/>
  <c r="I75" i="122"/>
  <c r="I78" i="122" s="1"/>
  <c r="N32" i="94"/>
  <c r="H21" i="120"/>
  <c r="P32" i="94" l="1"/>
  <c r="P43" i="94" s="1"/>
  <c r="Q32" i="91"/>
  <c r="Q43" i="91" s="1"/>
  <c r="P31" i="91"/>
  <c r="M125" i="122" s="1"/>
  <c r="T39" i="91"/>
  <c r="T42" i="91" s="1"/>
  <c r="P39" i="91"/>
  <c r="P42" i="91" s="1"/>
  <c r="N39" i="94"/>
  <c r="N42" i="94" s="1"/>
  <c r="N43" i="94" s="1"/>
  <c r="N45" i="94" s="1"/>
  <c r="N48" i="94" s="1"/>
  <c r="N53" i="94" s="1"/>
  <c r="O34" i="94"/>
  <c r="O39" i="94"/>
  <c r="O42" i="94" s="1"/>
  <c r="O43" i="94" s="1"/>
  <c r="O45" i="94" s="1"/>
  <c r="T39" i="94"/>
  <c r="T42" i="94" s="1"/>
  <c r="T34" i="94"/>
  <c r="N32" i="91"/>
  <c r="T32" i="94"/>
  <c r="D34" i="143"/>
  <c r="F3" i="143"/>
  <c r="E33" i="142"/>
  <c r="G3" i="142"/>
  <c r="K127" i="122"/>
  <c r="L155" i="122" s="1"/>
  <c r="M127" i="122"/>
  <c r="R127" i="122"/>
  <c r="P45" i="94"/>
  <c r="P48" i="94" s="1"/>
  <c r="T43" i="91"/>
  <c r="T45" i="91" s="1"/>
  <c r="T48" i="91" s="1"/>
  <c r="T53" i="91" s="1"/>
  <c r="O102" i="122"/>
  <c r="S31" i="91"/>
  <c r="P125" i="122" s="1"/>
  <c r="S15" i="91"/>
  <c r="S17" i="91" s="1"/>
  <c r="O15" i="91"/>
  <c r="O17" i="91" s="1"/>
  <c r="S39" i="91"/>
  <c r="S42" i="91" s="1"/>
  <c r="R102" i="122"/>
  <c r="R104" i="122" s="1"/>
  <c r="Q34" i="94"/>
  <c r="N102" i="122" s="1"/>
  <c r="Q31" i="94"/>
  <c r="N126" i="122" s="1"/>
  <c r="N127" i="122" s="1"/>
  <c r="C3" i="143" s="1"/>
  <c r="Q39" i="94"/>
  <c r="Q42" i="94" s="1"/>
  <c r="P32" i="91"/>
  <c r="P43" i="91" s="1"/>
  <c r="P45" i="91" s="1"/>
  <c r="P48" i="91" s="1"/>
  <c r="P53" i="91" s="1"/>
  <c r="O127" i="122"/>
  <c r="N43" i="91"/>
  <c r="N45" i="91" s="1"/>
  <c r="N101" i="122"/>
  <c r="S15" i="94"/>
  <c r="S17" i="94" s="1"/>
  <c r="S31" i="94"/>
  <c r="S169" i="122"/>
  <c r="S185" i="122" s="1"/>
  <c r="S153" i="122"/>
  <c r="R153" i="122"/>
  <c r="R112" i="122"/>
  <c r="S112" i="122"/>
  <c r="R171" i="122"/>
  <c r="R187" i="122" s="1"/>
  <c r="O34" i="91"/>
  <c r="O31" i="91"/>
  <c r="O32" i="91" s="1"/>
  <c r="R32" i="94"/>
  <c r="R43" i="94" s="1"/>
  <c r="R45" i="94" s="1"/>
  <c r="Q15" i="94"/>
  <c r="Q17" i="94" s="1"/>
  <c r="M102" i="122"/>
  <c r="T32" i="91"/>
  <c r="K101" i="122"/>
  <c r="O101" i="122"/>
  <c r="O104" i="122" s="1"/>
  <c r="S171" i="122"/>
  <c r="S187" i="122" s="1"/>
  <c r="R155" i="122"/>
  <c r="R128" i="122"/>
  <c r="P9" i="120"/>
  <c r="G12" i="103"/>
  <c r="P17" i="120"/>
  <c r="G20" i="103"/>
  <c r="I20" i="103" s="1"/>
  <c r="E20" i="103" s="1"/>
  <c r="Q17" i="120" s="1"/>
  <c r="F35" i="78"/>
  <c r="M39" i="91"/>
  <c r="M42" i="91" s="1"/>
  <c r="H50" i="120"/>
  <c r="G50" i="120"/>
  <c r="H130" i="122"/>
  <c r="H83" i="122"/>
  <c r="G130" i="122"/>
  <c r="G83" i="122"/>
  <c r="F130" i="122"/>
  <c r="F83" i="122"/>
  <c r="N130" i="122"/>
  <c r="N83" i="122"/>
  <c r="I130" i="122"/>
  <c r="J173" i="122" s="1"/>
  <c r="J189" i="122" s="1"/>
  <c r="I83" i="122"/>
  <c r="M130" i="122"/>
  <c r="M83" i="122"/>
  <c r="J39" i="91"/>
  <c r="J42" i="91" s="1"/>
  <c r="I126" i="122"/>
  <c r="G126" i="122"/>
  <c r="L39" i="94"/>
  <c r="G29" i="87"/>
  <c r="M39" i="94"/>
  <c r="M42" i="94" s="1"/>
  <c r="D56" i="110"/>
  <c r="L34" i="94"/>
  <c r="F19" i="78"/>
  <c r="L15" i="94"/>
  <c r="L17" i="94" s="1"/>
  <c r="L32" i="94"/>
  <c r="K34" i="94"/>
  <c r="I15" i="91"/>
  <c r="I17" i="91" s="1"/>
  <c r="F56" i="110"/>
  <c r="J15" i="94"/>
  <c r="J17" i="94" s="1"/>
  <c r="J34" i="94"/>
  <c r="M31" i="91"/>
  <c r="M32" i="91" s="1"/>
  <c r="L15" i="91"/>
  <c r="L17" i="91" s="1"/>
  <c r="I31" i="91"/>
  <c r="F125" i="122" s="1"/>
  <c r="M15" i="91"/>
  <c r="M17" i="91" s="1"/>
  <c r="I39" i="91"/>
  <c r="I42" i="91" s="1"/>
  <c r="J32" i="94"/>
  <c r="L31" i="91"/>
  <c r="I125" i="122" s="1"/>
  <c r="L39" i="91"/>
  <c r="L42" i="91" s="1"/>
  <c r="K42" i="94"/>
  <c r="K15" i="94"/>
  <c r="K17" i="94" s="1"/>
  <c r="I31" i="94"/>
  <c r="F126" i="122" s="1"/>
  <c r="K31" i="94"/>
  <c r="H126" i="122" s="1"/>
  <c r="I39" i="94"/>
  <c r="F102" i="122" s="1"/>
  <c r="I15" i="94"/>
  <c r="I17" i="94" s="1"/>
  <c r="M15" i="94"/>
  <c r="M17" i="94" s="1"/>
  <c r="M31" i="94"/>
  <c r="M32" i="94" s="1"/>
  <c r="J39" i="94"/>
  <c r="K34" i="91"/>
  <c r="K31" i="91"/>
  <c r="J31" i="91"/>
  <c r="G125" i="122" s="1"/>
  <c r="J15" i="91"/>
  <c r="J17" i="91" s="1"/>
  <c r="K39" i="91"/>
  <c r="K42" i="91" s="1"/>
  <c r="F39" i="120"/>
  <c r="F12" i="120"/>
  <c r="K20" i="87"/>
  <c r="Q130" i="122"/>
  <c r="D33" i="144" s="1"/>
  <c r="E27" i="87"/>
  <c r="G27" i="87" s="1"/>
  <c r="K78" i="122"/>
  <c r="T15" i="94"/>
  <c r="T17" i="94" s="1"/>
  <c r="U32" i="94"/>
  <c r="U43" i="94" s="1"/>
  <c r="U45" i="94" s="1"/>
  <c r="U48" i="94" s="1"/>
  <c r="U53" i="94" s="1"/>
  <c r="U32" i="91"/>
  <c r="U43" i="91" s="1"/>
  <c r="E10" i="120"/>
  <c r="E12" i="120" s="1"/>
  <c r="E21" i="120"/>
  <c r="E38" i="120"/>
  <c r="D37" i="78"/>
  <c r="F28" i="87"/>
  <c r="K21" i="87"/>
  <c r="E28" i="87"/>
  <c r="I63" i="120"/>
  <c r="I70" i="120"/>
  <c r="O48" i="94"/>
  <c r="O53" i="94"/>
  <c r="R48" i="91"/>
  <c r="R53" i="91" s="1"/>
  <c r="P53" i="94"/>
  <c r="R48" i="94"/>
  <c r="R53" i="94" s="1"/>
  <c r="T43" i="94"/>
  <c r="Q45" i="91"/>
  <c r="H10" i="120"/>
  <c r="H12" i="120" s="1"/>
  <c r="H38" i="120"/>
  <c r="H39" i="120" s="1"/>
  <c r="I38" i="120"/>
  <c r="S32" i="91"/>
  <c r="S43" i="91" s="1"/>
  <c r="S39" i="94"/>
  <c r="P102" i="122" s="1"/>
  <c r="G3" i="150" l="1"/>
  <c r="G5" i="150" s="1"/>
  <c r="D3" i="150"/>
  <c r="D5" i="150" s="1"/>
  <c r="N104" i="122"/>
  <c r="M101" i="122"/>
  <c r="M104" i="122" s="1"/>
  <c r="T45" i="94"/>
  <c r="O43" i="91"/>
  <c r="O45" i="91" s="1"/>
  <c r="P101" i="122"/>
  <c r="P104" i="122" s="1"/>
  <c r="Q102" i="122"/>
  <c r="Q101" i="122"/>
  <c r="Q104" i="122" s="1"/>
  <c r="K102" i="122"/>
  <c r="K104" i="122" s="1"/>
  <c r="M155" i="122"/>
  <c r="B3" i="143"/>
  <c r="B34" i="143"/>
  <c r="D3" i="143"/>
  <c r="E34" i="143"/>
  <c r="G3" i="143"/>
  <c r="S151" i="122"/>
  <c r="K155" i="122"/>
  <c r="L128" i="122"/>
  <c r="N171" i="122"/>
  <c r="N187" i="122" s="1"/>
  <c r="M128" i="122"/>
  <c r="S155" i="122"/>
  <c r="K128" i="122"/>
  <c r="L171" i="122"/>
  <c r="L187" i="122" s="1"/>
  <c r="R151" i="122"/>
  <c r="S128" i="122"/>
  <c r="N165" i="122"/>
  <c r="N181" i="122" s="1"/>
  <c r="M151" i="122"/>
  <c r="M105" i="122"/>
  <c r="O48" i="91"/>
  <c r="O53" i="91" s="1"/>
  <c r="R105" i="122"/>
  <c r="S165" i="122"/>
  <c r="S181" i="122" s="1"/>
  <c r="R165" i="122"/>
  <c r="R181" i="122" s="1"/>
  <c r="P171" i="122"/>
  <c r="P187" i="122" s="1"/>
  <c r="O155" i="122"/>
  <c r="O128" i="122"/>
  <c r="T17" i="120"/>
  <c r="S105" i="122"/>
  <c r="O171" i="122"/>
  <c r="O187" i="122" s="1"/>
  <c r="N128" i="122"/>
  <c r="N155" i="122"/>
  <c r="P126" i="122"/>
  <c r="P127" i="122" s="1"/>
  <c r="S32" i="94"/>
  <c r="S45" i="91"/>
  <c r="P165" i="122"/>
  <c r="P181" i="122" s="1"/>
  <c r="N48" i="91"/>
  <c r="N53" i="91"/>
  <c r="N173" i="122"/>
  <c r="N189" i="122" s="1"/>
  <c r="O173" i="122"/>
  <c r="O189" i="122" s="1"/>
  <c r="H173" i="122"/>
  <c r="H189" i="122" s="1"/>
  <c r="I173" i="122"/>
  <c r="I189" i="122" s="1"/>
  <c r="R173" i="122"/>
  <c r="R189" i="122" s="1"/>
  <c r="P16" i="120"/>
  <c r="P21" i="120" s="1"/>
  <c r="P39" i="120" s="1"/>
  <c r="G13" i="103"/>
  <c r="G14" i="103" s="1"/>
  <c r="I12" i="103"/>
  <c r="G131" i="122"/>
  <c r="G19" i="103"/>
  <c r="I19" i="103" s="1"/>
  <c r="P11" i="120"/>
  <c r="M43" i="91"/>
  <c r="M45" i="91" s="1"/>
  <c r="M48" i="91" s="1"/>
  <c r="N157" i="122"/>
  <c r="H131" i="122"/>
  <c r="H157" i="122"/>
  <c r="I157" i="122"/>
  <c r="N131" i="122"/>
  <c r="K130" i="122"/>
  <c r="L173" i="122" s="1"/>
  <c r="L189" i="122" s="1"/>
  <c r="K83" i="122"/>
  <c r="I131" i="122"/>
  <c r="G101" i="122"/>
  <c r="F101" i="122"/>
  <c r="F104" i="122" s="1"/>
  <c r="M43" i="94"/>
  <c r="M45" i="94" s="1"/>
  <c r="M48" i="94" s="1"/>
  <c r="M53" i="94" s="1"/>
  <c r="K165" i="122"/>
  <c r="K181" i="122" s="1"/>
  <c r="I127" i="122"/>
  <c r="J171" i="122" s="1"/>
  <c r="J187" i="122" s="1"/>
  <c r="R157" i="122"/>
  <c r="G127" i="122"/>
  <c r="H171" i="122" s="1"/>
  <c r="H187" i="122" s="1"/>
  <c r="H125" i="122"/>
  <c r="H127" i="122" s="1"/>
  <c r="I171" i="122" s="1"/>
  <c r="I187" i="122" s="1"/>
  <c r="G102" i="122"/>
  <c r="H102" i="122"/>
  <c r="I101" i="122"/>
  <c r="I102" i="122"/>
  <c r="F127" i="122"/>
  <c r="H101" i="122"/>
  <c r="H104" i="122" s="1"/>
  <c r="R131" i="122"/>
  <c r="L42" i="94"/>
  <c r="L43" i="94" s="1"/>
  <c r="L45" i="94" s="1"/>
  <c r="L48" i="94" s="1"/>
  <c r="L53" i="94" s="1"/>
  <c r="G28" i="87"/>
  <c r="I72" i="120"/>
  <c r="I75" i="120" s="1"/>
  <c r="L32" i="91"/>
  <c r="L43" i="91" s="1"/>
  <c r="I32" i="91"/>
  <c r="I43" i="91" s="1"/>
  <c r="K32" i="91"/>
  <c r="K43" i="91" s="1"/>
  <c r="K45" i="91" s="1"/>
  <c r="K48" i="91" s="1"/>
  <c r="K53" i="91" s="1"/>
  <c r="F37" i="78"/>
  <c r="P10" i="120"/>
  <c r="I42" i="94"/>
  <c r="J42" i="94"/>
  <c r="J43" i="94" s="1"/>
  <c r="J45" i="94" s="1"/>
  <c r="I32" i="94"/>
  <c r="K32" i="94"/>
  <c r="K43" i="94" s="1"/>
  <c r="K45" i="94" s="1"/>
  <c r="J32" i="91"/>
  <c r="J43" i="91" s="1"/>
  <c r="I28" i="120"/>
  <c r="F41" i="120"/>
  <c r="I10" i="87"/>
  <c r="J10" i="87" s="1"/>
  <c r="I9" i="87"/>
  <c r="J9" i="87" s="1"/>
  <c r="K8" i="87"/>
  <c r="K7" i="87"/>
  <c r="U45" i="91"/>
  <c r="U48" i="91" s="1"/>
  <c r="U53" i="91" s="1"/>
  <c r="I21" i="120"/>
  <c r="E39" i="120"/>
  <c r="E41" i="120" s="1"/>
  <c r="L75" i="122"/>
  <c r="L78" i="122" s="1"/>
  <c r="K15" i="87"/>
  <c r="K14" i="87"/>
  <c r="K18" i="87"/>
  <c r="K16" i="87"/>
  <c r="K17" i="87"/>
  <c r="K13" i="87"/>
  <c r="K11" i="87"/>
  <c r="Q32" i="94"/>
  <c r="Q43" i="94" s="1"/>
  <c r="Q45" i="94" s="1"/>
  <c r="S48" i="91"/>
  <c r="S53" i="91" s="1"/>
  <c r="S42" i="94"/>
  <c r="S43" i="94" s="1"/>
  <c r="S45" i="94" s="1"/>
  <c r="I22" i="87"/>
  <c r="I8" i="87"/>
  <c r="I18" i="87"/>
  <c r="I14" i="87"/>
  <c r="I11" i="87"/>
  <c r="I7" i="87"/>
  <c r="I20" i="87"/>
  <c r="I21" i="87"/>
  <c r="I16" i="87"/>
  <c r="I15" i="87"/>
  <c r="I13" i="87"/>
  <c r="I17" i="87"/>
  <c r="I12" i="120"/>
  <c r="T48" i="94"/>
  <c r="T53" i="94" s="1"/>
  <c r="O75" i="122"/>
  <c r="O78" i="122" s="1"/>
  <c r="D3" i="144" s="1"/>
  <c r="H41" i="120"/>
  <c r="H49" i="120" s="1"/>
  <c r="Q48" i="91"/>
  <c r="Q53" i="91" s="1"/>
  <c r="L165" i="122" l="1"/>
  <c r="L181" i="122" s="1"/>
  <c r="L151" i="122"/>
  <c r="L105" i="122"/>
  <c r="F3" i="150"/>
  <c r="F5" i="150" s="1"/>
  <c r="G104" i="122"/>
  <c r="B3" i="150"/>
  <c r="B5" i="150" s="1"/>
  <c r="E5" i="150"/>
  <c r="E3" i="150"/>
  <c r="C3" i="150"/>
  <c r="C5" i="150" s="1"/>
  <c r="I104" i="122"/>
  <c r="J165" i="122" s="1"/>
  <c r="J181" i="122" s="1"/>
  <c r="C34" i="143"/>
  <c r="E3" i="143"/>
  <c r="O105" i="122"/>
  <c r="Q151" i="122"/>
  <c r="Q171" i="122"/>
  <c r="Q187" i="122" s="1"/>
  <c r="P155" i="122"/>
  <c r="P128" i="122"/>
  <c r="Q155" i="122"/>
  <c r="Q128" i="122"/>
  <c r="O165" i="122"/>
  <c r="O181" i="122" s="1"/>
  <c r="N151" i="122"/>
  <c r="N105" i="122"/>
  <c r="Q165" i="122"/>
  <c r="Q181" i="122" s="1"/>
  <c r="P151" i="122"/>
  <c r="P105" i="122"/>
  <c r="O151" i="122"/>
  <c r="Q105" i="122"/>
  <c r="E12" i="103"/>
  <c r="Q9" i="120" s="1"/>
  <c r="T9" i="120" s="1"/>
  <c r="I13" i="103"/>
  <c r="G24" i="103"/>
  <c r="G41" i="103" s="1"/>
  <c r="I14" i="103"/>
  <c r="G15" i="103"/>
  <c r="P12" i="120"/>
  <c r="P41" i="120" s="1"/>
  <c r="P49" i="120" s="1"/>
  <c r="P54" i="120" s="1"/>
  <c r="F49" i="120"/>
  <c r="F54" i="120" s="1"/>
  <c r="J155" i="122"/>
  <c r="O130" i="122"/>
  <c r="O83" i="122"/>
  <c r="L130" i="122"/>
  <c r="L83" i="122"/>
  <c r="I165" i="122"/>
  <c r="I181" i="122" s="1"/>
  <c r="J128" i="122"/>
  <c r="I155" i="122"/>
  <c r="K151" i="122"/>
  <c r="G128" i="122"/>
  <c r="H128" i="122"/>
  <c r="H155" i="122"/>
  <c r="I128" i="122"/>
  <c r="M53" i="91"/>
  <c r="I79" i="120"/>
  <c r="L45" i="91"/>
  <c r="L48" i="91" s="1"/>
  <c r="L53" i="91" s="1"/>
  <c r="I45" i="91"/>
  <c r="I48" i="91" s="1"/>
  <c r="I53" i="91" s="1"/>
  <c r="F39" i="78"/>
  <c r="F41" i="78" s="1"/>
  <c r="I39" i="120"/>
  <c r="I41" i="120" s="1"/>
  <c r="K48" i="94"/>
  <c r="K53" i="94" s="1"/>
  <c r="J48" i="94"/>
  <c r="J53" i="94" s="1"/>
  <c r="I43" i="94"/>
  <c r="I45" i="94" s="1"/>
  <c r="I48" i="94" s="1"/>
  <c r="I53" i="94" s="1"/>
  <c r="J45" i="91"/>
  <c r="J75" i="122"/>
  <c r="J78" i="122" s="1"/>
  <c r="P75" i="122"/>
  <c r="P78" i="122" s="1"/>
  <c r="E3" i="144" s="1"/>
  <c r="L17" i="87"/>
  <c r="M17" i="87" s="1"/>
  <c r="J17" i="87"/>
  <c r="L15" i="87"/>
  <c r="M15" i="87" s="1"/>
  <c r="J15" i="87"/>
  <c r="J21" i="87"/>
  <c r="L21" i="87"/>
  <c r="M21" i="87" s="1"/>
  <c r="O11" i="87"/>
  <c r="L7" i="87"/>
  <c r="M7" i="87" s="1"/>
  <c r="I25" i="87"/>
  <c r="J7" i="87"/>
  <c r="L14" i="87"/>
  <c r="M14" i="87" s="1"/>
  <c r="J14" i="87"/>
  <c r="L8" i="87"/>
  <c r="M8" i="87" s="1"/>
  <c r="J8" i="87"/>
  <c r="S48" i="94"/>
  <c r="S53" i="94" s="1"/>
  <c r="Q48" i="94"/>
  <c r="Q53" i="94" s="1"/>
  <c r="O18" i="87"/>
  <c r="L13" i="87"/>
  <c r="M13" i="87" s="1"/>
  <c r="J13" i="87"/>
  <c r="L16" i="87"/>
  <c r="M16" i="87" s="1"/>
  <c r="J16" i="87"/>
  <c r="J20" i="87"/>
  <c r="L20" i="87"/>
  <c r="M20" i="87" s="1"/>
  <c r="O22" i="87"/>
  <c r="J11" i="87"/>
  <c r="L11" i="87"/>
  <c r="M11" i="87" s="1"/>
  <c r="J18" i="87"/>
  <c r="L18" i="87"/>
  <c r="M18" i="87" s="1"/>
  <c r="L22" i="87"/>
  <c r="M22" i="87" s="1"/>
  <c r="J22" i="87"/>
  <c r="P173" i="122" l="1"/>
  <c r="P189" i="122" s="1"/>
  <c r="B33" i="144"/>
  <c r="H165" i="122"/>
  <c r="H181" i="122" s="1"/>
  <c r="L157" i="122"/>
  <c r="M173" i="122"/>
  <c r="M189" i="122" s="1"/>
  <c r="M131" i="122"/>
  <c r="L131" i="122"/>
  <c r="E19" i="103"/>
  <c r="Q16" i="120" s="1"/>
  <c r="I24" i="103"/>
  <c r="I41" i="103" s="1"/>
  <c r="G43" i="103"/>
  <c r="G46" i="103" s="1"/>
  <c r="G51" i="103" s="1"/>
  <c r="I15" i="103"/>
  <c r="E14" i="103"/>
  <c r="Q11" i="120" s="1"/>
  <c r="M157" i="122"/>
  <c r="P130" i="122"/>
  <c r="C33" i="144" s="1"/>
  <c r="P83" i="122"/>
  <c r="O131" i="122"/>
  <c r="O157" i="122"/>
  <c r="J130" i="122"/>
  <c r="K173" i="122" s="1"/>
  <c r="K189" i="122" s="1"/>
  <c r="J83" i="122"/>
  <c r="H151" i="122"/>
  <c r="I151" i="122"/>
  <c r="J151" i="122"/>
  <c r="J48" i="91"/>
  <c r="J53" i="91" s="1"/>
  <c r="J25" i="87"/>
  <c r="N22" i="87"/>
  <c r="P22" i="87" s="1"/>
  <c r="N18" i="87"/>
  <c r="P18" i="87" s="1"/>
  <c r="N11" i="87"/>
  <c r="P11" i="87" s="1"/>
  <c r="O24" i="87"/>
  <c r="Q21" i="120" l="1"/>
  <c r="P157" i="122"/>
  <c r="Q173" i="122"/>
  <c r="Q189" i="122" s="1"/>
  <c r="K59" i="120"/>
  <c r="M58" i="120"/>
  <c r="I43" i="103"/>
  <c r="I46" i="103" s="1"/>
  <c r="I51" i="103" s="1"/>
  <c r="E24" i="103"/>
  <c r="J131" i="122"/>
  <c r="J157" i="122"/>
  <c r="K131" i="122"/>
  <c r="Q157" i="122"/>
  <c r="K157" i="122"/>
  <c r="P131" i="122"/>
  <c r="Q131" i="122"/>
  <c r="G20" i="126"/>
  <c r="K7" i="120"/>
  <c r="J10" i="103" s="1"/>
  <c r="T11" i="120"/>
  <c r="P24" i="87"/>
  <c r="P25" i="87" s="1"/>
  <c r="E10" i="103" l="1"/>
  <c r="Q7" i="120" s="1"/>
  <c r="T7" i="120" s="1"/>
  <c r="J29" i="103"/>
  <c r="J32" i="103"/>
  <c r="E32" i="103" s="1"/>
  <c r="Q30" i="120" s="1"/>
  <c r="J37" i="103"/>
  <c r="K8" i="120"/>
  <c r="K37" i="120"/>
  <c r="M37" i="120" s="1"/>
  <c r="N37" i="120" s="1"/>
  <c r="T37" i="120" s="1"/>
  <c r="K27" i="120"/>
  <c r="E37" i="103" l="1"/>
  <c r="Q35" i="120" s="1"/>
  <c r="J40" i="103"/>
  <c r="J11" i="103"/>
  <c r="E29" i="103"/>
  <c r="Q27" i="120" s="1"/>
  <c r="J30" i="103"/>
  <c r="K25" i="120"/>
  <c r="K74" i="120"/>
  <c r="K75" i="120" s="1"/>
  <c r="K65" i="120"/>
  <c r="K69" i="120"/>
  <c r="M68" i="120"/>
  <c r="K66" i="120"/>
  <c r="K62" i="120"/>
  <c r="K60" i="120"/>
  <c r="K67" i="120"/>
  <c r="M27" i="120"/>
  <c r="N27" i="120" s="1"/>
  <c r="M20" i="120"/>
  <c r="N20" i="120" s="1"/>
  <c r="T20" i="120" s="1"/>
  <c r="M19" i="120"/>
  <c r="N19" i="120" s="1"/>
  <c r="T19" i="120" s="1"/>
  <c r="T27" i="120" l="1"/>
  <c r="J41" i="103"/>
  <c r="E11" i="103"/>
  <c r="Q8" i="120" s="1"/>
  <c r="T8" i="120" s="1"/>
  <c r="J13" i="103"/>
  <c r="J15" i="103" s="1"/>
  <c r="K30" i="120"/>
  <c r="M18" i="120"/>
  <c r="N18" i="120" s="1"/>
  <c r="T18" i="120" s="1"/>
  <c r="M25" i="120"/>
  <c r="N25" i="120" s="1"/>
  <c r="T25" i="120" s="1"/>
  <c r="M36" i="120"/>
  <c r="N36" i="120" s="1"/>
  <c r="T36" i="120" s="1"/>
  <c r="J43" i="103" l="1"/>
  <c r="J46" i="103" s="1"/>
  <c r="J51" i="103" s="1"/>
  <c r="E13" i="103"/>
  <c r="E15" i="103" s="1"/>
  <c r="Q10" i="120"/>
  <c r="Q12" i="120" s="1"/>
  <c r="E30" i="103"/>
  <c r="E40" i="103"/>
  <c r="Q38" i="120"/>
  <c r="K35" i="120"/>
  <c r="K32" i="120"/>
  <c r="K31" i="120"/>
  <c r="K24" i="120"/>
  <c r="M24" i="120" s="1"/>
  <c r="T10" i="120" l="1"/>
  <c r="T12" i="120" s="1"/>
  <c r="Q28" i="120"/>
  <c r="Q39" i="120" s="1"/>
  <c r="Q41" i="120" s="1"/>
  <c r="Q49" i="120" s="1"/>
  <c r="E41" i="103"/>
  <c r="E43" i="103" s="1"/>
  <c r="E46" i="103" s="1"/>
  <c r="E51" i="103" s="1"/>
  <c r="M32" i="120"/>
  <c r="N32" i="120" s="1"/>
  <c r="T32" i="120" s="1"/>
  <c r="M31" i="120"/>
  <c r="N31" i="120" s="1"/>
  <c r="T31" i="120" s="1"/>
  <c r="M35" i="120"/>
  <c r="N35" i="120" s="1"/>
  <c r="M16" i="120"/>
  <c r="N16" i="120" s="1"/>
  <c r="T16" i="120" s="1"/>
  <c r="M30" i="120"/>
  <c r="N30" i="120" s="1"/>
  <c r="T30" i="120" s="1"/>
  <c r="M74" i="120"/>
  <c r="N74" i="120" s="1"/>
  <c r="T74" i="120" s="1"/>
  <c r="M28" i="120"/>
  <c r="N24" i="120"/>
  <c r="T24" i="120" s="1"/>
  <c r="T28" i="120" s="1"/>
  <c r="Q54" i="120" l="1"/>
  <c r="M21" i="120"/>
  <c r="M38" i="120"/>
  <c r="N28" i="120"/>
  <c r="T35" i="120"/>
  <c r="T38" i="120" s="1"/>
  <c r="N38" i="120"/>
  <c r="M76" i="120"/>
  <c r="N76" i="120" s="1"/>
  <c r="T76" i="120" s="1"/>
  <c r="M77" i="120"/>
  <c r="N77" i="120" s="1"/>
  <c r="T77" i="120" s="1"/>
  <c r="T21" i="120"/>
  <c r="N21" i="120"/>
  <c r="M62" i="120"/>
  <c r="N62" i="120" s="1"/>
  <c r="T62" i="120" s="1"/>
  <c r="T39" i="120" l="1"/>
  <c r="M39" i="120"/>
  <c r="M41" i="120" s="1"/>
  <c r="N39" i="120"/>
  <c r="N41" i="120" s="1"/>
  <c r="M61" i="120"/>
  <c r="N61" i="120" s="1"/>
  <c r="T61" i="120" s="1"/>
  <c r="M69" i="120"/>
  <c r="N69" i="120" s="1"/>
  <c r="T69" i="120" s="1"/>
  <c r="T41" i="120" l="1"/>
  <c r="M49" i="120"/>
  <c r="N68" i="120"/>
  <c r="T68" i="120" s="1"/>
  <c r="M60" i="120"/>
  <c r="N60" i="120" s="1"/>
  <c r="T60" i="120" s="1"/>
  <c r="M59" i="120" l="1"/>
  <c r="N59" i="120" s="1"/>
  <c r="T59" i="120" s="1"/>
  <c r="M67" i="120"/>
  <c r="N67" i="120" s="1"/>
  <c r="T67" i="120" s="1"/>
  <c r="M66" i="120" l="1"/>
  <c r="N66" i="120" s="1"/>
  <c r="T66" i="120" s="1"/>
  <c r="M65" i="120"/>
  <c r="N58" i="120"/>
  <c r="T58" i="120" s="1"/>
  <c r="M63" i="120"/>
  <c r="N65" i="120" l="1"/>
  <c r="T65" i="120" s="1"/>
  <c r="M70" i="120"/>
  <c r="M72" i="120" s="1"/>
  <c r="M75" i="120" s="1"/>
  <c r="T63" i="120"/>
  <c r="N63" i="120"/>
  <c r="M79" i="120" l="1"/>
  <c r="M50" i="120" s="1"/>
  <c r="T70" i="120"/>
  <c r="N70" i="120"/>
  <c r="N72" i="120" s="1"/>
  <c r="N75" i="120" s="1"/>
  <c r="M54" i="120" l="1"/>
  <c r="T72" i="120"/>
  <c r="N79" i="120"/>
  <c r="T79" i="120" l="1"/>
  <c r="T85" i="120" s="1"/>
  <c r="T75" i="120"/>
  <c r="H14" i="126" l="1"/>
  <c r="H18" i="126" s="1"/>
  <c r="H54" i="120"/>
  <c r="G54" i="120" l="1"/>
  <c r="I49" i="120" l="1"/>
  <c r="N49" i="120" l="1"/>
  <c r="T49" i="120" s="1"/>
  <c r="E54" i="120" l="1"/>
  <c r="E81" i="120" s="1"/>
  <c r="I50" i="120"/>
  <c r="I54" i="120" l="1"/>
  <c r="N50" i="120"/>
  <c r="T50" i="120" s="1"/>
  <c r="U50" i="120" l="1"/>
  <c r="U54" i="120" s="1"/>
  <c r="T54" i="120"/>
  <c r="N54" i="120"/>
  <c r="U86" i="120" l="1"/>
  <c r="U88" i="120" s="1"/>
  <c r="U90" i="120" s="1"/>
  <c r="U81" i="120"/>
  <c r="F20" i="126"/>
  <c r="H20" i="126" s="1"/>
  <c r="H22" i="126" s="1"/>
  <c r="T81" i="120"/>
  <c r="T86" i="120"/>
  <c r="T88" i="120" s="1"/>
  <c r="T90" i="120" s="1"/>
  <c r="H24" i="126" l="1"/>
  <c r="H28" i="126" s="1"/>
  <c r="H34" i="126" l="1"/>
  <c r="H32" i="126"/>
  <c r="H40" i="126" s="1"/>
  <c r="H42" i="126" s="1"/>
  <c r="H46" i="126" s="1"/>
  <c r="H48" i="126" l="1"/>
  <c r="H50" i="126"/>
</calcChain>
</file>

<file path=xl/comments1.xml><?xml version="1.0" encoding="utf-8"?>
<comments xmlns="http://schemas.openxmlformats.org/spreadsheetml/2006/main">
  <authors>
    <author>gzhkw6</author>
  </authors>
  <commentList>
    <comment ref="F77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Segregated Deferred Taxes and Deferred Debits and Credits as if it had been shown that way prior to 2011</t>
        </r>
      </text>
    </comment>
  </commentList>
</comments>
</file>

<file path=xl/comments2.xml><?xml version="1.0" encoding="utf-8"?>
<comments xmlns="http://schemas.openxmlformats.org/spreadsheetml/2006/main">
  <authors>
    <author>Joe Miller</author>
  </authors>
  <commentList>
    <comment ref="G14" authorId="0" shapeId="0">
      <text>
        <r>
          <rPr>
            <b/>
            <sz val="8"/>
            <color indexed="81"/>
            <rFont val="Tahoma"/>
            <family val="2"/>
          </rPr>
          <t>Joe Miller:</t>
        </r>
        <r>
          <rPr>
            <sz val="8"/>
            <color indexed="81"/>
            <rFont val="Tahoma"/>
            <family val="2"/>
          </rPr>
          <t xml:space="preserve">
Includes Unbilled</t>
        </r>
      </text>
    </comment>
  </commentList>
</comments>
</file>

<file path=xl/comments3.xml><?xml version="1.0" encoding="utf-8"?>
<comments xmlns="http://schemas.openxmlformats.org/spreadsheetml/2006/main">
  <authors>
    <author>Scott Reid</author>
  </authors>
  <commentList>
    <comment ref="A40" authorId="0" shapeId="0">
      <text>
        <r>
          <rPr>
            <sz val="11"/>
            <color indexed="81"/>
            <rFont val="Tahoma"/>
            <family val="2"/>
          </rPr>
          <t>Billed Demand is entered by Schedule, then allocated to Comm/Indust based on Billed Energy.</t>
        </r>
      </text>
    </comment>
  </commentList>
</comments>
</file>

<file path=xl/comments4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Wheeling Revenue in 12.2014 Results of Operations - see 456 revenue tab</t>
        </r>
      </text>
    </comment>
  </commentList>
</comments>
</file>

<file path=xl/comments5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tlk:
Wheeling Revenue in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6.xml><?xml version="1.0" encoding="utf-8"?>
<comments xmlns="http://schemas.openxmlformats.org/spreadsheetml/2006/main">
  <authors>
    <author>gzhkw6</author>
  </authors>
  <commentList>
    <comment ref="D14" authorId="0" shapeId="0">
      <text>
        <r>
          <rPr>
            <b/>
            <sz val="9"/>
            <color indexed="81"/>
            <rFont val="Tahoma"/>
            <family val="2"/>
          </rPr>
          <t>LMA:</t>
        </r>
        <r>
          <rPr>
            <sz val="9"/>
            <color indexed="81"/>
            <rFont val="Tahoma"/>
            <family val="2"/>
          </rPr>
          <t xml:space="preserve">
Wheeling Revenue PF Transmission Adjustment PF column</t>
        </r>
      </text>
    </comment>
    <comment ref="D15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  <comment ref="D16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from PF Transmission confidential workpapers
</t>
        </r>
      </text>
    </comment>
  </commentList>
</comments>
</file>

<file path=xl/comments7.xml><?xml version="1.0" encoding="utf-8"?>
<comments xmlns="http://schemas.openxmlformats.org/spreadsheetml/2006/main">
  <authors>
    <author>gzhkw6</author>
    <author>Liz Andrews</author>
  </authors>
  <commentList>
    <comment ref="I18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includes100K for leased transportation vehicles amort that should have been general plant related</t>
        </r>
      </text>
    </comment>
    <comment ref="R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28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J30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Prior to 2006 the amortization of the write off was recorded in account 426, changed to 407 making manual CB adjustment no longer necessary</t>
        </r>
      </text>
    </comment>
    <comment ref="R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3" authorId="1" shapeId="0">
      <text>
        <r>
          <rPr>
            <b/>
            <sz val="8"/>
            <color indexed="81"/>
            <rFont val="Tahoma"/>
            <family val="2"/>
          </rPr>
          <t>Liz Andrews:</t>
        </r>
        <r>
          <rPr>
            <sz val="8"/>
            <color indexed="81"/>
            <rFont val="Tahoma"/>
            <family val="2"/>
          </rPr>
          <t xml:space="preserve">
Removed in 12.2013 Commission Basis Report model</t>
        </r>
      </text>
    </comment>
    <comment ref="S38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amortization eliminated in EAS</t>
        </r>
      </text>
    </comment>
    <comment ref="S39" authorId="0" shapeId="0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eliminated in EWPC
</t>
        </r>
      </text>
    </comment>
    <comment ref="G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 and small gen</t>
        </r>
      </text>
    </comment>
    <comment ref="H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includes CS2 pro forma plant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pro formed CS2</t>
        </r>
      </text>
    </comment>
  </commentList>
</comments>
</file>

<file path=xl/comments8.xml><?xml version="1.0" encoding="utf-8"?>
<comments xmlns="http://schemas.openxmlformats.org/spreadsheetml/2006/main">
  <authors>
    <author>gzhkw6</author>
  </authors>
  <commentList>
    <comment ref="I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No Res X in 2000 but Centralia Gain was refunded</t>
        </r>
      </text>
    </comment>
    <comment ref="T24" authorId="0" shapeId="0">
      <text>
        <r>
          <rPr>
            <b/>
            <sz val="8"/>
            <color indexed="81"/>
            <rFont val="Tahoma"/>
            <family val="2"/>
          </rPr>
          <t>gzhkw6:</t>
        </r>
        <r>
          <rPr>
            <sz val="8"/>
            <color indexed="81"/>
            <rFont val="Tahoma"/>
            <family val="2"/>
          </rPr>
          <t xml:space="preserve">
Net with Buck a block revenue offset
</t>
        </r>
      </text>
    </comment>
  </commentList>
</comments>
</file>

<file path=xl/comments9.xml><?xml version="1.0" encoding="utf-8"?>
<comments xmlns="http://schemas.openxmlformats.org/spreadsheetml/2006/main">
  <authors>
    <author>gzhkw6</author>
  </authors>
  <commentList>
    <comment ref="E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 
11,802 * 66.29%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
14,659 * 67.48%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in ps wps</t>
        </r>
      </text>
    </comment>
    <comment ref="H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2004 glm query
</t>
        </r>
      </text>
    </comment>
    <comment ref="I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pf transmission per power supply adj wps
case same as CB </t>
        </r>
      </text>
    </comment>
    <comment ref="R16" authorId="0" shapeId="0">
      <text>
        <r>
          <rPr>
            <b/>
            <sz val="9"/>
            <color indexed="81"/>
            <rFont val="Tahoma"/>
            <family val="2"/>
          </rPr>
          <t>gzhkw6:</t>
        </r>
        <r>
          <rPr>
            <sz val="9"/>
            <color indexed="81"/>
            <rFont val="Tahoma"/>
            <family val="2"/>
          </rPr>
          <t xml:space="preserve">
2005 - 2012 RevTran Journal totals Allocated + WA direct</t>
        </r>
      </text>
    </comment>
  </commentList>
</comments>
</file>

<file path=xl/sharedStrings.xml><?xml version="1.0" encoding="utf-8"?>
<sst xmlns="http://schemas.openxmlformats.org/spreadsheetml/2006/main" count="1986" uniqueCount="778">
  <si>
    <t>REVENUES</t>
  </si>
  <si>
    <t>Other Revenue</t>
  </si>
  <si>
    <t>ELECTRIC</t>
  </si>
  <si>
    <t>Line</t>
  </si>
  <si>
    <t>DESCRIPTION</t>
  </si>
  <si>
    <t>Washington</t>
  </si>
  <si>
    <t>Avista Corporation</t>
  </si>
  <si>
    <t>WA Power Supply Net Costs</t>
  </si>
  <si>
    <t>Total</t>
  </si>
  <si>
    <t>P/T Allocation Percentages</t>
  </si>
  <si>
    <t>447 Sales for Resale</t>
  </si>
  <si>
    <t>453 Sales of Water and Water Power</t>
  </si>
  <si>
    <t>454 Misc Rents</t>
  </si>
  <si>
    <t>456 Other Electric Revenue</t>
  </si>
  <si>
    <t xml:space="preserve">   Total Revenue</t>
  </si>
  <si>
    <t>501 Thermal Fuel Expense</t>
  </si>
  <si>
    <t>546 Other Power Gen Supvsn &amp; Eng</t>
  </si>
  <si>
    <t>547 Other Fuel Expense</t>
  </si>
  <si>
    <t>536 Water for Power</t>
  </si>
  <si>
    <t>555 Purchased Power</t>
  </si>
  <si>
    <t>549 Misc Other Gen Expense</t>
  </si>
  <si>
    <t>550 Rents</t>
  </si>
  <si>
    <t>556 System Control &amp; Dispatch</t>
  </si>
  <si>
    <t>557 Other Expenses</t>
  </si>
  <si>
    <t>565 Trans. of Elec. by Others</t>
  </si>
  <si>
    <t xml:space="preserve">   Total Expense</t>
  </si>
  <si>
    <t>Net Income Before Income Taxes</t>
  </si>
  <si>
    <t>Federal Income Tax</t>
  </si>
  <si>
    <t>Net Income</t>
  </si>
  <si>
    <t>Total Washington</t>
  </si>
  <si>
    <t>Forecast</t>
  </si>
  <si>
    <t>Average</t>
  </si>
  <si>
    <t>WA</t>
  </si>
  <si>
    <t>WA001</t>
  </si>
  <si>
    <t>WA012</t>
  </si>
  <si>
    <t>WA022</t>
  </si>
  <si>
    <t>WA032</t>
  </si>
  <si>
    <t>WA011</t>
  </si>
  <si>
    <t>WA021</t>
  </si>
  <si>
    <t>WA025</t>
  </si>
  <si>
    <t>WA031</t>
  </si>
  <si>
    <t>WA028</t>
  </si>
  <si>
    <t>WA04X</t>
  </si>
  <si>
    <t>Total Customers by Rate Sched:</t>
  </si>
  <si>
    <t>Total Billed Energy Usage by State:</t>
  </si>
  <si>
    <t>Billed Demand Usage &gt; minimum (in Kw's)</t>
  </si>
  <si>
    <t>Total Demand Usage by Rate Sched:</t>
  </si>
  <si>
    <t>Total Demand Usage by State:</t>
  </si>
  <si>
    <t>Revenue</t>
  </si>
  <si>
    <t>Revenue Requirement</t>
  </si>
  <si>
    <t xml:space="preserve">RATE OF RETURN  </t>
  </si>
  <si>
    <t xml:space="preserve">TOTAL RATE BASE  </t>
  </si>
  <si>
    <t xml:space="preserve">DEFERRED TAXES  </t>
  </si>
  <si>
    <t xml:space="preserve">WORKING CAPITAL </t>
  </si>
  <si>
    <t xml:space="preserve">Total Plant in Service  </t>
  </si>
  <si>
    <t xml:space="preserve">General  </t>
  </si>
  <si>
    <t xml:space="preserve">Distribution  </t>
  </si>
  <si>
    <t xml:space="preserve">Transmission  </t>
  </si>
  <si>
    <t xml:space="preserve">Production  </t>
  </si>
  <si>
    <t xml:space="preserve">Intangible  </t>
  </si>
  <si>
    <t xml:space="preserve">PLANT IN SERVICE  </t>
  </si>
  <si>
    <t xml:space="preserve">RATE BASE  </t>
  </si>
  <si>
    <t xml:space="preserve">NET OPERATING INCOME  </t>
  </si>
  <si>
    <t>Amortized ITC - Noxon</t>
  </si>
  <si>
    <t xml:space="preserve">Deferred Income Taxes  </t>
  </si>
  <si>
    <t xml:space="preserve">FEDERAL INCOME TAX  </t>
  </si>
  <si>
    <t xml:space="preserve">OPERATING INCOME BEFORE FIT  </t>
  </si>
  <si>
    <t xml:space="preserve">Total Electric Expenses  </t>
  </si>
  <si>
    <t xml:space="preserve">Total Admin. &amp; General  </t>
  </si>
  <si>
    <t xml:space="preserve">Taxes  </t>
  </si>
  <si>
    <t xml:space="preserve">Operating Expenses  </t>
  </si>
  <si>
    <t xml:space="preserve">Administrative &amp; General  </t>
  </si>
  <si>
    <t xml:space="preserve">Sales Expenses  </t>
  </si>
  <si>
    <t xml:space="preserve">Customer Service &amp; Information  </t>
  </si>
  <si>
    <t xml:space="preserve">Customer Accounting  </t>
  </si>
  <si>
    <t xml:space="preserve">Total Distribution  </t>
  </si>
  <si>
    <t xml:space="preserve">Total Production &amp; Transmission  </t>
  </si>
  <si>
    <t xml:space="preserve">Purchased Power  </t>
  </si>
  <si>
    <t xml:space="preserve">Production and Transmission  </t>
  </si>
  <si>
    <t xml:space="preserve">EXPENSES  </t>
  </si>
  <si>
    <t xml:space="preserve">Total Electric Revenue  </t>
  </si>
  <si>
    <t xml:space="preserve">Other Revenue  </t>
  </si>
  <si>
    <t xml:space="preserve">Total Sales of Electricity  </t>
  </si>
  <si>
    <t xml:space="preserve">Sales for Resale  </t>
  </si>
  <si>
    <t xml:space="preserve">Interdepartmental Sales  </t>
  </si>
  <si>
    <t xml:space="preserve">Total General Business  </t>
  </si>
  <si>
    <t xml:space="preserve">REVENUES  </t>
  </si>
  <si>
    <t>TOTAL</t>
  </si>
  <si>
    <t>Supply</t>
  </si>
  <si>
    <t>Power</t>
  </si>
  <si>
    <t>No.</t>
  </si>
  <si>
    <t>Common</t>
  </si>
  <si>
    <t>Remove</t>
  </si>
  <si>
    <t xml:space="preserve">(000'S OF DOLLARS)  </t>
  </si>
  <si>
    <t xml:space="preserve">AVISTA UTILITIES  </t>
  </si>
  <si>
    <t>Revenue Conversion Factor</t>
  </si>
  <si>
    <t xml:space="preserve"> </t>
  </si>
  <si>
    <t>Capital</t>
  </si>
  <si>
    <t>System</t>
  </si>
  <si>
    <t>Rate</t>
  </si>
  <si>
    <t>Schedule</t>
  </si>
  <si>
    <t>RESIDENTIAL</t>
  </si>
  <si>
    <t>SCHEDULE 1</t>
  </si>
  <si>
    <t xml:space="preserve">GENERAL SVC. </t>
  </si>
  <si>
    <t>SCH. 11,12</t>
  </si>
  <si>
    <t>LG. GEN. SVC.</t>
  </si>
  <si>
    <t>SCH. 21,22</t>
  </si>
  <si>
    <t>EX LG GEN SVC</t>
  </si>
  <si>
    <t>SCHEDULE 25</t>
  </si>
  <si>
    <t>PUMPING</t>
  </si>
  <si>
    <t>SCH. 30, 31, 32</t>
  </si>
  <si>
    <t>ST &amp; AREA LTG</t>
  </si>
  <si>
    <t>SCH. 41-48</t>
  </si>
  <si>
    <t>Billing Determinant</t>
  </si>
  <si>
    <t>Volumes</t>
  </si>
  <si>
    <t>Demand</t>
  </si>
  <si>
    <t>Revenue Growth Factor</t>
  </si>
  <si>
    <t>AVISTA UTILITIES</t>
  </si>
  <si>
    <t>Working Capital</t>
  </si>
  <si>
    <t>Growth</t>
  </si>
  <si>
    <t>Basic Charge</t>
  </si>
  <si>
    <t>[A]</t>
  </si>
  <si>
    <t>[B]</t>
  </si>
  <si>
    <t>[D]</t>
  </si>
  <si>
    <t>[E] = [D] / SUM([D])</t>
  </si>
  <si>
    <t>Weight x Growth</t>
  </si>
  <si>
    <t>WA Power Supply Pro Forma Net Cost</t>
  </si>
  <si>
    <t>Amounts</t>
  </si>
  <si>
    <t>456 Other Electric Revenue-Direct WA</t>
  </si>
  <si>
    <t>557 Other Expenses-Direct WA</t>
  </si>
  <si>
    <t>Total Customers</t>
  </si>
  <si>
    <t>Total Volumes</t>
  </si>
  <si>
    <t>Total Demand</t>
  </si>
  <si>
    <t>Difference</t>
  </si>
  <si>
    <t xml:space="preserve">WASHINGTON ELECTRIC RESULTS  </t>
  </si>
  <si>
    <t xml:space="preserve">Adjustment Number </t>
  </si>
  <si>
    <t>Workpaper Reference</t>
  </si>
  <si>
    <t xml:space="preserve">Depreciation/Amortization  </t>
  </si>
  <si>
    <t>Regulatory Amortization</t>
  </si>
  <si>
    <t>Depreciation/Amortization</t>
  </si>
  <si>
    <t xml:space="preserve">Current Accrual </t>
  </si>
  <si>
    <t>Debt Interest</t>
  </si>
  <si>
    <t>ACCUMULATED DEPRECIATION/AMORT</t>
  </si>
  <si>
    <t>Total Accumulated Depreciation</t>
  </si>
  <si>
    <t xml:space="preserve">NET PLANT </t>
  </si>
  <si>
    <t>Net Plant After DFIT</t>
  </si>
  <si>
    <t xml:space="preserve">DEFERRED DEBITS AND CREDITS </t>
  </si>
  <si>
    <t>WORK PAPER</t>
  </si>
  <si>
    <t>REFERENCE</t>
  </si>
  <si>
    <t>Print Header for all printed pages on this worksheet:</t>
  </si>
  <si>
    <t>PRESENT BILL DETERMINANTS</t>
  </si>
  <si>
    <t>Calculate all revenue exhibits using  ____ rates:</t>
  </si>
  <si>
    <t>KILOWATT HOURS (KWHS)</t>
  </si>
  <si>
    <t>1)</t>
  </si>
  <si>
    <t>BASE TARIFF</t>
  </si>
  <si>
    <t>PDE-E-10</t>
  </si>
  <si>
    <t>BLOCK 1</t>
  </si>
  <si>
    <t>or</t>
  </si>
  <si>
    <t>BLOCK 2</t>
  </si>
  <si>
    <t>2)</t>
  </si>
  <si>
    <t>BILLING</t>
  </si>
  <si>
    <t>BLOCK 3</t>
  </si>
  <si>
    <t>BLOCK 4</t>
  </si>
  <si>
    <t>STREET &amp; AREA LIGHTS</t>
  </si>
  <si>
    <t>SUBTOTAL</t>
  </si>
  <si>
    <t>ADJUSTMENT TO ACTUAL</t>
  </si>
  <si>
    <t>TOTAL BEFORE ADJUSTMENT</t>
  </si>
  <si>
    <t>PDE-E-3</t>
  </si>
  <si>
    <t>WEATHER &amp; UNBILLED ADJ. KWHS</t>
  </si>
  <si>
    <t>TOTAL PROFORMA KWHS</t>
  </si>
  <si>
    <t>TOTAL BILLS</t>
  </si>
  <si>
    <t>MINIMUM BILLS</t>
  </si>
  <si>
    <t>EXCESS DEMAND</t>
  </si>
  <si>
    <t>PROPOSED BILL DETERMINANTS</t>
  </si>
  <si>
    <t>PRESENT RATES</t>
  </si>
  <si>
    <t>- range name where Present Rates table can be found</t>
  </si>
  <si>
    <t>PDE-E-22</t>
  </si>
  <si>
    <t>BASIC CHARGE</t>
  </si>
  <si>
    <t>- range name where Proposed Rates table can be found</t>
  </si>
  <si>
    <t>MONTHLY MINIMUM</t>
  </si>
  <si>
    <t>BLOCK 1 PER KWH</t>
  </si>
  <si>
    <t>BLOCK 2 PER KWH</t>
  </si>
  <si>
    <t>BLOCK 3 PER KWH</t>
  </si>
  <si>
    <t>BLOCK 4 PER KWH</t>
  </si>
  <si>
    <t>ADJUST TO ACTUAL PER KWH</t>
  </si>
  <si>
    <t>DEMAND BLOCK 1</t>
  </si>
  <si>
    <t>DEMAND BLOCK 2</t>
  </si>
  <si>
    <t>PROPOSED RATES</t>
  </si>
  <si>
    <t>PRESENT REVENUE</t>
  </si>
  <si>
    <t>POWER FACTOR ADJUSTMENT</t>
  </si>
  <si>
    <t>PRIMARY VOLTAGE DISCOUNT</t>
  </si>
  <si>
    <t>ANNUAL MINIMUM ADJUSTMENT</t>
  </si>
  <si>
    <t>PDE-E-11</t>
  </si>
  <si>
    <t>STREET &amp; AREA LIGHT REVENUE</t>
  </si>
  <si>
    <t>ADJUST TO ACTUAL</t>
  </si>
  <si>
    <t>ADJUSTMENT REVENUE</t>
  </si>
  <si>
    <t>UNBILLED REVENUE ADJUSTMENT</t>
  </si>
  <si>
    <t>UNBILLED LOAD KWHS</t>
  </si>
  <si>
    <t>PDE-E-5/6</t>
  </si>
  <si>
    <t>UNBILLED LOAD RATE</t>
  </si>
  <si>
    <t>UNBILLED LOAD REVENUE</t>
  </si>
  <si>
    <t>PDE-E-17</t>
  </si>
  <si>
    <t>WEATHER-SENSITIVE KWHS</t>
  </si>
  <si>
    <t>WEATHER-SENSITIVE RATE</t>
  </si>
  <si>
    <t>WEATHER-SENSITIVE REVENUE</t>
  </si>
  <si>
    <t>TOTAL UNBILLED KWH ADJUST</t>
  </si>
  <si>
    <t>TOTAL UNBILLED REVENUE ADJ</t>
  </si>
  <si>
    <t>WEATHER NORMALIZATION ADJ</t>
  </si>
  <si>
    <t>TOTAL ADJUSTMENT REVENUE</t>
  </si>
  <si>
    <t>TOTAL PRESENT REVENUE</t>
  </si>
  <si>
    <t>PROPOSED REVENUE</t>
  </si>
  <si>
    <t>TOTAL PROPOSED REVENUE</t>
  </si>
  <si>
    <t>TOTAL REVENUE INCREASE</t>
  </si>
  <si>
    <t>PERCENT REVENUE INCREASE</t>
  </si>
  <si>
    <t>BASELOAD</t>
  </si>
  <si>
    <t>WTHR-SENS.</t>
  </si>
  <si>
    <t>RATES</t>
  </si>
  <si>
    <t>KWHS</t>
  </si>
  <si>
    <t>REVENUE</t>
  </si>
  <si>
    <t>PRESENT BASELOAD AND WEATHER-SENSITIVE RATES</t>
  </si>
  <si>
    <t>0-600 KWHS</t>
  </si>
  <si>
    <t>601-1300 KWHS</t>
  </si>
  <si>
    <t>OVER 1300 KWHS</t>
  </si>
  <si>
    <t>AVERAGE RATE</t>
  </si>
  <si>
    <t>PROPOSED BASELOAD AND WEATHER-SENSITIVE RATES</t>
  </si>
  <si>
    <t>SCHEDULE 11</t>
  </si>
  <si>
    <t>0-3650 KWHS</t>
  </si>
  <si>
    <t>over 3650 KWHS</t>
  </si>
  <si>
    <t>SCHEDULE 21</t>
  </si>
  <si>
    <t>0-250000 KWHS</t>
  </si>
  <si>
    <t>OVER 250000 KWHS</t>
  </si>
  <si>
    <t>Revenue Model</t>
  </si>
  <si>
    <t>Net Plant</t>
  </si>
  <si>
    <t>TWELVE MONTHS ENDED DECEMBER 31, 2005 - 2011</t>
  </si>
  <si>
    <t>(Note 1)</t>
  </si>
  <si>
    <t>ResX</t>
  </si>
  <si>
    <t>DSM</t>
  </si>
  <si>
    <t>(Note 2)</t>
  </si>
  <si>
    <t>Note 1:  2011 Washington electric revenue conversion factor amounts.</t>
  </si>
  <si>
    <t>Other</t>
  </si>
  <si>
    <t>Plant in Service</t>
  </si>
  <si>
    <t>Subtotal: Production and Transmission</t>
  </si>
  <si>
    <t>Subtotal: Distribution</t>
  </si>
  <si>
    <t>Accumulated Depreciation and Amortization</t>
  </si>
  <si>
    <t>Deferred Taxes</t>
  </si>
  <si>
    <t>Deferred Debits and Credits</t>
  </si>
  <si>
    <t>Determine Base Cost and Revenue to Escalate</t>
  </si>
  <si>
    <t>ATTRITION ADJUSTMENT RELATED TO RETAIL REVENUE GROWTH AND ASSOCIATED POWER SUPPLY COST</t>
  </si>
  <si>
    <t>and Power</t>
  </si>
  <si>
    <t>Supply Cost</t>
  </si>
  <si>
    <t>Subtotal: Sales of Electricity</t>
  </si>
  <si>
    <t>Subtotal: Plant in Service</t>
  </si>
  <si>
    <t>Escalate Non-Energy Cost</t>
  </si>
  <si>
    <t>[F] = [C] x [E]</t>
  </si>
  <si>
    <t>Seems high</t>
  </si>
  <si>
    <t>12 bills per customer per year</t>
  </si>
  <si>
    <t>Volume Weights</t>
  </si>
  <si>
    <t>Diff x Growth</t>
  </si>
  <si>
    <t>ID</t>
  </si>
  <si>
    <t>ID001</t>
  </si>
  <si>
    <t>ID012</t>
  </si>
  <si>
    <t>ID022</t>
  </si>
  <si>
    <t>ID032</t>
  </si>
  <si>
    <t>ID04X</t>
  </si>
  <si>
    <t>ID011</t>
  </si>
  <si>
    <t>ID021</t>
  </si>
  <si>
    <t>ID025</t>
  </si>
  <si>
    <t>ID031</t>
  </si>
  <si>
    <t>ID025P</t>
  </si>
  <si>
    <t>Total Calendar Energy Usage by Rate Sched:</t>
  </si>
  <si>
    <t>Total Calendar Energy Usage by State:</t>
  </si>
  <si>
    <t>Washington - Electric System</t>
  </si>
  <si>
    <t>Weighted</t>
  </si>
  <si>
    <t>Component</t>
  </si>
  <si>
    <t>Structure</t>
  </si>
  <si>
    <t>Cost</t>
  </si>
  <si>
    <t>Total Debt</t>
  </si>
  <si>
    <t>Proposed Rate of Return</t>
  </si>
  <si>
    <t>na</t>
  </si>
  <si>
    <t>ATTRITION ADJUSTED REVENUE REQUIREMENT</t>
  </si>
  <si>
    <t>Operating Income Deficiency</t>
  </si>
  <si>
    <t>Attrition Adjusted Revenue Requirement</t>
  </si>
  <si>
    <t>[C]</t>
  </si>
  <si>
    <t>[E]</t>
  </si>
  <si>
    <t>[F]</t>
  </si>
  <si>
    <t>[G]</t>
  </si>
  <si>
    <t>[H]</t>
  </si>
  <si>
    <t>[I]</t>
  </si>
  <si>
    <t>[J]</t>
  </si>
  <si>
    <t>Subtotal: Accumulated Depreciation and Amortization</t>
  </si>
  <si>
    <t>Net Plant After Deferred taxes</t>
  </si>
  <si>
    <t>Return on Plant in Service at Proposed Rate</t>
  </si>
  <si>
    <t>Net Plant After Deferred Income Taxes</t>
  </si>
  <si>
    <t>Normalized Cost Per Power Supply Adjustment</t>
  </si>
  <si>
    <t>TWELVE MONTHS ENDED DECEMBER 31, 2000 - 2012</t>
  </si>
  <si>
    <t>Note 2:  Adder Schedules were removed from the 2004 and 2006 case files which were provided for Commission Basis reporting those years.</t>
  </si>
  <si>
    <t>Note 3:  Adder Schedules were removed from the 2004 and 2006 case files which were provided for Commission Basis reporting those years.</t>
  </si>
  <si>
    <t>Levelized Settlement Exchange Power</t>
  </si>
  <si>
    <t>Note 2:  No ResX rate credit in 2000.  However, there was a refund of the Centralia Gain that affected both revenue and regulatory amortizations.</t>
  </si>
  <si>
    <t>P/T Depreciation/Amort as filed</t>
  </si>
  <si>
    <t>Regulatory Amortizations as filed</t>
  </si>
  <si>
    <t>403 Production Depreciation</t>
  </si>
  <si>
    <t>403 Transmission Depreciation</t>
  </si>
  <si>
    <t>404 Intangible Amortization</t>
  </si>
  <si>
    <t>405 Exchange Power Amortization</t>
  </si>
  <si>
    <t>406 Colstrip Common AFUDC</t>
  </si>
  <si>
    <t>407 Amort of CO2 credits</t>
  </si>
  <si>
    <t>407 Amort of Centralia Gain</t>
  </si>
  <si>
    <t>407 Amort of Rate Base Reduction</t>
  </si>
  <si>
    <t>407 Amort of MOPS Reg Asset</t>
  </si>
  <si>
    <t>407 Amort of Residential Exchange</t>
  </si>
  <si>
    <t>407 Small Gen Amortization</t>
  </si>
  <si>
    <t>407 Kettle Falls Disallowed Depreciation</t>
  </si>
  <si>
    <t>Rev</t>
  </si>
  <si>
    <t>407 SRR &amp; CDA Settlement Deferrals &amp; Amorts</t>
  </si>
  <si>
    <t>407 Lancaster Generation</t>
  </si>
  <si>
    <t>407 Optional Renewable Power Revenue Offset</t>
  </si>
  <si>
    <t>407 Deferred O&amp;M Deferral &amp; Amort</t>
  </si>
  <si>
    <t>407 LiDAR Deferral &amp; Amortization</t>
  </si>
  <si>
    <t>407 CNC Transmission Amortization</t>
  </si>
  <si>
    <t>407 WA Renewable Energy Credits Amortization</t>
  </si>
  <si>
    <t>407 Optional Renewable Solar Project Offset</t>
  </si>
  <si>
    <t>407 Palouse Wind Deferral</t>
  </si>
  <si>
    <t>P/T Depreciation</t>
  </si>
  <si>
    <t>Regulatory Deferrals and Amortizations</t>
  </si>
  <si>
    <t>Included in Depreciation prior to 2012, should continue in depreciation</t>
  </si>
  <si>
    <t>Check Total</t>
  </si>
  <si>
    <t>Regulatory Deferrals &amp; Amorts Excluding Revenue</t>
  </si>
  <si>
    <t>Regulatory Amortizations</t>
  </si>
  <si>
    <t>Adjusted Regulatory Amortizations</t>
  </si>
  <si>
    <t>Gain on Sale of Office Building</t>
  </si>
  <si>
    <t>Colstrip 3 Reallocation</t>
  </si>
  <si>
    <t>Colstrip Common AFUDC</t>
  </si>
  <si>
    <t>Accum Depr</t>
  </si>
  <si>
    <t>Kettle Falls Disallowance</t>
  </si>
  <si>
    <t>ADFIT</t>
  </si>
  <si>
    <t>Settlement Exchange Power</t>
  </si>
  <si>
    <t>Hydro Relicensing</t>
  </si>
  <si>
    <t>Montana Riverbed Settlement</t>
  </si>
  <si>
    <t>Lancaster Generation</t>
  </si>
  <si>
    <t>Customer Advances</t>
  </si>
  <si>
    <t>Customer Deposits</t>
  </si>
  <si>
    <t>PGE Monetization</t>
  </si>
  <si>
    <t>MOPS</t>
  </si>
  <si>
    <t>Production Plant</t>
  </si>
  <si>
    <t>Distribution Plant</t>
  </si>
  <si>
    <t>Prod Plant</t>
  </si>
  <si>
    <t>Dist Plant</t>
  </si>
  <si>
    <t>ADFIT on Gain on Sale of Office Bldg</t>
  </si>
  <si>
    <t>Non-Retail Revenue Analysis</t>
  </si>
  <si>
    <t>Power Supply Normalized</t>
  </si>
  <si>
    <t>CB Totals</t>
  </si>
  <si>
    <t>Sales for Resale</t>
  </si>
  <si>
    <t>Non-PT Other Revenue</t>
  </si>
  <si>
    <t>BPA settlement erroneously removed from gen business, should have been removed from transmission wheeling rev</t>
  </si>
  <si>
    <t>missing normalize transmission wheeling revenues adjustment for CB</t>
  </si>
  <si>
    <t>Grand Total</t>
  </si>
  <si>
    <t>Total Customers by State:</t>
  </si>
  <si>
    <t>Total Bills</t>
  </si>
  <si>
    <t>kw &gt; 20</t>
  </si>
  <si>
    <t>kw &gt; 50</t>
  </si>
  <si>
    <t>kvar &gt; 3000</t>
  </si>
  <si>
    <t>Fixed Demand/Cust</t>
  </si>
  <si>
    <t>Annual Growth Rates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</si>
  <si>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</si>
  <si>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</si>
  <si>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</si>
  <si>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</si>
  <si>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</si>
  <si>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</si>
  <si>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</si>
  <si>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</si>
  <si>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</si>
  <si>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</si>
  <si>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</si>
  <si>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Rate base</t>
  </si>
  <si>
    <t>Adjusted Other Revenue</t>
  </si>
  <si>
    <t>PDE-E-23</t>
  </si>
  <si>
    <t>PDE-E-24</t>
  </si>
  <si>
    <t>PDE-E-31/8</t>
  </si>
  <si>
    <t>PDE-E-16</t>
  </si>
  <si>
    <t>PDE-E-18</t>
  </si>
  <si>
    <t>Note:  Total Base Load for Sch. 1 = Base Load per bill times total billings (base load per bill on PDE-E-19) =</t>
  </si>
  <si>
    <t>Note:  Total Base Load for Sch. 21 = Base Load per bill times total billings (base load per bill on PDE-E-19) =</t>
  </si>
  <si>
    <t>TWELVE MONTHS ENDED DECEMBER RESTATED TOTALS</t>
  </si>
  <si>
    <t>As Filed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</si>
  <si>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</si>
  <si>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</si>
  <si>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</si>
  <si>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</si>
  <si>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</si>
  <si>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</si>
  <si>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</si>
  <si>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</si>
  <si>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</si>
  <si>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</si>
  <si>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</si>
  <si>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</si>
  <si>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</si>
  <si>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[K]</t>
  </si>
  <si>
    <t xml:space="preserve"> Proposed Cap Structure</t>
  </si>
  <si>
    <t>Note 1:  06.2013 Washington electric revenue conversion factor amounts.</t>
  </si>
  <si>
    <t>456 Transmission Wheeling Revenue</t>
  </si>
  <si>
    <t>456 Other Electric Revenue Direct WA</t>
  </si>
  <si>
    <t>557 Other Expenses Direct WA</t>
  </si>
  <si>
    <t>456 Other Wholesale Revenue</t>
  </si>
  <si>
    <t>check</t>
  </si>
  <si>
    <t>Description</t>
  </si>
  <si>
    <t>Factor</t>
  </si>
  <si>
    <t>Revenues</t>
  </si>
  <si>
    <t>Expense:</t>
  </si>
  <si>
    <t xml:space="preserve">  Uncollectibles</t>
  </si>
  <si>
    <t xml:space="preserve">  Commission Fees</t>
  </si>
  <si>
    <t xml:space="preserve">  Washington Excise Tax</t>
  </si>
  <si>
    <t xml:space="preserve">    Total Expense</t>
  </si>
  <si>
    <t>Net Operating Income Before FIT</t>
  </si>
  <si>
    <t xml:space="preserve">  Federal Income Tax @ 35%</t>
  </si>
  <si>
    <t>[C] = ([B] - [A])/[A]</t>
  </si>
  <si>
    <t>Escalation Factor</t>
  </si>
  <si>
    <t>Commission Basis Results of Operations</t>
  </si>
  <si>
    <t>Deduct DSM Tariff Rider Expenses</t>
  </si>
  <si>
    <t>Deduct Res X Credit Expenses</t>
  </si>
  <si>
    <t>Adjusted Operating Expenses</t>
  </si>
  <si>
    <t>Deduct Power Supply Expenses</t>
  </si>
  <si>
    <t>Production/Transmission</t>
  </si>
  <si>
    <t>Purchased Power</t>
  </si>
  <si>
    <t>Distribution</t>
  </si>
  <si>
    <t>Customer Accounting</t>
  </si>
  <si>
    <t>Customer Service and Information</t>
  </si>
  <si>
    <t>Sales</t>
  </si>
  <si>
    <t>Adminisrtative and General</t>
  </si>
  <si>
    <t>Total Operating &amp; Maintenance Expenses</t>
  </si>
  <si>
    <t>Total Depreciation/Amortization</t>
  </si>
  <si>
    <t>Total Taxes Other Than Income Tax</t>
  </si>
  <si>
    <t>Deduct DSM Tariff Rider Excise Tax</t>
  </si>
  <si>
    <t>Deduct Res X Credit Excise Tax</t>
  </si>
  <si>
    <t>Adjusted Taxes Other Than Income Tax</t>
  </si>
  <si>
    <t>Net Plant After Deferred Income Tax</t>
  </si>
  <si>
    <t>Total Rate Base</t>
  </si>
  <si>
    <t>Exclude Power Supply and Transmission Wheeling from Other Operating Revenue</t>
  </si>
  <si>
    <t>CBR Ln 7</t>
  </si>
  <si>
    <t>CBR Ln 8</t>
  </si>
  <si>
    <t>CBR Ln 13</t>
  </si>
  <si>
    <t>CBR Ln 17</t>
  </si>
  <si>
    <t>CBR Ln 18</t>
  </si>
  <si>
    <t>CBR Ln 19</t>
  </si>
  <si>
    <t>CBR Ln 20</t>
  </si>
  <si>
    <t>CBR Ln 9</t>
  </si>
  <si>
    <t>CBR Ln 14</t>
  </si>
  <si>
    <t>CBR Ln 21</t>
  </si>
  <si>
    <t>CBR Ln 10</t>
  </si>
  <si>
    <t>CBR Ln 11</t>
  </si>
  <si>
    <t>CBR Ln 15</t>
  </si>
  <si>
    <t>CBR Ln 22</t>
  </si>
  <si>
    <t>CBR Ln 46</t>
  </si>
  <si>
    <t>CBR Ln 49</t>
  </si>
  <si>
    <t>Other Operating Revenue</t>
  </si>
  <si>
    <t>CBR Ln 5</t>
  </si>
  <si>
    <t>Deduct Power Supply Other Revenue</t>
  </si>
  <si>
    <t>Deduct Transmission Other Revenue</t>
  </si>
  <si>
    <t>Total Power Supply Other Revenue</t>
  </si>
  <si>
    <t>No</t>
  </si>
  <si>
    <t>Exclude Power Supply and Adder Schedule Expenses (DSM Tariff Rider and Residential Exchange Credit) from O&amp;M</t>
  </si>
  <si>
    <t>Exclude Adder Schedule amortizations (Residential Exchange Credit) from Regulatory Amortizations</t>
  </si>
  <si>
    <t>Note: The Deferred Debits and Credits Category has been restated in prior years to reflect consistency with the current reporting format.</t>
  </si>
  <si>
    <t>Note: The Regulatory Amortization Category has been restated in prior years to reflect consistency with the current reporting format.</t>
  </si>
  <si>
    <t>Deduct Res X Credit amortization</t>
  </si>
  <si>
    <t>ANNUAL AND COMPOUND GROWTH RATES</t>
  </si>
  <si>
    <t xml:space="preserve">WASHINGTON ELECTRIC RESULTS </t>
  </si>
  <si>
    <t xml:space="preserve"> Authorized Cap Structure</t>
  </si>
  <si>
    <t>Net Operating Income Requirement</t>
  </si>
  <si>
    <t>(000's of Dollars)</t>
  </si>
  <si>
    <t>(a)</t>
  </si>
  <si>
    <t>(b)</t>
  </si>
  <si>
    <t xml:space="preserve">(c) </t>
  </si>
  <si>
    <t>Electric Growth  Rate Analysis and Escalation Factor Calculation</t>
  </si>
  <si>
    <t>7A</t>
  </si>
  <si>
    <t>13A</t>
  </si>
  <si>
    <t>Electric Data for Escalators</t>
  </si>
  <si>
    <t>$000s</t>
  </si>
  <si>
    <t>Line No.</t>
  </si>
  <si>
    <t>Exclude Adder Schedule excise taxes (DSM Tariff Rider and Residential Exchange Credit) from Taxes Other Than Income Tax</t>
  </si>
  <si>
    <t>(plus)  Revenue Growth</t>
  </si>
  <si>
    <t>ELECTRIC BILLING DETERMINANT INDEX</t>
  </si>
  <si>
    <t>2013</t>
  </si>
  <si>
    <t>407 BPA Parallel Capacity Support</t>
  </si>
  <si>
    <t>407 Colstrip Outage Return</t>
  </si>
  <si>
    <t>`</t>
  </si>
  <si>
    <t>2012-2013</t>
  </si>
  <si>
    <t>TWELVE MONTHS ENDED DECEMBER 31, 2000 - 2013</t>
  </si>
  <si>
    <t>ELECTRIC COST AND REVENUE TREND CALCULATIONS 2001-2013</t>
  </si>
  <si>
    <t>Correction to CB Deferred Debits &amp; Credits</t>
  </si>
  <si>
    <t>Correction to CB Working Capital</t>
  </si>
  <si>
    <t>Note 1:  12.2013 Washington electric revenue conversion factor amounts.</t>
  </si>
  <si>
    <t>(Note 4)</t>
  </si>
  <si>
    <t>Note 4:  Eliminate Adder Schedules Adjustment in 2013 Commission Basis filing eliminated both the revenues and expenses associated with Res X and the Tariff Rider &amp; Buck-a-Block</t>
  </si>
  <si>
    <t>Note 3:  Eliminate Adder Schedules Adjustment in 2013 Commission Basis filing eliminated both the revenues and expenses associated with Res X and the Tariff Rider &amp; Buck-a-Block</t>
  </si>
  <si>
    <t>(Note 3)</t>
  </si>
  <si>
    <t>Twelve Months Ended December 31, 2013</t>
  </si>
  <si>
    <t>Weight</t>
  </si>
  <si>
    <t>Resource Optimization directly assigned to WA, add to Other Wholesale</t>
  </si>
  <si>
    <t>Rate Case Power Supply Adjustment Pro Forma - 09.2014 Historical Loads</t>
  </si>
  <si>
    <t>Direct WA</t>
  </si>
  <si>
    <t>Direct ID</t>
  </si>
  <si>
    <t>Pro Forma Revenue Normalization Adjustment</t>
  </si>
  <si>
    <t>09.2014 TO 2016 WEIGHTED REVENUE GROWTH</t>
  </si>
  <si>
    <t>12 ME 09.2014</t>
  </si>
  <si>
    <t>Excerpt from:  EREV v2 11 02 Nov Update - New WA Authorized and Shortcuts Revised 11.25.14.xlsm</t>
  </si>
  <si>
    <t>Cal Load tab</t>
  </si>
  <si>
    <t>Reconciliation with Power Supply</t>
  </si>
  <si>
    <t>Native Load - WA/ID</t>
  </si>
  <si>
    <t>Retail Losses - WA/ID</t>
  </si>
  <si>
    <t>Calendar Load from above</t>
  </si>
  <si>
    <t>Diff</t>
  </si>
  <si>
    <t>Cust Load tab</t>
  </si>
  <si>
    <t>BV53</t>
  </si>
  <si>
    <t>BV54</t>
  </si>
  <si>
    <t>BV55</t>
  </si>
  <si>
    <t>BV56</t>
  </si>
  <si>
    <t>BV57</t>
  </si>
  <si>
    <t>BV58</t>
  </si>
  <si>
    <t>BV59</t>
  </si>
  <si>
    <t>BV60</t>
  </si>
  <si>
    <t>BV61</t>
  </si>
  <si>
    <t>BV62</t>
  </si>
  <si>
    <t>BV63</t>
  </si>
  <si>
    <t>BV64</t>
  </si>
  <si>
    <t>BV65</t>
  </si>
  <si>
    <t>BV66</t>
  </si>
  <si>
    <t>BV67</t>
  </si>
  <si>
    <t>BV68</t>
  </si>
  <si>
    <t>BV69</t>
  </si>
  <si>
    <t>BV70</t>
  </si>
  <si>
    <t>BV71</t>
  </si>
  <si>
    <t>BV72</t>
  </si>
  <si>
    <t>BV73</t>
  </si>
  <si>
    <t>BV74</t>
  </si>
  <si>
    <t>BV75</t>
  </si>
  <si>
    <t>BV76</t>
  </si>
  <si>
    <t>BV77</t>
  </si>
  <si>
    <t>BV78</t>
  </si>
  <si>
    <t>BV170</t>
  </si>
  <si>
    <t>BV171</t>
  </si>
  <si>
    <t>BV172</t>
  </si>
  <si>
    <t>BV173</t>
  </si>
  <si>
    <t>BV174</t>
  </si>
  <si>
    <t>BV175</t>
  </si>
  <si>
    <t>BV176</t>
  </si>
  <si>
    <t>BV177</t>
  </si>
  <si>
    <t>BV178</t>
  </si>
  <si>
    <t>BV179</t>
  </si>
  <si>
    <t>BV180</t>
  </si>
  <si>
    <t>BV202</t>
  </si>
  <si>
    <t>BV203</t>
  </si>
  <si>
    <t>BV205</t>
  </si>
  <si>
    <t>BV81</t>
  </si>
  <si>
    <t>BV82</t>
  </si>
  <si>
    <t>BV84</t>
  </si>
  <si>
    <t>BV85</t>
  </si>
  <si>
    <t>BV89</t>
  </si>
  <si>
    <t>BV90</t>
  </si>
  <si>
    <t>BV92</t>
  </si>
  <si>
    <t>BV94</t>
  </si>
  <si>
    <t>Rate Case Power Supply Adjustment Pro Forma - 2016 Forecast Loads</t>
  </si>
  <si>
    <t>Test Year</t>
  </si>
  <si>
    <t>Load</t>
  </si>
  <si>
    <t>Rate Year</t>
  </si>
  <si>
    <t>Incremental</t>
  </si>
  <si>
    <t>Retail</t>
  </si>
  <si>
    <t>Note 1:  09.2014 Washington electric revenue conversion factor amounts.</t>
  </si>
  <si>
    <t>546-562 CS2 O&amp;M</t>
  </si>
  <si>
    <t>500-514 Colstrip O&amp;M</t>
  </si>
  <si>
    <r>
      <t xml:space="preserve">Trended 2016 Non-Energy Cost </t>
    </r>
    <r>
      <rPr>
        <sz val="10"/>
        <rFont val="Times New Roman"/>
        <family val="1"/>
      </rPr>
      <t>[E]+[G]=[H]</t>
    </r>
  </si>
  <si>
    <r>
      <t xml:space="preserve"> Non-Energy Cost Escalation Amount </t>
    </r>
    <r>
      <rPr>
        <sz val="10"/>
        <rFont val="Times New Roman"/>
        <family val="1"/>
      </rPr>
      <t>[E]*[F]=[G]</t>
    </r>
  </si>
  <si>
    <t>Adopted Operating Expense</t>
  </si>
  <si>
    <t>Adopted Net Plant After Deferred Income Taxes</t>
  </si>
  <si>
    <t>Adoptede Depreciation/Amortization</t>
  </si>
  <si>
    <t>Adjusted Depreciation/Amortization</t>
  </si>
  <si>
    <t>Adjusted Taxes Other than Income</t>
  </si>
  <si>
    <t>Period:&lt;All&gt;</t>
  </si>
  <si>
    <t>State Cde:&lt;All&gt;</t>
  </si>
  <si>
    <t>Revenue Amt</t>
  </si>
  <si>
    <t>Jurisdiction</t>
  </si>
  <si>
    <t>AN</t>
  </si>
  <si>
    <t>12 Month Total</t>
  </si>
  <si>
    <t>Ferc Acct</t>
  </si>
  <si>
    <t>RevClsDesc</t>
  </si>
  <si>
    <t>456017</t>
  </si>
  <si>
    <t xml:space="preserve">NR Other Electric Revenue - Non Resource </t>
  </si>
  <si>
    <t>NULL</t>
  </si>
  <si>
    <t>456100</t>
  </si>
  <si>
    <t>ET Electric Transmission</t>
  </si>
  <si>
    <t>456120</t>
  </si>
  <si>
    <t>PC Parallel Capacity Support Rev</t>
  </si>
  <si>
    <t>456700</t>
  </si>
  <si>
    <t>DE Electric Distribution</t>
  </si>
  <si>
    <t>456705</t>
  </si>
  <si>
    <t>LV Electric Distribution</t>
  </si>
  <si>
    <t>Sum</t>
  </si>
  <si>
    <t>Twelve Months Ended December 31, 2014</t>
  </si>
  <si>
    <t>(plus) 12.2014 Pro-Formed Net Energy Cost</t>
  </si>
  <si>
    <t>(less) 12.2014 Normalized Net Power Supply  Cost</t>
  </si>
  <si>
    <t>Actual Cost of Capital AMA 12/31/2014</t>
  </si>
  <si>
    <t>2013/2014 Removed in CBR</t>
  </si>
  <si>
    <t>2014</t>
  </si>
  <si>
    <t>Commission Basis Power Supply Adjustment - 12.2014 Historical Loads</t>
  </si>
  <si>
    <t>2013-2014</t>
  </si>
  <si>
    <t>2001-2014</t>
  </si>
  <si>
    <t>2003-2014</t>
  </si>
  <si>
    <t>2004-2014</t>
  </si>
  <si>
    <t>2005-2014</t>
  </si>
  <si>
    <t>2006-2014</t>
  </si>
  <si>
    <t>2007-2014</t>
  </si>
  <si>
    <t>2008-2014</t>
  </si>
  <si>
    <t>2009-2014</t>
  </si>
  <si>
    <t>2010-2014</t>
  </si>
  <si>
    <t>2011-2014</t>
  </si>
  <si>
    <t>2012-2014</t>
  </si>
  <si>
    <t>2002-2014</t>
  </si>
  <si>
    <t>2 years</t>
  </si>
  <si>
    <t>UPDATED</t>
  </si>
  <si>
    <t>Electric Revenue Report by Location  Twelve Months Ended  for Report Date : '12/31/2014'</t>
  </si>
  <si>
    <t>Source Id</t>
  </si>
  <si>
    <t>456000</t>
  </si>
  <si>
    <t>REVBILLS</t>
  </si>
  <si>
    <t>GA Other Gas Allocated</t>
  </si>
  <si>
    <t>OA Other Electric Allocated</t>
  </si>
  <si>
    <t>OD Other Electric Direct</t>
  </si>
  <si>
    <t>REVCOL</t>
  </si>
  <si>
    <t>OC Other Revenue &amp; Scrap Sales - Colstrip</t>
  </si>
  <si>
    <t>REVEARNED</t>
  </si>
  <si>
    <t>AD Apprentice Lineman School Deposits</t>
  </si>
  <si>
    <t>AL Apprentice Lineman School Receivable</t>
  </si>
  <si>
    <t>PD Pre-Line School Deposits</t>
  </si>
  <si>
    <t>PL Pre-Line School Receivable</t>
  </si>
  <si>
    <t>REVPGE</t>
  </si>
  <si>
    <t>OP Other PGE</t>
  </si>
  <si>
    <t>456010</t>
  </si>
  <si>
    <t>REVFUEL</t>
  </si>
  <si>
    <t>AF Turbine Gas Financial - Clearing Agent</t>
  </si>
  <si>
    <t>AG Turbine Gas Financial Mizuho Clearing Agent</t>
  </si>
  <si>
    <t>HR Gas Heat Rate Financial Receivable</t>
  </si>
  <si>
    <t>456015</t>
  </si>
  <si>
    <t>CC Extraction Plant Credits</t>
  </si>
  <si>
    <t>GF Turbine Gas Physical</t>
  </si>
  <si>
    <t>456016</t>
  </si>
  <si>
    <t>REVREC</t>
  </si>
  <si>
    <t>RO Miscellaneous Resource Optimization</t>
  </si>
  <si>
    <t>RW REC's Exclusive to Washington State</t>
  </si>
  <si>
    <t>REVTRAN</t>
  </si>
  <si>
    <t>456020</t>
  </si>
  <si>
    <t>REVESALES</t>
  </si>
  <si>
    <t>BT BPA Excess Transm Sales</t>
  </si>
  <si>
    <t>456711</t>
  </si>
  <si>
    <t>GK Turbine Gas Bookout</t>
  </si>
  <si>
    <t>456720</t>
  </si>
  <si>
    <t>456730</t>
  </si>
  <si>
    <t>IT Intraco Thermal Gas</t>
  </si>
  <si>
    <t>Transmission</t>
  </si>
  <si>
    <t>500-562 CS2 and Colstrip</t>
  </si>
  <si>
    <t>Restate for prior years tracking CS2 and Colstrip O&amp;M</t>
  </si>
  <si>
    <t>PS 456</t>
  </si>
  <si>
    <t>ADDED</t>
  </si>
  <si>
    <t>Remove from base Power Supply per settlement agreement.</t>
  </si>
  <si>
    <t>Agreed to Reduction $1528 per Settlement agreement</t>
  </si>
  <si>
    <t>December 2014 Escalation Base</t>
  </si>
  <si>
    <t>Washington's Share:</t>
  </si>
  <si>
    <t>2014 HTP</t>
  </si>
  <si>
    <t>2016 RY</t>
  </si>
  <si>
    <t>Removed from base Power Supply per settlement agreement.</t>
  </si>
  <si>
    <t>Escalation 2014-2016</t>
  </si>
  <si>
    <t>Escalated Balance at 2016</t>
  </si>
  <si>
    <t>Incremental CS2/Colstrip O&amp;M above trended 2014 expense</t>
  </si>
  <si>
    <t xml:space="preserve">Net </t>
  </si>
  <si>
    <t>Other Cost &amp; Revenue Adjust.</t>
  </si>
  <si>
    <t>Other Cost &amp; Revenue Adjs.</t>
  </si>
  <si>
    <t>Multiparty Settlement - Cost of Capital</t>
  </si>
  <si>
    <t>xxx Other Expenses-Direct WA</t>
  </si>
  <si>
    <t>XXX Other Expenses-Direct WA</t>
  </si>
  <si>
    <t>After Attrition - CS2-Colstrip 2016 Incramental Expense above trended historical expense.</t>
  </si>
  <si>
    <t>(B) Correction</t>
  </si>
  <si>
    <t>(C) Correction</t>
  </si>
  <si>
    <t>(A) Correction</t>
  </si>
  <si>
    <t>(No Impact)</t>
  </si>
  <si>
    <t>Depreciation/ Amortization</t>
  </si>
  <si>
    <t>Adjusted Taxes</t>
  </si>
  <si>
    <t>Net Plant after DFIT</t>
  </si>
  <si>
    <t>Adj. Other Revenue</t>
  </si>
  <si>
    <t>ACCUMULATED DEP/AMORT</t>
  </si>
  <si>
    <t>NET PLANT</t>
  </si>
  <si>
    <t>Rate (Annual)</t>
  </si>
  <si>
    <t>(Escalation Factor)</t>
  </si>
  <si>
    <t>Slope</t>
  </si>
  <si>
    <t>Rate (1yr)</t>
  </si>
  <si>
    <t>Escalation</t>
  </si>
  <si>
    <t>After Attrition Adj - Project Compass</t>
  </si>
  <si>
    <t>Annual Increase (slope below)</t>
  </si>
  <si>
    <t>Rate (2-year, to 2016)</t>
  </si>
  <si>
    <t>Rate (2013-2014, linear, slope below)</t>
  </si>
  <si>
    <t>Subtotal: A&amp;G</t>
  </si>
  <si>
    <t>(Escalation Factor not used due to irregular growth)</t>
  </si>
  <si>
    <t>Linear 2-year Growth Rate</t>
  </si>
  <si>
    <t>Adjusted Operating Expenses (Avista)</t>
  </si>
  <si>
    <t>Compound Growth Rates to 2014</t>
  </si>
  <si>
    <t>Setlement Rate of Return</t>
  </si>
  <si>
    <t>Gross-up Conversion Factor</t>
  </si>
  <si>
    <t>Deferred Debit/Credit &amp; Reg. Amorts Adjs</t>
  </si>
  <si>
    <t>Adj. Op Exp (2007-2014, excl. 2011-2012)</t>
  </si>
  <si>
    <t>Adj. Op Exp (2011-2012)</t>
  </si>
  <si>
    <t>Adj. Op Exp (2013-2014)</t>
  </si>
  <si>
    <t>2016  ELECTRIC ATTRITION REVENUE REQUIREMENT</t>
  </si>
  <si>
    <t>Attrition Balances</t>
  </si>
  <si>
    <t>2016 Rate of Return (at 2015 rates)</t>
  </si>
  <si>
    <t>2016 Net Operating Income Deficiency (Surplus)</t>
  </si>
  <si>
    <t>2016 Net Operating Income (at 2015 rates)</t>
  </si>
  <si>
    <t>Attrition-based 2016 revenue requirement</t>
  </si>
  <si>
    <t>Percent Revenue Requirement Change (vs. 2015)</t>
  </si>
  <si>
    <t>Attrition Study Results</t>
  </si>
  <si>
    <t>2016 Total General Business Revenues (at 2015 rates)</t>
  </si>
  <si>
    <t>2016 Rate Base</t>
  </si>
  <si>
    <t>[L]</t>
  </si>
  <si>
    <t>[M]</t>
  </si>
  <si>
    <t>McGuire Number</t>
  </si>
  <si>
    <t>Per CBR</t>
  </si>
  <si>
    <t>AS PROPOSED BY STAFF:</t>
  </si>
  <si>
    <t xml:space="preserve">Remove volatility of total Benefits </t>
  </si>
  <si>
    <t>Rate (1 yr)</t>
  </si>
  <si>
    <t>2007-2014 (exl. Benefits)</t>
  </si>
  <si>
    <t>2013-2014 (exl. Benefits)</t>
  </si>
  <si>
    <t>Avista Proposed Based on Staff Methodology for 2007-2014:</t>
  </si>
  <si>
    <t>AS PROPOSED BY STAFF PER CRM-2:</t>
  </si>
  <si>
    <t>Avista Proposed-partly based on Staff Methodology (Linear regression and averaging):</t>
  </si>
  <si>
    <t>Company-proposed (2007-2014, linear)</t>
  </si>
  <si>
    <t xml:space="preserve">2016 Attrition Revenue Deficiency </t>
  </si>
  <si>
    <t>After Attrition Adj - Colstrip Refund Correction</t>
  </si>
  <si>
    <t>Total Adjusted Operating Expenses</t>
  </si>
  <si>
    <t>2016 WASHINGTON ELECTRIC ATTRITION STUDY</t>
  </si>
  <si>
    <r>
      <t>12.2014 Commission Basis Report Restated Totals</t>
    </r>
    <r>
      <rPr>
        <vertAlign val="superscript"/>
        <sz val="12"/>
        <rFont val="Times New Roman"/>
        <family val="1"/>
      </rPr>
      <t>1</t>
    </r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</si>
  <si>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Workpapers for 12.2014 Commission Basis Reports provided with Avista's Response to Staff_DR_130 Revised.</t>
    </r>
  </si>
  <si>
    <r>
      <t>2016 Revenue and Cost</t>
    </r>
    <r>
      <rPr>
        <sz val="10"/>
        <rFont val="Times New Roman"/>
        <family val="1"/>
      </rPr>
      <t xml:space="preserve"> [H]+[I]+[J]+[K]+   [L] = [M]</t>
    </r>
  </si>
  <si>
    <t xml:space="preserve">The grey highlighted areas on pages 4 and 5 represent changes Avista made to Staff Witness Mr. McGuire's Electric Attrition model. For example, corrections to Staff's model were made in columns [C], [L] and [M].  Avista proposed growth escalations were used in column [F] page 4 &amp; 5 (rows 9, 11 and 32) to reflect Staff's linear regression calculation, however, using years 2007-2014 data. These calculations can be seen on page 9-11. Column [F] page 4 (row 7), includes Avista's proposed O&amp;M escalation as calculated on page 12. The Company has removed Staff's After Attrition Adjustment related to Coyote Springs II/Colstrip normalized maintenance, as the Company is proposing to defer the "hours-based" major maintenance projects in 2016 forward, with amortization to occur in the following year. Avista has added column [K] After Attrition Adjustment Colstrip Refund Correction to remove a non-reoccurring item. Lastly, in column [L], the Company has included total Project Compass costs, rather than the discounted balances proposed by Staff.    </t>
  </si>
  <si>
    <t>Power Supply</t>
  </si>
  <si>
    <t>Changed annual rate to 3.21% per Order 05</t>
  </si>
  <si>
    <t>PS UPDATE</t>
  </si>
  <si>
    <t>REVISED -</t>
  </si>
  <si>
    <t>EMA-6</t>
  </si>
  <si>
    <t>(as filed)</t>
  </si>
  <si>
    <t>update</t>
  </si>
  <si>
    <t>pre Oct 29</t>
  </si>
  <si>
    <t>(System)</t>
  </si>
  <si>
    <t>(Washington)</t>
  </si>
  <si>
    <t>Per Avista Response to Staff DR 215</t>
  </si>
  <si>
    <t>Per October 29, 2015, Power Supply Update, Attachment 1</t>
  </si>
  <si>
    <t>As filed</t>
  </si>
  <si>
    <t>For Remand</t>
  </si>
  <si>
    <t>REMAND</t>
  </si>
  <si>
    <t>REMAND CALCULATIONS</t>
  </si>
  <si>
    <t>Pro Forma Revenue Deficiency (Sufficiency) - from Order 05, Table A1</t>
  </si>
  <si>
    <t>Attrition Study Revenue Deficiency (sufficiency)</t>
  </si>
  <si>
    <t>Difference (annual) - Owed back to Customers</t>
  </si>
  <si>
    <t>[N]</t>
  </si>
  <si>
    <t>11 months</t>
  </si>
  <si>
    <t>2.3 years</t>
  </si>
  <si>
    <t>12 months</t>
  </si>
  <si>
    <t>Attrition Allowance - REVISED PER REMAND</t>
  </si>
  <si>
    <t>Attrition Allowance - PER ORDER 05</t>
  </si>
  <si>
    <t>STAFF RECALCULATION ON REMAND</t>
  </si>
  <si>
    <t>Edited from Avista Exhibit EMA-6</t>
  </si>
  <si>
    <t>(EMA-6 was produced by Avista on Rebuttal, and edited from Staff Exhibit CRM-2)</t>
  </si>
  <si>
    <t>CBR Line No.</t>
  </si>
  <si>
    <t xml:space="preserve">OP INCOME BEFORE FIT  </t>
  </si>
  <si>
    <t xml:space="preserve">Customer Service &amp; Info  </t>
  </si>
  <si>
    <r>
      <t>2016 Revenue and Cost</t>
    </r>
    <r>
      <rPr>
        <sz val="10"/>
        <rFont val="Times New Roman"/>
        <family val="1"/>
      </rPr>
      <t xml:space="preserve"> [H]+[I]+[J]+[K]+[L] = [M]</t>
    </r>
  </si>
  <si>
    <t>No RB escal.</t>
  </si>
  <si>
    <t>PF Rate Base</t>
  </si>
  <si>
    <t xml:space="preserve">  Description</t>
  </si>
  <si>
    <t>REVENUE CONV FACTOR</t>
  </si>
  <si>
    <t>Washington - Electric (System)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</si>
</sst>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3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_(* #,##0_);_(* \(#,##0\);_(* &quot;-&quot;??_);_(@_)"/>
    <numFmt numFmtId="167" formatCode="#,##0,;\-#,##0,"/>
    <numFmt numFmtId="168" formatCode="_(&quot;$&quot;* #,##0_);_(&quot;$&quot;* \(#,##0\);_(&quot;$&quot;* &quot;-&quot;??_);_(@_)"/>
    <numFmt numFmtId="169" formatCode="0.000%"/>
    <numFmt numFmtId="170" formatCode="_(&quot;$&quot;#,###_);_(&quot;$&quot;\ \(#,###\);_(* _);_(@_)"/>
    <numFmt numFmtId="171" formatCode="#,##0.000000"/>
    <numFmt numFmtId="172" formatCode="#,##0.000_);\(#,##0.000\)"/>
    <numFmt numFmtId="173" formatCode="0.0000"/>
    <numFmt numFmtId="174" formatCode=";;;"/>
    <numFmt numFmtId="175" formatCode="0.000_);\(0.000\)"/>
    <numFmt numFmtId="176" formatCode="0.000"/>
    <numFmt numFmtId="177" formatCode="#,##0;;"/>
    <numFmt numFmtId="178" formatCode="&quot;$&quot;#,##0.00;\-&quot;$&quot;#,##0.00;"/>
    <numFmt numFmtId="179" formatCode="#,##0.000\¢\ ;\(#,##0.000\¢\);"/>
    <numFmt numFmtId="180" formatCode="#,##0.000\¢\ ;\(#,##0.000\¢\)"/>
    <numFmt numFmtId="181" formatCode="&quot;$&quot;#,##0.0000_);\(&quot;$&quot;#,##0.0000\)"/>
    <numFmt numFmtId="182" formatCode="0.000000_);\(0.000000\)"/>
    <numFmt numFmtId="183" formatCode="0.000000"/>
    <numFmt numFmtId="184" formatCode="0.00000"/>
    <numFmt numFmtId="185" formatCode="_(* #,##0.000000_);_(* \(#,##0.000000\);_(* &quot;-&quot;??_);_(@_)"/>
    <numFmt numFmtId="186" formatCode="[$-409]mmm\-yy;@"/>
    <numFmt numFmtId="187" formatCode="[$-F800]dddd\,\ mmmm\ dd\,\ yyyy"/>
    <numFmt numFmtId="188" formatCode="mmmm\ d\,\ yyyy"/>
    <numFmt numFmtId="189" formatCode="[$-409]mmmm\-yy;@"/>
    <numFmt numFmtId="190" formatCode="#,##0_%_);\(#,##0\)_%;#,##0_%_);@_%_)"/>
    <numFmt numFmtId="191" formatCode="_._.* #,##0.0_)_%;_._.* \(#,##0.0\)_%"/>
    <numFmt numFmtId="192" formatCode="_._.* #,##0.00_)_%;_._.* \(#,##0.00\)_%"/>
    <numFmt numFmtId="193" formatCode="_._.* #,##0.000_)_%;_._.* \(#,##0.000\)_%"/>
    <numFmt numFmtId="194" formatCode="_(* #,##0.00_);_(* \(\ #,##0.00\ \);_(* &quot;-&quot;??_);_(\ @_ \)"/>
    <numFmt numFmtId="195" formatCode="_._.* #,##0_)_%;_._.* #,##0_)_%;_._.* 0_)_%;_._.@_)_%"/>
    <numFmt numFmtId="196" formatCode="_._.&quot;$&quot;* #,##0.0_)_%;_._.&quot;$&quot;* \(#,##0.0\)_%"/>
    <numFmt numFmtId="197" formatCode="_._.&quot;$&quot;* #,##0.00_)_%;_._.&quot;$&quot;* \(#,##0.00\)_%"/>
    <numFmt numFmtId="198" formatCode="_._.&quot;$&quot;* #,##0.000_)_%;_._.&quot;$&quot;* \(#,##0.000\)_%"/>
    <numFmt numFmtId="199" formatCode="_._.&quot;$&quot;* #,###_)_%;_._.&quot;$&quot;* #,###_)_%;_._.&quot;$&quot;* 0_)_%;_._.@_)_%"/>
    <numFmt numFmtId="200" formatCode="#,###,##0.00;\(#,###,##0.00\)"/>
    <numFmt numFmtId="201" formatCode="#,###,##0;\(#,###,##0\)"/>
    <numFmt numFmtId="202" formatCode="0.0"/>
    <numFmt numFmtId="203" formatCode="_(&quot;$&quot;* #,##0.0_);_(&quot;$&quot;* \(#,##0.0\);_(&quot;$&quot;* &quot;-&quot;??_);_(@_)"/>
    <numFmt numFmtId="204" formatCode="&quot;$&quot;#,###,##0.00;\(&quot;$&quot;#,###,##0.00\)"/>
    <numFmt numFmtId="205" formatCode="&quot;$&quot;#,###,##0;\(&quot;$&quot;#,###,##0\)"/>
    <numFmt numFmtId="206" formatCode="#,##0.00%;\(#,##0.00%\)"/>
    <numFmt numFmtId="207" formatCode="_(0_)%;\(0\)%"/>
    <numFmt numFmtId="208" formatCode="_._._(* 0_)%;_._.* \(0\)%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_(0.0000_)%;\(0.0000\)%"/>
    <numFmt numFmtId="216" formatCode="_._._(* 0.0000_)%;_._.* \(0.0000\)%"/>
    <numFmt numFmtId="217" formatCode="_(* #,##0_);_(* \(#,##0\);_(* 0_);_(@_)"/>
    <numFmt numFmtId="218" formatCode="_(* #,##0.0_);_(* \(#,##0.0\)"/>
    <numFmt numFmtId="219" formatCode="_(* #,##0.00_);_(* \(#,##0.00\)"/>
    <numFmt numFmtId="220" formatCode="_(* #,##0.000_);_(* \(#,##0.000\)"/>
    <numFmt numFmtId="221" formatCode="_(&quot;$&quot;* #,##0_);_(&quot;$&quot;* \(#,##0\);_(&quot;$&quot;* 0_);_(@_)"/>
    <numFmt numFmtId="222" formatCode="_(&quot;$&quot;* #,##0.0_);_(&quot;$&quot;* \(#,##0.0\)"/>
    <numFmt numFmtId="223" formatCode="_(&quot;$&quot;* #,##0.00_);_(&quot;$&quot;* \(#,##0.00\)"/>
    <numFmt numFmtId="224" formatCode="_(&quot;$&quot;* #,##0.000_);_(&quot;$&quot;* \(#,##0.000\)"/>
    <numFmt numFmtId="225" formatCode="#,##0.0_x_x"/>
    <numFmt numFmtId="226" formatCode="&quot;$&quot;#,##0\ ;\(&quot;$&quot;#,##0\)"/>
    <numFmt numFmtId="227" formatCode="#,##0.00;[Red]\(#,##0.00\)"/>
    <numFmt numFmtId="228" formatCode="##,###,###,###,###,###,###,###,###,###,###,###,##0.00"/>
    <numFmt numFmtId="229" formatCode="#,##0.0"/>
  </numFmts>
  <fonts count="20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u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sz val="11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Geneva"/>
      <family val="2"/>
    </font>
    <font>
      <sz val="10"/>
      <name val="Geneva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8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u/>
      <sz val="7.5"/>
      <color indexed="9"/>
      <name val="Arial"/>
      <family val="2"/>
    </font>
    <font>
      <b/>
      <sz val="9"/>
      <name val="Arial"/>
      <family val="2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b/>
      <sz val="8"/>
      <color indexed="10"/>
      <name val="Geneva"/>
    </font>
    <font>
      <u/>
      <sz val="8"/>
      <name val="Geneva"/>
    </font>
    <font>
      <b/>
      <sz val="8"/>
      <name val="Courier"/>
      <family val="3"/>
    </font>
    <font>
      <b/>
      <sz val="8"/>
      <color indexed="12"/>
      <name val="Geneva"/>
    </font>
    <font>
      <sz val="8"/>
      <color indexed="12"/>
      <name val="Geneva"/>
    </font>
    <font>
      <sz val="8"/>
      <color indexed="39"/>
      <name val="Geneva"/>
    </font>
    <font>
      <b/>
      <sz val="8"/>
      <name val="Geneva"/>
    </font>
    <font>
      <sz val="8"/>
      <color indexed="10"/>
      <name val="Geneva"/>
    </font>
    <font>
      <sz val="8"/>
      <name val="Arial"/>
      <family val="2"/>
    </font>
    <font>
      <u/>
      <sz val="10"/>
      <color indexed="8"/>
      <name val="Arial"/>
      <family val="2"/>
    </font>
    <font>
      <sz val="8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7.5"/>
      <color theme="0"/>
      <name val="Arial"/>
      <family val="2"/>
    </font>
    <font>
      <u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rgb="FF0000FF"/>
      <name val="Arial"/>
      <family val="2"/>
    </font>
    <font>
      <b/>
      <sz val="10"/>
      <color theme="1"/>
      <name val="Arial"/>
      <family val="2"/>
    </font>
    <font>
      <u/>
      <sz val="9"/>
      <color theme="1"/>
      <name val="Times New Roman"/>
      <family val="1"/>
    </font>
    <font>
      <sz val="8"/>
      <color rgb="FF0000FF"/>
      <name val="Geneva"/>
    </font>
    <font>
      <sz val="8"/>
      <color indexed="56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48"/>
      <name val="Times New Roman"/>
      <family val="1"/>
    </font>
    <font>
      <sz val="9"/>
      <name val="Arial"/>
      <family val="2"/>
    </font>
    <font>
      <u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0"/>
      <name val="Tahoma"/>
      <family val="2"/>
    </font>
    <font>
      <sz val="10"/>
      <color rgb="FF0000FF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2"/>
    </font>
    <font>
      <sz val="10"/>
      <color theme="1"/>
      <name val="Tahoma"/>
      <family val="2"/>
    </font>
    <font>
      <sz val="10"/>
      <color indexed="60"/>
      <name val="Arial"/>
      <family val="2"/>
    </font>
    <font>
      <b/>
      <sz val="14"/>
      <name val="Arial"/>
      <family val="2"/>
    </font>
    <font>
      <sz val="8"/>
      <color rgb="FF00B050"/>
      <name val="Geneva"/>
    </font>
    <font>
      <sz val="8"/>
      <color theme="1"/>
      <name val="Calibri"/>
      <family val="2"/>
      <scheme val="minor"/>
    </font>
    <font>
      <sz val="9"/>
      <name val="Courier"/>
      <family val="3"/>
    </font>
    <font>
      <b/>
      <sz val="11"/>
      <color theme="3"/>
      <name val="Calibri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u/>
      <sz val="10"/>
      <color indexed="12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Wingdings"/>
      <charset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  <font>
      <b/>
      <sz val="11"/>
      <color indexed="9"/>
      <name val="Calibri"/>
      <family val="2"/>
    </font>
    <font>
      <b/>
      <sz val="9.75"/>
      <name val="Abadi MT Condensed"/>
      <family val="2"/>
    </font>
    <font>
      <sz val="8"/>
      <name val="Palatino"/>
      <family val="1"/>
    </font>
    <font>
      <u val="singleAccounting"/>
      <sz val="9"/>
      <name val="Times New Roman"/>
      <family val="1"/>
    </font>
    <font>
      <sz val="8"/>
      <color indexed="8"/>
      <name val="Calibri"/>
      <family val="2"/>
    </font>
    <font>
      <sz val="7.2"/>
      <color indexed="8"/>
      <name val="Arial"/>
      <family val="2"/>
    </font>
    <font>
      <b/>
      <sz val="13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 Black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Helv"/>
    </font>
    <font>
      <sz val="11"/>
      <color theme="1"/>
      <name val="Calibri"/>
      <family val="2"/>
    </font>
    <font>
      <u/>
      <sz val="10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ourier"/>
      <family val="3"/>
    </font>
    <font>
      <b/>
      <sz val="10"/>
      <color indexed="9"/>
      <name val="Times New Roman"/>
      <family val="1"/>
    </font>
    <font>
      <sz val="8"/>
      <color theme="1"/>
      <name val="Times New Roman"/>
      <family val="1"/>
    </font>
    <font>
      <sz val="11"/>
      <color indexed="8"/>
      <name val="Arial"/>
      <family val="2"/>
    </font>
    <font>
      <sz val="1"/>
      <color indexed="8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color theme="1"/>
      <name val="Times New Roman"/>
      <family val="1"/>
    </font>
  </fonts>
  <fills count="7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mediumGray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0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BFBFBF"/>
        <bgColor indexed="64"/>
      </patternFill>
    </fill>
    <fill>
      <patternFill patternType="solid">
        <fgColor indexed="8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3329">
    <xf numFmtId="0" fontId="0" fillId="0" borderId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44" fillId="2" borderId="0"/>
    <xf numFmtId="0" fontId="69" fillId="0" borderId="0"/>
    <xf numFmtId="0" fontId="69" fillId="0" borderId="0"/>
    <xf numFmtId="0" fontId="19" fillId="0" borderId="0">
      <alignment readingOrder="1"/>
    </xf>
    <xf numFmtId="0" fontId="69" fillId="0" borderId="0"/>
    <xf numFmtId="0" fontId="19" fillId="0" borderId="0"/>
    <xf numFmtId="0" fontId="19" fillId="0" borderId="0"/>
    <xf numFmtId="0" fontId="19" fillId="0" borderId="0">
      <alignment readingOrder="1"/>
    </xf>
    <xf numFmtId="0" fontId="19" fillId="0" borderId="0"/>
    <xf numFmtId="0" fontId="19" fillId="0" borderId="0">
      <alignment readingOrder="1"/>
    </xf>
    <xf numFmtId="0" fontId="32" fillId="0" borderId="0"/>
    <xf numFmtId="0" fontId="19" fillId="0" borderId="0"/>
    <xf numFmtId="0" fontId="36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0" fontId="69" fillId="0" borderId="0"/>
    <xf numFmtId="0" fontId="72" fillId="0" borderId="0"/>
    <xf numFmtId="0" fontId="69" fillId="0" borderId="0"/>
    <xf numFmtId="0" fontId="31" fillId="0" borderId="0"/>
    <xf numFmtId="0" fontId="31" fillId="0" borderId="0"/>
    <xf numFmtId="0" fontId="31" fillId="0" borderId="0"/>
    <xf numFmtId="0" fontId="32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2" fillId="0" borderId="0"/>
    <xf numFmtId="43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34" fillId="0" borderId="0" applyFont="0" applyFill="0" applyBorder="0" applyAlignment="0" applyProtection="0"/>
    <xf numFmtId="9" fontId="38" fillId="0" borderId="0" applyFont="0" applyFill="0" applyBorder="0" applyAlignment="0" applyProtection="0"/>
    <xf numFmtId="38" fontId="83" fillId="0" borderId="0" applyNumberFormat="0" applyFont="0" applyFill="0" applyBorder="0">
      <alignment horizontal="left" indent="4"/>
      <protection locked="0"/>
    </xf>
    <xf numFmtId="0" fontId="84" fillId="0" borderId="0" applyNumberFormat="0" applyFont="0" applyFill="0" applyBorder="0" applyAlignment="0" applyProtection="0">
      <alignment horizontal="left"/>
    </xf>
    <xf numFmtId="15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85" fillId="0" borderId="13">
      <alignment horizontal="center"/>
    </xf>
    <xf numFmtId="3" fontId="84" fillId="0" borderId="0" applyFont="0" applyFill="0" applyBorder="0" applyAlignment="0" applyProtection="0"/>
    <xf numFmtId="0" fontId="84" fillId="6" borderId="0" applyNumberFormat="0" applyFont="0" applyBorder="0" applyAlignment="0" applyProtection="0"/>
    <xf numFmtId="166" fontId="61" fillId="3" borderId="0" applyFont="0" applyFill="0" applyBorder="0" applyAlignment="0" applyProtection="0">
      <alignment wrapText="1"/>
    </xf>
    <xf numFmtId="0" fontId="19" fillId="7" borderId="0" applyNumberFormat="0" applyFont="0" applyFill="0" applyBorder="0" applyAlignment="0" applyProtection="0"/>
    <xf numFmtId="0" fontId="7" fillId="0" borderId="0"/>
    <xf numFmtId="3" fontId="72" fillId="0" borderId="0"/>
    <xf numFmtId="3" fontId="72" fillId="0" borderId="0"/>
    <xf numFmtId="0" fontId="19" fillId="0" borderId="0"/>
    <xf numFmtId="0" fontId="71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6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19" fillId="0" borderId="0">
      <alignment readingOrder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27" applyNumberFormat="0" applyFill="0" applyAlignment="0" applyProtection="0"/>
    <xf numFmtId="0" fontId="100" fillId="0" borderId="28" applyNumberFormat="0" applyFill="0" applyAlignment="0" applyProtection="0"/>
    <xf numFmtId="0" fontId="101" fillId="0" borderId="29" applyNumberFormat="0" applyFill="0" applyAlignment="0" applyProtection="0"/>
    <xf numFmtId="0" fontId="101" fillId="0" borderId="0" applyNumberFormat="0" applyFill="0" applyBorder="0" applyAlignment="0" applyProtection="0"/>
    <xf numFmtId="0" fontId="102" fillId="10" borderId="0" applyNumberFormat="0" applyBorder="0" applyAlignment="0" applyProtection="0"/>
    <xf numFmtId="0" fontId="103" fillId="11" borderId="0" applyNumberFormat="0" applyBorder="0" applyAlignment="0" applyProtection="0"/>
    <xf numFmtId="0" fontId="104" fillId="12" borderId="0" applyNumberFormat="0" applyBorder="0" applyAlignment="0" applyProtection="0"/>
    <xf numFmtId="0" fontId="105" fillId="13" borderId="30" applyNumberFormat="0" applyAlignment="0" applyProtection="0"/>
    <xf numFmtId="0" fontId="106" fillId="14" borderId="31" applyNumberFormat="0" applyAlignment="0" applyProtection="0"/>
    <xf numFmtId="0" fontId="107" fillId="14" borderId="30" applyNumberFormat="0" applyAlignment="0" applyProtection="0"/>
    <xf numFmtId="0" fontId="108" fillId="0" borderId="32" applyNumberFormat="0" applyFill="0" applyAlignment="0" applyProtection="0"/>
    <xf numFmtId="0" fontId="109" fillId="15" borderId="33" applyNumberFormat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0" borderId="35" applyNumberFormat="0" applyFill="0" applyAlignment="0" applyProtection="0"/>
    <xf numFmtId="0" fontId="11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113" fillId="20" borderId="0" applyNumberFormat="0" applyBorder="0" applyAlignment="0" applyProtection="0"/>
    <xf numFmtId="0" fontId="11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13" fillId="24" borderId="0" applyNumberFormat="0" applyBorder="0" applyAlignment="0" applyProtection="0"/>
    <xf numFmtId="0" fontId="11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113" fillId="28" borderId="0" applyNumberFormat="0" applyBorder="0" applyAlignment="0" applyProtection="0"/>
    <xf numFmtId="0" fontId="11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13" fillId="32" borderId="0" applyNumberFormat="0" applyBorder="0" applyAlignment="0" applyProtection="0"/>
    <xf numFmtId="0" fontId="11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113" fillId="40" borderId="0" applyNumberFormat="0" applyBorder="0" applyAlignment="0" applyProtection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8" fillId="0" borderId="0"/>
    <xf numFmtId="9" fontId="38" fillId="0" borderId="0" applyFont="0" applyFill="0" applyBorder="0" applyAlignment="0" applyProtection="0"/>
    <xf numFmtId="0" fontId="61" fillId="0" borderId="0"/>
    <xf numFmtId="0" fontId="38" fillId="0" borderId="0"/>
    <xf numFmtId="0" fontId="61" fillId="0" borderId="0"/>
    <xf numFmtId="0" fontId="19" fillId="0" borderId="0"/>
    <xf numFmtId="0" fontId="114" fillId="0" borderId="0"/>
    <xf numFmtId="0" fontId="19" fillId="0" borderId="0"/>
    <xf numFmtId="9" fontId="6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5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0" fontId="3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2" fillId="0" borderId="0"/>
    <xf numFmtId="9" fontId="19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3" fontId="19" fillId="42" borderId="0" applyFont="0" applyFill="0" applyBorder="0" applyAlignment="0" applyProtection="0"/>
    <xf numFmtId="5" fontId="19" fillId="42" borderId="0" applyFont="0" applyFill="0" applyBorder="0" applyAlignment="0" applyProtection="0"/>
    <xf numFmtId="0" fontId="19" fillId="42" borderId="0" applyFont="0" applyFill="0" applyBorder="0" applyAlignment="0" applyProtection="0"/>
    <xf numFmtId="2" fontId="19" fillId="42" borderId="0" applyFont="0" applyFill="0" applyBorder="0" applyAlignment="0" applyProtection="0"/>
    <xf numFmtId="41" fontId="116" fillId="3" borderId="37">
      <alignment horizontal="left"/>
      <protection locked="0"/>
    </xf>
    <xf numFmtId="0" fontId="38" fillId="0" borderId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8" fillId="0" borderId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72" fillId="0" borderId="0"/>
    <xf numFmtId="9" fontId="32" fillId="0" borderId="0" applyFont="0" applyFill="0" applyBorder="0" applyAlignment="0" applyProtection="0"/>
    <xf numFmtId="0" fontId="32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72" fillId="0" borderId="0"/>
    <xf numFmtId="0" fontId="72" fillId="0" borderId="0"/>
    <xf numFmtId="44" fontId="19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0" borderId="0"/>
    <xf numFmtId="9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9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0" borderId="0"/>
    <xf numFmtId="43" fontId="38" fillId="0" borderId="0" applyFont="0" applyFill="0" applyBorder="0" applyAlignment="0" applyProtection="0"/>
    <xf numFmtId="0" fontId="38" fillId="0" borderId="0"/>
    <xf numFmtId="0" fontId="19" fillId="0" borderId="0"/>
    <xf numFmtId="43" fontId="32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8" fillId="0" borderId="0"/>
    <xf numFmtId="0" fontId="19" fillId="0" borderId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/>
    <xf numFmtId="0" fontId="3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32" fillId="0" borderId="0"/>
    <xf numFmtId="43" fontId="32" fillId="0" borderId="0" applyFont="0" applyFill="0" applyBorder="0" applyAlignment="0" applyProtection="0"/>
    <xf numFmtId="0" fontId="32" fillId="0" borderId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8" fillId="0" borderId="0"/>
    <xf numFmtId="44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9" fontId="1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44" fontId="19" fillId="0" borderId="0" applyFont="0" applyFill="0" applyBorder="0" applyAlignment="0" applyProtection="0"/>
    <xf numFmtId="0" fontId="32" fillId="0" borderId="0"/>
    <xf numFmtId="9" fontId="7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7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19" fillId="0" borderId="0" applyFont="0" applyFill="0" applyBorder="0" applyAlignment="0" applyProtection="0"/>
    <xf numFmtId="0" fontId="32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4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9" fontId="38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7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9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19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0" borderId="0"/>
    <xf numFmtId="0" fontId="19" fillId="0" borderId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2" fillId="0" borderId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3" fontId="32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0" borderId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9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19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19" fillId="0" borderId="0"/>
    <xf numFmtId="9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9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8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72" fillId="0" borderId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43" fontId="38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2" fillId="0" borderId="0"/>
    <xf numFmtId="44" fontId="38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72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19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9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43" fontId="32" fillId="0" borderId="0" applyFont="0" applyFill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44" fontId="38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43" fontId="38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72" fillId="0" borderId="0"/>
    <xf numFmtId="44" fontId="19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43" fontId="19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0" borderId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9" fontId="72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0" fontId="19" fillId="0" borderId="0"/>
    <xf numFmtId="43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9" fontId="38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20" fillId="0" borderId="0"/>
    <xf numFmtId="44" fontId="19" fillId="0" borderId="0" applyFont="0" applyFill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0" borderId="0">
      <alignment readingOrder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72" fillId="0" borderId="0"/>
    <xf numFmtId="0" fontId="19" fillId="0" borderId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72" fillId="0" borderId="0"/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0" fontId="122" fillId="0" borderId="0" applyBorder="0">
      <alignment horizontal="centerContinuous"/>
    </xf>
    <xf numFmtId="0" fontId="123" fillId="0" borderId="0" applyBorder="0">
      <alignment horizontal="centerContinuous"/>
    </xf>
    <xf numFmtId="0" fontId="124" fillId="43" borderId="0">
      <alignment horizontal="right"/>
    </xf>
    <xf numFmtId="0" fontId="123" fillId="43" borderId="36"/>
    <xf numFmtId="44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25" fillId="44" borderId="0">
      <alignment horizontal="left"/>
    </xf>
    <xf numFmtId="0" fontId="126" fillId="44" borderId="0">
      <alignment horizontal="right"/>
    </xf>
    <xf numFmtId="0" fontId="126" fillId="44" borderId="0">
      <alignment horizontal="center"/>
    </xf>
    <xf numFmtId="0" fontId="126" fillId="44" borderId="0">
      <alignment horizontal="right"/>
    </xf>
    <xf numFmtId="0" fontId="127" fillId="44" borderId="0">
      <alignment horizontal="left"/>
    </xf>
    <xf numFmtId="41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3" fillId="23" borderId="0" applyNumberFormat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8" fillId="0" borderId="0" applyNumberFormat="0" applyFill="0" applyBorder="0" applyAlignment="0" applyProtection="0">
      <alignment vertical="top"/>
      <protection locked="0"/>
    </xf>
    <xf numFmtId="0" fontId="125" fillId="44" borderId="0">
      <alignment horizontal="left"/>
    </xf>
    <xf numFmtId="0" fontId="125" fillId="44" borderId="0">
      <alignment horizontal="left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0" fontId="65" fillId="43" borderId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25" fillId="44" borderId="0">
      <alignment horizontal="center"/>
    </xf>
    <xf numFmtId="49" fontId="129" fillId="44" borderId="0">
      <alignment horizontal="center"/>
    </xf>
    <xf numFmtId="0" fontId="126" fillId="44" borderId="0">
      <alignment horizontal="center"/>
    </xf>
    <xf numFmtId="0" fontId="126" fillId="44" borderId="0">
      <alignment horizontal="centerContinuous"/>
    </xf>
    <xf numFmtId="0" fontId="130" fillId="44" borderId="0">
      <alignment horizontal="left"/>
    </xf>
    <xf numFmtId="49" fontId="130" fillId="44" borderId="0">
      <alignment horizontal="center"/>
    </xf>
    <xf numFmtId="0" fontId="125" fillId="44" borderId="0">
      <alignment horizontal="left"/>
    </xf>
    <xf numFmtId="49" fontId="130" fillId="44" borderId="0">
      <alignment horizontal="left"/>
    </xf>
    <xf numFmtId="0" fontId="125" fillId="44" borderId="0">
      <alignment horizontal="centerContinuous"/>
    </xf>
    <xf numFmtId="0" fontId="125" fillId="44" borderId="0">
      <alignment horizontal="right"/>
    </xf>
    <xf numFmtId="49" fontId="125" fillId="44" borderId="0">
      <alignment horizontal="left"/>
    </xf>
    <xf numFmtId="0" fontId="126" fillId="44" borderId="0">
      <alignment horizontal="right"/>
    </xf>
    <xf numFmtId="0" fontId="130" fillId="45" borderId="0">
      <alignment horizontal="center"/>
    </xf>
    <xf numFmtId="0" fontId="131" fillId="45" borderId="0">
      <alignment horizontal="center"/>
    </xf>
    <xf numFmtId="0" fontId="132" fillId="44" borderId="0">
      <alignment horizontal="center"/>
    </xf>
    <xf numFmtId="0" fontId="19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1" fillId="0" borderId="29" applyNumberFormat="0" applyFill="0" applyAlignment="0" applyProtection="0"/>
    <xf numFmtId="43" fontId="3" fillId="0" borderId="0" applyFont="0" applyFill="0" applyBorder="0" applyAlignment="0" applyProtection="0"/>
    <xf numFmtId="186" fontId="38" fillId="41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" fillId="0" borderId="0"/>
    <xf numFmtId="0" fontId="62" fillId="0" borderId="0">
      <alignment vertical="top"/>
    </xf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14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14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14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14" fillId="50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14" fillId="51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14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14" fillId="5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14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14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14" fillId="52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0" fontId="14" fillId="55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20" borderId="0" applyNumberFormat="0" applyBorder="0" applyAlignment="0" applyProtection="0"/>
    <xf numFmtId="0" fontId="113" fillId="56" borderId="0" applyNumberFormat="0" applyBorder="0" applyAlignment="0" applyProtection="0"/>
    <xf numFmtId="0" fontId="133" fillId="56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13" fillId="24" borderId="0" applyNumberFormat="0" applyBorder="0" applyAlignment="0" applyProtection="0"/>
    <xf numFmtId="0" fontId="133" fillId="53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28" borderId="0" applyNumberFormat="0" applyBorder="0" applyAlignment="0" applyProtection="0"/>
    <xf numFmtId="0" fontId="113" fillId="54" borderId="0" applyNumberFormat="0" applyBorder="0" applyAlignment="0" applyProtection="0"/>
    <xf numFmtId="0" fontId="133" fillId="54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32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13" fillId="36" borderId="0" applyNumberFormat="0" applyBorder="0" applyAlignment="0" applyProtection="0"/>
    <xf numFmtId="0" fontId="133" fillId="58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40" borderId="0" applyNumberFormat="0" applyBorder="0" applyAlignment="0" applyProtection="0"/>
    <xf numFmtId="0" fontId="113" fillId="59" borderId="0" applyNumberFormat="0" applyBorder="0" applyAlignment="0" applyProtection="0"/>
    <xf numFmtId="0" fontId="133" fillId="59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17" borderId="0" applyNumberFormat="0" applyBorder="0" applyAlignment="0" applyProtection="0"/>
    <xf numFmtId="0" fontId="113" fillId="60" borderId="0" applyNumberFormat="0" applyBorder="0" applyAlignment="0" applyProtection="0"/>
    <xf numFmtId="0" fontId="133" fillId="60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21" borderId="0" applyNumberFormat="0" applyBorder="0" applyAlignment="0" applyProtection="0"/>
    <xf numFmtId="0" fontId="113" fillId="61" borderId="0" applyNumberFormat="0" applyBorder="0" applyAlignment="0" applyProtection="0"/>
    <xf numFmtId="0" fontId="133" fillId="61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25" borderId="0" applyNumberFormat="0" applyBorder="0" applyAlignment="0" applyProtection="0"/>
    <xf numFmtId="0" fontId="113" fillId="62" borderId="0" applyNumberFormat="0" applyBorder="0" applyAlignment="0" applyProtection="0"/>
    <xf numFmtId="0" fontId="133" fillId="62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29" borderId="0" applyNumberFormat="0" applyBorder="0" applyAlignment="0" applyProtection="0"/>
    <xf numFmtId="0" fontId="113" fillId="57" borderId="0" applyNumberFormat="0" applyBorder="0" applyAlignment="0" applyProtection="0"/>
    <xf numFmtId="0" fontId="133" fillId="57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13" fillId="33" borderId="0" applyNumberFormat="0" applyBorder="0" applyAlignment="0" applyProtection="0"/>
    <xf numFmtId="0" fontId="133" fillId="58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13" fillId="37" borderId="0" applyNumberFormat="0" applyBorder="0" applyAlignment="0" applyProtection="0"/>
    <xf numFmtId="0" fontId="133" fillId="63" borderId="0" applyNumberFormat="0" applyBorder="0" applyAlignment="0" applyProtection="0"/>
    <xf numFmtId="189" fontId="134" fillId="64" borderId="0" applyNumberFormat="0" applyBorder="0" applyAlignment="0" applyProtection="0"/>
    <xf numFmtId="189" fontId="25" fillId="4" borderId="0" applyNumberFormat="0" applyBorder="0" applyAlignment="0" applyProtection="0"/>
    <xf numFmtId="189" fontId="25" fillId="4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03" fillId="11" borderId="0" applyNumberFormat="0" applyBorder="0" applyAlignment="0" applyProtection="0"/>
    <xf numFmtId="0" fontId="135" fillId="11" borderId="0" applyNumberFormat="0" applyBorder="0" applyAlignment="0" applyProtection="0"/>
    <xf numFmtId="0" fontId="136" fillId="47" borderId="0" applyNumberFormat="0" applyBorder="0" applyAlignment="0" applyProtection="0"/>
    <xf numFmtId="0" fontId="38" fillId="0" borderId="0" applyFill="0" applyBorder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14" borderId="30" applyNumberFormat="0" applyAlignment="0" applyProtection="0"/>
    <xf numFmtId="0" fontId="107" fillId="65" borderId="30" applyNumberFormat="0" applyAlignment="0" applyProtection="0"/>
    <xf numFmtId="0" fontId="137" fillId="65" borderId="38" applyNumberFormat="0" applyAlignment="0" applyProtection="0"/>
    <xf numFmtId="0" fontId="138" fillId="0" borderId="0" applyFill="0" applyBorder="0" applyProtection="0">
      <alignment horizontal="center" vertical="center"/>
    </xf>
    <xf numFmtId="0" fontId="41" fillId="0" borderId="0" applyFill="0" applyBorder="0" applyProtection="0">
      <alignment horizontal="center"/>
      <protection locked="0"/>
    </xf>
    <xf numFmtId="0" fontId="138" fillId="0" borderId="0" applyFill="0" applyBorder="0" applyProtection="0">
      <alignment horizontal="center" vertical="center"/>
    </xf>
    <xf numFmtId="0" fontId="109" fillId="15" borderId="33" applyNumberFormat="0" applyAlignment="0" applyProtection="0"/>
    <xf numFmtId="0" fontId="109" fillId="15" borderId="33" applyNumberFormat="0" applyAlignment="0" applyProtection="0"/>
    <xf numFmtId="0" fontId="109" fillId="15" borderId="33" applyNumberFormat="0" applyAlignment="0" applyProtection="0"/>
    <xf numFmtId="0" fontId="139" fillId="66" borderId="39" applyNumberFormat="0" applyAlignment="0" applyProtection="0"/>
    <xf numFmtId="0" fontId="140" fillId="0" borderId="13">
      <alignment horizontal="center"/>
    </xf>
    <xf numFmtId="190" fontId="141" fillId="0" borderId="0" applyFont="0" applyFill="0" applyBorder="0" applyAlignment="0" applyProtection="0">
      <alignment horizontal="right"/>
    </xf>
    <xf numFmtId="191" fontId="20" fillId="0" borderId="0" applyFont="0" applyFill="0" applyBorder="0" applyAlignment="0" applyProtection="0"/>
    <xf numFmtId="192" fontId="142" fillId="0" borderId="0" applyFont="0" applyFill="0" applyBorder="0" applyAlignment="0" applyProtection="0"/>
    <xf numFmtId="19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62" fillId="0" borderId="0" applyFont="0" applyFill="0" applyBorder="0" applyAlignment="0" applyProtection="0">
      <alignment vertical="top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4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4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6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95" fontId="20" fillId="0" borderId="0">
      <protection locked="0"/>
    </xf>
    <xf numFmtId="0" fontId="145" fillId="0" borderId="0" applyFill="0" applyBorder="0" applyAlignment="0" applyProtection="0"/>
    <xf numFmtId="0" fontId="117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196" fontId="142" fillId="0" borderId="0" applyFont="0" applyFill="0" applyBorder="0" applyAlignment="0" applyProtection="0"/>
    <xf numFmtId="197" fontId="142" fillId="0" borderId="0" applyFont="0" applyFill="0" applyBorder="0" applyAlignment="0" applyProtection="0"/>
    <xf numFmtId="198" fontId="14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43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62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99" fontId="20" fillId="0" borderId="0">
      <protection locked="0"/>
    </xf>
    <xf numFmtId="188" fontId="146" fillId="0" borderId="0" applyFont="0" applyFill="0" applyBorder="0" applyAlignment="0" applyProtection="0"/>
    <xf numFmtId="189" fontId="147" fillId="0" borderId="0" applyNumberFormat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200" fontId="149" fillId="0" borderId="0"/>
    <xf numFmtId="201" fontId="149" fillId="0" borderId="0"/>
    <xf numFmtId="166" fontId="149" fillId="0" borderId="0"/>
    <xf numFmtId="201" fontId="149" fillId="0" borderId="0"/>
    <xf numFmtId="202" fontId="149" fillId="0" borderId="0"/>
    <xf numFmtId="202" fontId="149" fillId="0" borderId="0"/>
    <xf numFmtId="200" fontId="149" fillId="0" borderId="0"/>
    <xf numFmtId="203" fontId="149" fillId="0" borderId="0"/>
    <xf numFmtId="204" fontId="149" fillId="0" borderId="0"/>
    <xf numFmtId="205" fontId="149" fillId="0" borderId="0"/>
    <xf numFmtId="206" fontId="149" fillId="0" borderId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02" fillId="10" borderId="0" applyNumberFormat="0" applyBorder="0" applyAlignment="0" applyProtection="0"/>
    <xf numFmtId="0" fontId="150" fillId="48" borderId="0" applyNumberFormat="0" applyBorder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99" fillId="0" borderId="27" applyNumberFormat="0" applyFill="0" applyAlignment="0" applyProtection="0"/>
    <xf numFmtId="0" fontId="151" fillId="0" borderId="40" applyNumberFormat="0" applyFill="0" applyAlignment="0" applyProtection="0"/>
    <xf numFmtId="0" fontId="152" fillId="0" borderId="40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00" fillId="0" borderId="28" applyNumberFormat="0" applyFill="0" applyAlignment="0" applyProtection="0"/>
    <xf numFmtId="0" fontId="153" fillId="0" borderId="28" applyNumberFormat="0" applyFill="0" applyAlignment="0" applyProtection="0"/>
    <xf numFmtId="0" fontId="154" fillId="0" borderId="41" applyNumberFormat="0" applyFill="0" applyAlignment="0" applyProtection="0"/>
    <xf numFmtId="0" fontId="101" fillId="0" borderId="29" applyNumberFormat="0" applyFill="0" applyAlignment="0" applyProtection="0"/>
    <xf numFmtId="0" fontId="101" fillId="0" borderId="29" applyNumberFormat="0" applyFill="0" applyAlignment="0" applyProtection="0"/>
    <xf numFmtId="0" fontId="155" fillId="0" borderId="42" applyNumberFormat="0" applyFill="0" applyAlignment="0" applyProtection="0"/>
    <xf numFmtId="0" fontId="156" fillId="0" borderId="42" applyNumberFormat="0" applyFill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6" fillId="0" borderId="0" applyFill="0" applyAlignment="0" applyProtection="0"/>
    <xf numFmtId="0" fontId="41" fillId="0" borderId="0" applyFill="0" applyAlignment="0" applyProtection="0">
      <protection locked="0"/>
    </xf>
    <xf numFmtId="0" fontId="26" fillId="0" borderId="0" applyFill="0" applyAlignment="0" applyProtection="0"/>
    <xf numFmtId="0" fontId="26" fillId="0" borderId="1" applyFill="0" applyAlignment="0" applyProtection="0"/>
    <xf numFmtId="0" fontId="41" fillId="0" borderId="1" applyFill="0" applyAlignment="0" applyProtection="0">
      <protection locked="0"/>
    </xf>
    <xf numFmtId="0" fontId="26" fillId="0" borderId="1" applyFill="0" applyAlignment="0" applyProtection="0"/>
    <xf numFmtId="0" fontId="41" fillId="0" borderId="0" applyFill="0" applyAlignment="0" applyProtection="0"/>
    <xf numFmtId="189" fontId="157" fillId="43" borderId="0" applyNumberFormat="0" applyBorder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05" fillId="13" borderId="30" applyNumberFormat="0" applyAlignment="0" applyProtection="0"/>
    <xf numFmtId="0" fontId="158" fillId="51" borderId="38" applyNumberFormat="0" applyAlignment="0" applyProtection="0"/>
    <xf numFmtId="189" fontId="25" fillId="3" borderId="0" applyNumberFormat="0" applyBorder="0" applyAlignment="0" applyProtection="0"/>
    <xf numFmtId="189" fontId="25" fillId="3" borderId="0" applyNumberFormat="0" applyBorder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08" fillId="0" borderId="32" applyNumberFormat="0" applyFill="0" applyAlignment="0" applyProtection="0"/>
    <xf numFmtId="0" fontId="159" fillId="0" borderId="43" applyNumberFormat="0" applyFill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04" fillId="12" borderId="0" applyNumberFormat="0" applyBorder="0" applyAlignment="0" applyProtection="0"/>
    <xf numFmtId="0" fontId="160" fillId="67" borderId="0" applyNumberFormat="0" applyBorder="0" applyAlignment="0" applyProtection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189" fontId="19" fillId="0" borderId="0"/>
    <xf numFmtId="0" fontId="119" fillId="0" borderId="0"/>
    <xf numFmtId="0" fontId="3" fillId="0" borderId="0"/>
    <xf numFmtId="0" fontId="1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9" fillId="0" borderId="0"/>
    <xf numFmtId="0" fontId="19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1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0" fontId="38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1" fillId="0" borderId="0"/>
    <xf numFmtId="0" fontId="19" fillId="0" borderId="0"/>
    <xf numFmtId="0" fontId="62" fillId="0" borderId="0">
      <alignment vertical="top"/>
    </xf>
    <xf numFmtId="0" fontId="19" fillId="0" borderId="0"/>
    <xf numFmtId="0" fontId="19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189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9" fillId="0" borderId="0"/>
    <xf numFmtId="0" fontId="19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187" fontId="72" fillId="0" borderId="0"/>
    <xf numFmtId="187" fontId="72" fillId="0" borderId="0"/>
    <xf numFmtId="187" fontId="72" fillId="0" borderId="0"/>
    <xf numFmtId="187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87" fontId="19" fillId="0" borderId="0"/>
    <xf numFmtId="0" fontId="62" fillId="0" borderId="0">
      <alignment vertical="top"/>
    </xf>
    <xf numFmtId="0" fontId="62" fillId="0" borderId="0">
      <alignment vertical="top"/>
    </xf>
    <xf numFmtId="0" fontId="72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189" fontId="72" fillId="0" borderId="0"/>
    <xf numFmtId="189" fontId="72" fillId="0" borderId="0"/>
    <xf numFmtId="0" fontId="62" fillId="0" borderId="0">
      <alignment vertical="top"/>
    </xf>
    <xf numFmtId="189" fontId="72" fillId="0" borderId="0"/>
    <xf numFmtId="189" fontId="72" fillId="0" borderId="0"/>
    <xf numFmtId="0" fontId="19" fillId="0" borderId="0"/>
    <xf numFmtId="0" fontId="3" fillId="0" borderId="0"/>
    <xf numFmtId="0" fontId="72" fillId="0" borderId="0"/>
    <xf numFmtId="0" fontId="62" fillId="0" borderId="0">
      <alignment vertical="top"/>
    </xf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8" fillId="0" borderId="0"/>
    <xf numFmtId="0" fontId="19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14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189" fontId="72" fillId="0" borderId="0"/>
    <xf numFmtId="189" fontId="72" fillId="0" borderId="0"/>
    <xf numFmtId="189" fontId="72" fillId="0" borderId="0"/>
    <xf numFmtId="189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14" fillId="16" borderId="34" applyNumberFormat="0" applyFont="0" applyAlignment="0" applyProtection="0"/>
    <xf numFmtId="0" fontId="19" fillId="68" borderId="44" applyNumberFormat="0" applyFont="0" applyAlignment="0" applyProtection="0"/>
    <xf numFmtId="0" fontId="3" fillId="16" borderId="34" applyNumberFormat="0" applyFon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14" borderId="31" applyNumberFormat="0" applyAlignment="0" applyProtection="0"/>
    <xf numFmtId="0" fontId="106" fillId="65" borderId="31" applyNumberFormat="0" applyAlignment="0" applyProtection="0"/>
    <xf numFmtId="0" fontId="162" fillId="65" borderId="45" applyNumberFormat="0" applyAlignment="0" applyProtection="0"/>
    <xf numFmtId="189" fontId="19" fillId="41" borderId="0" applyNumberFormat="0" applyBorder="0" applyAlignment="0" applyProtection="0"/>
    <xf numFmtId="189" fontId="19" fillId="41" borderId="0" applyNumberFormat="0" applyBorder="0" applyAlignment="0" applyProtection="0"/>
    <xf numFmtId="207" fontId="142" fillId="0" borderId="0" applyFont="0" applyFill="0" applyBorder="0" applyAlignment="0" applyProtection="0"/>
    <xf numFmtId="208" fontId="20" fillId="0" borderId="0" applyFont="0" applyFill="0" applyBorder="0" applyAlignment="0" applyProtection="0"/>
    <xf numFmtId="209" fontId="142" fillId="0" borderId="0" applyFont="0" applyFill="0" applyBorder="0" applyAlignment="0" applyProtection="0"/>
    <xf numFmtId="210" fontId="20" fillId="0" borderId="0" applyFont="0" applyFill="0" applyBorder="0" applyAlignment="0" applyProtection="0"/>
    <xf numFmtId="211" fontId="142" fillId="0" borderId="0" applyFont="0" applyFill="0" applyBorder="0" applyAlignment="0" applyProtection="0"/>
    <xf numFmtId="212" fontId="20" fillId="0" borderId="0" applyFont="0" applyFill="0" applyBorder="0" applyAlignment="0" applyProtection="0"/>
    <xf numFmtId="213" fontId="142" fillId="0" borderId="0" applyFont="0" applyFill="0" applyBorder="0" applyAlignment="0" applyProtection="0"/>
    <xf numFmtId="214" fontId="20" fillId="0" borderId="0" applyFont="0" applyFill="0" applyBorder="0" applyAlignment="0" applyProtection="0"/>
    <xf numFmtId="215" fontId="20" fillId="0" borderId="0" applyFont="0" applyFill="0" applyBorder="0" applyAlignment="0" applyProtection="0"/>
    <xf numFmtId="216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3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9" fontId="134" fillId="64" borderId="0" applyNumberFormat="0" applyBorder="0" applyAlignment="0" applyProtection="0"/>
    <xf numFmtId="0" fontId="163" fillId="0" borderId="0">
      <alignment horizontal="right"/>
    </xf>
    <xf numFmtId="0" fontId="164" fillId="0" borderId="0">
      <alignment horizontal="right"/>
    </xf>
    <xf numFmtId="0" fontId="149" fillId="0" borderId="0"/>
    <xf numFmtId="0" fontId="165" fillId="0" borderId="0" applyNumberFormat="0" applyBorder="0" applyAlignment="0"/>
    <xf numFmtId="0" fontId="165" fillId="0" borderId="0" applyNumberFormat="0" applyBorder="0" applyAlignment="0"/>
    <xf numFmtId="0" fontId="62" fillId="0" borderId="0" applyNumberFormat="0" applyBorder="0" applyAlignment="0"/>
    <xf numFmtId="189" fontId="62" fillId="0" borderId="0" applyNumberFormat="0" applyBorder="0" applyAlignment="0"/>
    <xf numFmtId="0" fontId="149" fillId="0" borderId="0"/>
    <xf numFmtId="189" fontId="62" fillId="0" borderId="0" applyNumberFormat="0" applyBorder="0" applyAlignment="0"/>
    <xf numFmtId="0" fontId="166" fillId="0" borderId="0"/>
    <xf numFmtId="0" fontId="167" fillId="0" borderId="0" applyNumberFormat="0" applyBorder="0" applyAlignment="0"/>
    <xf numFmtId="0" fontId="167" fillId="0" borderId="0" applyNumberFormat="0" applyBorder="0" applyAlignment="0"/>
    <xf numFmtId="0" fontId="166" fillId="0" borderId="0"/>
    <xf numFmtId="0" fontId="168" fillId="0" borderId="0"/>
    <xf numFmtId="189" fontId="169" fillId="0" borderId="0"/>
    <xf numFmtId="0" fontId="170" fillId="0" borderId="0"/>
    <xf numFmtId="0" fontId="171" fillId="0" borderId="0" applyNumberFormat="0" applyBorder="0" applyAlignment="0"/>
    <xf numFmtId="0" fontId="171" fillId="0" borderId="0" applyNumberFormat="0" applyBorder="0" applyAlignment="0"/>
    <xf numFmtId="0" fontId="170" fillId="0" borderId="0"/>
    <xf numFmtId="0" fontId="172" fillId="0" borderId="0" applyNumberFormat="0" applyBorder="0" applyAlignment="0"/>
    <xf numFmtId="0" fontId="173" fillId="0" borderId="0"/>
    <xf numFmtId="189" fontId="174" fillId="0" borderId="0"/>
    <xf numFmtId="0" fontId="175" fillId="0" borderId="0"/>
    <xf numFmtId="0" fontId="171" fillId="69" borderId="0" applyNumberFormat="0" applyBorder="0" applyAlignment="0"/>
    <xf numFmtId="0" fontId="176" fillId="0" borderId="0"/>
    <xf numFmtId="0" fontId="177" fillId="0" borderId="0"/>
    <xf numFmtId="0" fontId="178" fillId="0" borderId="0"/>
    <xf numFmtId="0" fontId="177" fillId="70" borderId="0"/>
    <xf numFmtId="0" fontId="98" fillId="0" borderId="0" applyNumberFormat="0" applyFill="0" applyBorder="0" applyAlignment="0" applyProtection="0"/>
    <xf numFmtId="0" fontId="179" fillId="71" borderId="46" applyNumberFormat="0">
      <alignment horizontal="left"/>
    </xf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79" fillId="71" borderId="47">
      <alignment horizontal="left"/>
    </xf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35" applyNumberFormat="0" applyFill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189" fontId="26" fillId="72" borderId="0" applyNumberFormat="0" applyBorder="0" applyAlignment="0" applyProtection="0"/>
    <xf numFmtId="217" fontId="20" fillId="0" borderId="0" applyFont="0" applyFill="0" applyBorder="0" applyAlignment="0" applyProtection="0"/>
    <xf numFmtId="218" fontId="20" fillId="0" borderId="0" applyFont="0" applyFill="0" applyBorder="0" applyAlignment="0" applyProtection="0"/>
    <xf numFmtId="219" fontId="20" fillId="0" borderId="0" applyFont="0" applyFill="0" applyBorder="0" applyAlignment="0" applyProtection="0"/>
    <xf numFmtId="220" fontId="20" fillId="0" borderId="0" applyFont="0" applyFill="0" applyBorder="0" applyAlignment="0" applyProtection="0"/>
    <xf numFmtId="221" fontId="20" fillId="0" borderId="0" applyFont="0" applyFill="0" applyBorder="0" applyAlignment="0" applyProtection="0"/>
    <xf numFmtId="222" fontId="20" fillId="0" borderId="0" applyFont="0" applyFill="0" applyBorder="0" applyAlignment="0" applyProtection="0"/>
    <xf numFmtId="223" fontId="20" fillId="0" borderId="0" applyFont="0" applyFill="0" applyBorder="0" applyAlignment="0" applyProtection="0"/>
    <xf numFmtId="224" fontId="20" fillId="0" borderId="0" applyFont="0" applyFill="0" applyBorder="0" applyAlignment="0" applyProtection="0"/>
    <xf numFmtId="225" fontId="38" fillId="0" borderId="0" applyFont="0" applyFill="0" applyBorder="0" applyAlignment="0" applyProtection="0">
      <alignment horizontal="right"/>
    </xf>
    <xf numFmtId="3" fontId="72" fillId="0" borderId="0"/>
    <xf numFmtId="0" fontId="121" fillId="0" borderId="29" applyNumberFormat="0" applyFill="0" applyAlignment="0" applyProtection="0"/>
    <xf numFmtId="3" fontId="72" fillId="0" borderId="0"/>
    <xf numFmtId="3" fontId="72" fillId="0" borderId="0"/>
    <xf numFmtId="3" fontId="72" fillId="0" borderId="0"/>
    <xf numFmtId="3" fontId="72" fillId="0" borderId="0"/>
    <xf numFmtId="3" fontId="72" fillId="0" borderId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1" fillId="0" borderId="29" applyNumberFormat="0" applyFill="0" applyAlignment="0" applyProtection="0"/>
    <xf numFmtId="0" fontId="72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0" fontId="19" fillId="68" borderId="44" applyNumberFormat="0" applyFont="0" applyAlignment="0" applyProtection="0"/>
    <xf numFmtId="9" fontId="72" fillId="0" borderId="0" applyFont="0" applyFill="0" applyBorder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37" fillId="65" borderId="38" applyNumberFormat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9" fillId="68" borderId="44" applyNumberFormat="0" applyFon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72" fillId="0" borderId="0" applyFont="0" applyFill="0" applyBorder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182" fillId="0" borderId="48" applyNumberFormat="0" applyFill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0" fontId="137" fillId="65" borderId="38" applyNumberFormat="0" applyAlignment="0" applyProtection="0"/>
    <xf numFmtId="9" fontId="72" fillId="0" borderId="0" applyFont="0" applyFill="0" applyBorder="0" applyAlignment="0" applyProtection="0"/>
    <xf numFmtId="0" fontId="162" fillId="65" borderId="45" applyNumberFormat="0" applyAlignment="0" applyProtection="0"/>
    <xf numFmtId="0" fontId="11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0" fontId="112" fillId="0" borderId="48" applyNumberFormat="0" applyFill="0" applyAlignment="0" applyProtection="0"/>
    <xf numFmtId="0" fontId="182" fillId="0" borderId="48" applyNumberFormat="0" applyFill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58" fillId="51" borderId="38" applyNumberFormat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62" fillId="65" borderId="45" applyNumberFormat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2" fillId="0" borderId="48" applyNumberFormat="0" applyFill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7" fillId="65" borderId="38" applyNumberFormat="0" applyAlignment="0" applyProtection="0"/>
    <xf numFmtId="0" fontId="182" fillId="0" borderId="48" applyNumberFormat="0" applyFill="0" applyAlignment="0" applyProtection="0"/>
    <xf numFmtId="0" fontId="182" fillId="0" borderId="48" applyNumberFormat="0" applyFill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68" borderId="44" applyNumberFormat="0" applyFont="0" applyAlignment="0" applyProtection="0"/>
    <xf numFmtId="0" fontId="137" fillId="65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1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2" fillId="0" borderId="48" applyNumberFormat="0" applyFill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8" fillId="51" borderId="3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68" borderId="4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62" fillId="65" borderId="45" applyNumberFormat="0" applyAlignment="0" applyProtection="0"/>
    <xf numFmtId="0" fontId="182" fillId="0" borderId="48" applyNumberFormat="0" applyFill="0" applyAlignment="0" applyProtection="0"/>
    <xf numFmtId="0" fontId="112" fillId="0" borderId="48" applyNumberFormat="0" applyFill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162" fillId="65" borderId="45" applyNumberFormat="0" applyAlignment="0" applyProtection="0"/>
    <xf numFmtId="0" fontId="158" fillId="51" borderId="38" applyNumberFormat="0" applyAlignment="0" applyProtection="0"/>
    <xf numFmtId="0" fontId="137" fillId="65" borderId="38" applyNumberFormat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19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39" fontId="184" fillId="0" borderId="0"/>
    <xf numFmtId="40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85" fillId="0" borderId="0"/>
    <xf numFmtId="44" fontId="185" fillId="0" borderId="0" applyFont="0" applyFill="0" applyBorder="0" applyAlignment="0" applyProtection="0"/>
    <xf numFmtId="43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3" fontId="5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226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2" fontId="53" fillId="0" borderId="0" applyFont="0" applyFill="0" applyBorder="0" applyAlignment="0" applyProtection="0"/>
    <xf numFmtId="0" fontId="53" fillId="0" borderId="0"/>
    <xf numFmtId="0" fontId="72" fillId="0" borderId="0"/>
    <xf numFmtId="0" fontId="3" fillId="0" borderId="0"/>
    <xf numFmtId="10" fontId="53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4" fillId="0" borderId="0"/>
    <xf numFmtId="0" fontId="32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72" fillId="0" borderId="0"/>
    <xf numFmtId="9" fontId="72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9" fillId="0" borderId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185" fillId="0" borderId="0" applyFont="0" applyFill="0" applyBorder="0" applyAlignment="0" applyProtection="0"/>
    <xf numFmtId="9" fontId="18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2" fillId="0" borderId="0"/>
    <xf numFmtId="0" fontId="121" fillId="0" borderId="29" applyNumberFormat="0" applyFill="0" applyAlignment="0" applyProtection="0"/>
    <xf numFmtId="9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1" fontId="72" fillId="0" borderId="0" applyFont="0" applyFill="0" applyBorder="0" applyAlignment="0" applyProtection="0"/>
    <xf numFmtId="42" fontId="7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4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4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49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5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49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55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0" fontId="3" fillId="16" borderId="34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9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0" fontId="3" fillId="0" borderId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0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16" borderId="34" applyNumberFormat="0" applyFont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27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6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0" fontId="3" fillId="39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/>
    <xf numFmtId="0" fontId="3" fillId="31" borderId="0" applyNumberFormat="0" applyBorder="0" applyAlignment="0" applyProtection="0"/>
    <xf numFmtId="0" fontId="3" fillId="38" borderId="0" applyNumberFormat="0" applyBorder="0" applyAlignment="0" applyProtection="0"/>
    <xf numFmtId="0" fontId="3" fillId="34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31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34" borderId="0" applyNumberFormat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3" borderId="0" applyNumberFormat="0" applyBorder="0" applyAlignment="0" applyProtection="0"/>
    <xf numFmtId="0" fontId="3" fillId="31" borderId="0" applyNumberFormat="0" applyBorder="0" applyAlignment="0" applyProtection="0"/>
    <xf numFmtId="9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22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6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19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27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39" borderId="0" applyNumberFormat="0" applyBorder="0" applyAlignment="0" applyProtection="0"/>
    <xf numFmtId="0" fontId="3" fillId="27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9" fontId="3" fillId="0" borderId="0" applyFont="0" applyFill="0" applyBorder="0" applyAlignment="0" applyProtection="0"/>
    <xf numFmtId="0" fontId="3" fillId="16" borderId="34" applyNumberFormat="0" applyFont="0" applyAlignment="0" applyProtection="0"/>
    <xf numFmtId="0" fontId="3" fillId="0" borderId="0"/>
    <xf numFmtId="0" fontId="3" fillId="38" borderId="0" applyNumberFormat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23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19" borderId="0" applyNumberFormat="0" applyBorder="0" applyAlignment="0" applyProtection="0"/>
    <xf numFmtId="0" fontId="3" fillId="0" borderId="0"/>
    <xf numFmtId="0" fontId="3" fillId="3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0" borderId="0" applyNumberFormat="0" applyBorder="0" applyAlignment="0" applyProtection="0"/>
    <xf numFmtId="0" fontId="3" fillId="18" borderId="0" applyNumberFormat="0" applyBorder="0" applyAlignment="0" applyProtection="0"/>
    <xf numFmtId="9" fontId="3" fillId="0" borderId="0" applyFont="0" applyFill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0" fontId="3" fillId="22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23" borderId="0" applyNumberFormat="0" applyBorder="0" applyAlignment="0" applyProtection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30" borderId="0" applyNumberFormat="0" applyBorder="0" applyAlignment="0" applyProtection="0"/>
    <xf numFmtId="9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35" borderId="0" applyNumberFormat="0" applyBorder="0" applyAlignment="0" applyProtection="0"/>
    <xf numFmtId="43" fontId="3" fillId="0" borderId="0" applyFont="0" applyFill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16" borderId="34" applyNumberFormat="0" applyFont="0" applyAlignment="0" applyProtection="0"/>
    <xf numFmtId="0" fontId="3" fillId="34" borderId="0" applyNumberFormat="0" applyBorder="0" applyAlignment="0" applyProtection="0"/>
    <xf numFmtId="0" fontId="3" fillId="23" borderId="0" applyNumberFormat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0" borderId="0"/>
    <xf numFmtId="0" fontId="3" fillId="39" borderId="0" applyNumberFormat="0" applyBorder="0" applyAlignment="0" applyProtection="0"/>
    <xf numFmtId="0" fontId="3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30" borderId="0" applyNumberFormat="0" applyBorder="0" applyAlignment="0" applyProtection="0"/>
    <xf numFmtId="43" fontId="3" fillId="0" borderId="0" applyFont="0" applyFill="0" applyBorder="0" applyAlignment="0" applyProtection="0"/>
    <xf numFmtId="0" fontId="3" fillId="18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34" applyNumberFormat="0" applyFont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0" fontId="19" fillId="0" borderId="0"/>
    <xf numFmtId="0" fontId="19" fillId="0" borderId="0"/>
    <xf numFmtId="43" fontId="18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187" fillId="0" borderId="0" applyFont="0" applyFill="0" applyBorder="0" applyAlignment="0" applyProtection="0"/>
    <xf numFmtId="0" fontId="188" fillId="0" borderId="0" applyNumberFormat="0" applyFill="0" applyBorder="0" applyAlignment="0" applyProtection="0">
      <alignment vertical="top"/>
      <protection locked="0"/>
    </xf>
    <xf numFmtId="0" fontId="115" fillId="0" borderId="0"/>
    <xf numFmtId="0" fontId="19" fillId="0" borderId="0"/>
    <xf numFmtId="0" fontId="2" fillId="0" borderId="0"/>
    <xf numFmtId="0" fontId="2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43" fontId="96" fillId="0" borderId="0" applyFont="0" applyFill="0" applyBorder="0" applyAlignment="0" applyProtection="0"/>
    <xf numFmtId="0" fontId="19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62" fillId="0" borderId="0"/>
    <xf numFmtId="0" fontId="62" fillId="0" borderId="0"/>
    <xf numFmtId="0" fontId="19" fillId="0" borderId="0"/>
    <xf numFmtId="0" fontId="19" fillId="0" borderId="0"/>
    <xf numFmtId="0" fontId="62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7" fillId="0" borderId="0"/>
    <xf numFmtId="0" fontId="115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9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0" fontId="187" fillId="0" borderId="0"/>
    <xf numFmtId="227" fontId="64" fillId="44" borderId="0" applyBorder="0">
      <alignment horizontal="right"/>
    </xf>
    <xf numFmtId="0" fontId="189" fillId="73" borderId="0" applyBorder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7">
    <xf numFmtId="0" fontId="0" fillId="0" borderId="0" xfId="0"/>
    <xf numFmtId="10" fontId="0" fillId="0" borderId="0" xfId="42" applyNumberFormat="1" applyFont="1" applyAlignment="1">
      <alignment horizontal="center"/>
    </xf>
    <xf numFmtId="3" fontId="0" fillId="0" borderId="0" xfId="0" applyNumberFormat="1"/>
    <xf numFmtId="0" fontId="24" fillId="0" borderId="0" xfId="21" applyFont="1">
      <alignment readingOrder="1"/>
    </xf>
    <xf numFmtId="0" fontId="19" fillId="0" borderId="0" xfId="21">
      <alignment readingOrder="1"/>
    </xf>
    <xf numFmtId="0" fontId="19" fillId="0" borderId="0" xfId="21" applyFont="1">
      <alignment readingOrder="1"/>
    </xf>
    <xf numFmtId="0" fontId="26" fillId="0" borderId="0" xfId="21" applyFont="1">
      <alignment readingOrder="1"/>
    </xf>
    <xf numFmtId="0" fontId="25" fillId="0" borderId="0" xfId="21" applyFont="1">
      <alignment readingOrder="1"/>
    </xf>
    <xf numFmtId="0" fontId="25" fillId="0" borderId="0" xfId="21" quotePrefix="1" applyFont="1">
      <alignment readingOrder="1"/>
    </xf>
    <xf numFmtId="0" fontId="19" fillId="0" borderId="0" xfId="21" applyBorder="1">
      <alignment readingOrder="1"/>
    </xf>
    <xf numFmtId="0" fontId="25" fillId="0" borderId="0" xfId="21" applyFont="1" applyBorder="1">
      <alignment readingOrder="1"/>
    </xf>
    <xf numFmtId="0" fontId="19" fillId="0" borderId="0" xfId="21" applyFont="1" applyBorder="1">
      <alignment readingOrder="1"/>
    </xf>
    <xf numFmtId="0" fontId="19" fillId="0" borderId="0" xfId="0" applyFont="1"/>
    <xf numFmtId="0" fontId="20" fillId="0" borderId="0" xfId="40" applyFont="1"/>
    <xf numFmtId="3" fontId="20" fillId="0" borderId="0" xfId="40" applyNumberFormat="1" applyFont="1" applyFill="1" applyBorder="1"/>
    <xf numFmtId="0" fontId="19" fillId="0" borderId="0" xfId="23"/>
    <xf numFmtId="0" fontId="20" fillId="0" borderId="0" xfId="40" applyFont="1" applyBorder="1"/>
    <xf numFmtId="0" fontId="20" fillId="0" borderId="0" xfId="40" applyNumberFormat="1" applyFont="1" applyAlignment="1">
      <alignment horizontal="center"/>
    </xf>
    <xf numFmtId="0" fontId="19" fillId="0" borderId="0" xfId="23" applyFill="1"/>
    <xf numFmtId="37" fontId="20" fillId="0" borderId="0" xfId="40" applyNumberFormat="1" applyFont="1" applyAlignment="1">
      <alignment horizontal="center"/>
    </xf>
    <xf numFmtId="5" fontId="20" fillId="0" borderId="0" xfId="40" applyNumberFormat="1" applyFont="1"/>
    <xf numFmtId="1" fontId="20" fillId="0" borderId="0" xfId="38" applyNumberFormat="1" applyFont="1" applyAlignment="1">
      <alignment horizontal="center"/>
    </xf>
    <xf numFmtId="37" fontId="20" fillId="0" borderId="0" xfId="40" applyNumberFormat="1" applyFont="1"/>
    <xf numFmtId="37" fontId="20" fillId="0" borderId="0" xfId="40" applyNumberFormat="1" applyFont="1" applyFill="1"/>
    <xf numFmtId="3" fontId="20" fillId="0" borderId="0" xfId="38" applyNumberFormat="1" applyFont="1" applyAlignment="1">
      <alignment horizontal="center"/>
    </xf>
    <xf numFmtId="0" fontId="21" fillId="0" borderId="0" xfId="40" applyFont="1" applyAlignment="1">
      <alignment horizontal="center"/>
    </xf>
    <xf numFmtId="3" fontId="21" fillId="0" borderId="0" xfId="40" applyNumberFormat="1" applyFont="1" applyFill="1" applyBorder="1" applyAlignment="1">
      <alignment horizontal="center"/>
    </xf>
    <xf numFmtId="0" fontId="21" fillId="0" borderId="0" xfId="40" applyFont="1" applyBorder="1" applyAlignment="1">
      <alignment horizontal="center"/>
    </xf>
    <xf numFmtId="0" fontId="21" fillId="0" borderId="0" xfId="40" applyNumberFormat="1" applyFont="1" applyAlignment="1">
      <alignment horizontal="center"/>
    </xf>
    <xf numFmtId="0" fontId="21" fillId="0" borderId="1" xfId="40" applyFont="1" applyBorder="1" applyAlignment="1">
      <alignment horizontal="center"/>
    </xf>
    <xf numFmtId="0" fontId="21" fillId="0" borderId="5" xfId="40" applyFont="1" applyBorder="1" applyAlignment="1">
      <alignment horizontal="center"/>
    </xf>
    <xf numFmtId="0" fontId="21" fillId="0" borderId="4" xfId="40" applyNumberFormat="1" applyFont="1" applyBorder="1" applyAlignment="1">
      <alignment horizontal="center"/>
    </xf>
    <xf numFmtId="0" fontId="21" fillId="0" borderId="7" xfId="40" applyFont="1" applyBorder="1" applyAlignment="1">
      <alignment horizontal="center"/>
    </xf>
    <xf numFmtId="0" fontId="21" fillId="0" borderId="6" xfId="40" applyNumberFormat="1" applyFont="1" applyBorder="1" applyAlignment="1">
      <alignment horizontal="center"/>
    </xf>
    <xf numFmtId="170" fontId="21" fillId="0" borderId="0" xfId="39" applyNumberFormat="1" applyFont="1" applyFill="1" applyBorder="1" applyAlignment="1">
      <alignment horizontal="center"/>
    </xf>
    <xf numFmtId="0" fontId="21" fillId="0" borderId="9" xfId="40" applyFont="1" applyBorder="1" applyAlignment="1">
      <alignment horizontal="center"/>
    </xf>
    <xf numFmtId="0" fontId="21" fillId="0" borderId="10" xfId="40" applyFont="1" applyBorder="1" applyAlignment="1">
      <alignment horizontal="center"/>
    </xf>
    <xf numFmtId="0" fontId="21" fillId="0" borderId="8" xfId="40" applyNumberFormat="1" applyFont="1" applyBorder="1" applyAlignment="1">
      <alignment horizontal="center"/>
    </xf>
    <xf numFmtId="0" fontId="19" fillId="0" borderId="0" xfId="23" applyFont="1" applyFill="1"/>
    <xf numFmtId="0" fontId="20" fillId="0" borderId="0" xfId="40" applyNumberFormat="1" applyFont="1" applyAlignment="1">
      <alignment horizontal="left"/>
    </xf>
    <xf numFmtId="3" fontId="20" fillId="0" borderId="0" xfId="0" applyNumberFormat="1" applyFont="1" applyFill="1"/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/>
    </xf>
    <xf numFmtId="10" fontId="20" fillId="0" borderId="0" xfId="42" applyNumberFormat="1" applyFont="1" applyFill="1" applyBorder="1"/>
    <xf numFmtId="37" fontId="20" fillId="0" borderId="0" xfId="0" applyNumberFormat="1" applyFont="1" applyFill="1" applyBorder="1"/>
    <xf numFmtId="10" fontId="20" fillId="0" borderId="0" xfId="42" applyNumberFormat="1" applyFont="1" applyFill="1"/>
    <xf numFmtId="0" fontId="26" fillId="0" borderId="0" xfId="0" applyFont="1"/>
    <xf numFmtId="0" fontId="38" fillId="0" borderId="0" xfId="23" applyFont="1" applyFill="1"/>
    <xf numFmtId="0" fontId="20" fillId="0" borderId="0" xfId="23" applyFont="1" applyFill="1" applyBorder="1"/>
    <xf numFmtId="172" fontId="20" fillId="0" borderId="0" xfId="23" applyNumberFormat="1" applyFont="1" applyFill="1" applyAlignment="1">
      <alignment horizontal="center"/>
    </xf>
    <xf numFmtId="3" fontId="20" fillId="0" borderId="0" xfId="23" applyNumberFormat="1" applyFont="1" applyFill="1"/>
    <xf numFmtId="0" fontId="20" fillId="0" borderId="0" xfId="23" applyFont="1" applyFill="1"/>
    <xf numFmtId="3" fontId="38" fillId="0" borderId="0" xfId="23" applyNumberFormat="1" applyFont="1" applyFill="1"/>
    <xf numFmtId="168" fontId="20" fillId="0" borderId="0" xfId="23" applyNumberFormat="1" applyFont="1" applyFill="1"/>
    <xf numFmtId="3" fontId="20" fillId="0" borderId="0" xfId="0" applyNumberFormat="1" applyFont="1" applyFill="1" applyAlignment="1">
      <alignment horizontal="center"/>
    </xf>
    <xf numFmtId="0" fontId="19" fillId="0" borderId="0" xfId="23" applyAlignment="1">
      <alignment horizontal="centerContinuous"/>
    </xf>
    <xf numFmtId="0" fontId="22" fillId="0" borderId="0" xfId="23" applyFont="1" applyAlignment="1">
      <alignment horizontal="centerContinuous"/>
    </xf>
    <xf numFmtId="0" fontId="19" fillId="0" borderId="0" xfId="23" applyAlignment="1">
      <alignment horizontal="center"/>
    </xf>
    <xf numFmtId="0" fontId="22" fillId="0" borderId="0" xfId="23" applyFont="1" applyAlignment="1">
      <alignment horizontal="center"/>
    </xf>
    <xf numFmtId="164" fontId="19" fillId="0" borderId="0" xfId="23" applyNumberFormat="1"/>
    <xf numFmtId="3" fontId="19" fillId="0" borderId="0" xfId="23" applyNumberFormat="1"/>
    <xf numFmtId="3" fontId="19" fillId="0" borderId="1" xfId="23" applyNumberFormat="1" applyBorder="1"/>
    <xf numFmtId="3" fontId="19" fillId="0" borderId="0" xfId="23" applyNumberFormat="1" applyBorder="1"/>
    <xf numFmtId="3" fontId="19" fillId="0" borderId="2" xfId="23" applyNumberFormat="1" applyBorder="1"/>
    <xf numFmtId="9" fontId="19" fillId="0" borderId="0" xfId="23" applyNumberFormat="1"/>
    <xf numFmtId="164" fontId="19" fillId="0" borderId="0" xfId="23" applyNumberFormat="1" applyBorder="1"/>
    <xf numFmtId="0" fontId="69" fillId="0" borderId="0" xfId="34"/>
    <xf numFmtId="0" fontId="43" fillId="0" borderId="0" xfId="34" applyFont="1"/>
    <xf numFmtId="0" fontId="43" fillId="0" borderId="0" xfId="34" applyFont="1" applyFill="1"/>
    <xf numFmtId="0" fontId="69" fillId="0" borderId="0" xfId="34" applyFill="1"/>
    <xf numFmtId="9" fontId="20" fillId="0" borderId="0" xfId="42" applyFont="1"/>
    <xf numFmtId="10" fontId="20" fillId="0" borderId="0" xfId="42" applyNumberFormat="1" applyFont="1" applyFill="1" applyBorder="1" applyAlignment="1">
      <alignment horizontal="center"/>
    </xf>
    <xf numFmtId="0" fontId="19" fillId="0" borderId="0" xfId="23" applyBorder="1"/>
    <xf numFmtId="0" fontId="22" fillId="0" borderId="0" xfId="23" applyFont="1" applyBorder="1" applyAlignment="1">
      <alignment horizontal="center"/>
    </xf>
    <xf numFmtId="10" fontId="0" fillId="0" borderId="0" xfId="42" applyNumberFormat="1" applyFont="1" applyBorder="1" applyAlignment="1">
      <alignment horizontal="center"/>
    </xf>
    <xf numFmtId="0" fontId="19" fillId="0" borderId="0" xfId="23" applyFont="1"/>
    <xf numFmtId="2" fontId="21" fillId="0" borderId="0" xfId="40" applyNumberFormat="1" applyFont="1" applyAlignment="1">
      <alignment horizontal="center"/>
    </xf>
    <xf numFmtId="2" fontId="20" fillId="0" borderId="0" xfId="40" applyNumberFormat="1" applyFont="1" applyAlignment="1">
      <alignment horizontal="left"/>
    </xf>
    <xf numFmtId="2" fontId="21" fillId="0" borderId="0" xfId="40" applyNumberFormat="1" applyFont="1" applyFill="1" applyBorder="1" applyAlignment="1">
      <alignment horizontal="center"/>
    </xf>
    <xf numFmtId="2" fontId="21" fillId="0" borderId="0" xfId="14" applyNumberFormat="1" applyFont="1" applyFill="1" applyBorder="1" applyAlignment="1" applyProtection="1">
      <alignment horizontal="center"/>
    </xf>
    <xf numFmtId="2" fontId="21" fillId="0" borderId="0" xfId="40" applyNumberFormat="1" applyFont="1" applyBorder="1" applyAlignment="1">
      <alignment horizontal="center"/>
    </xf>
    <xf numFmtId="37" fontId="20" fillId="0" borderId="0" xfId="40" applyNumberFormat="1" applyFont="1" applyFill="1" applyAlignment="1">
      <alignment horizontal="center"/>
    </xf>
    <xf numFmtId="3" fontId="20" fillId="0" borderId="0" xfId="38" applyNumberFormat="1" applyFont="1" applyFill="1" applyAlignment="1">
      <alignment horizontal="center"/>
    </xf>
    <xf numFmtId="0" fontId="20" fillId="0" borderId="0" xfId="40" applyNumberFormat="1" applyFont="1" applyBorder="1" applyAlignment="1">
      <alignment horizontal="center"/>
    </xf>
    <xf numFmtId="3" fontId="20" fillId="0" borderId="0" xfId="0" applyNumberFormat="1" applyFont="1" applyFill="1" applyAlignment="1">
      <alignment horizontal="left"/>
    </xf>
    <xf numFmtId="0" fontId="20" fillId="0" borderId="12" xfId="23" applyFont="1" applyFill="1" applyBorder="1"/>
    <xf numFmtId="0" fontId="38" fillId="0" borderId="0" xfId="23" applyFont="1" applyFill="1" applyBorder="1"/>
    <xf numFmtId="3" fontId="38" fillId="0" borderId="0" xfId="0" applyNumberFormat="1" applyFont="1" applyFill="1" applyBorder="1"/>
    <xf numFmtId="0" fontId="38" fillId="0" borderId="0" xfId="0" applyFont="1" applyFill="1" applyBorder="1" applyAlignment="1"/>
    <xf numFmtId="172" fontId="20" fillId="0" borderId="0" xfId="23" applyNumberFormat="1" applyFont="1" applyFill="1"/>
    <xf numFmtId="0" fontId="39" fillId="0" borderId="0" xfId="23" applyFont="1" applyFill="1" applyBorder="1"/>
    <xf numFmtId="165" fontId="38" fillId="0" borderId="0" xfId="23" applyNumberFormat="1" applyFont="1" applyFill="1" applyBorder="1"/>
    <xf numFmtId="172" fontId="20" fillId="0" borderId="0" xfId="23" applyNumberFormat="1" applyFont="1" applyFill="1" applyBorder="1"/>
    <xf numFmtId="0" fontId="37" fillId="0" borderId="0" xfId="23" applyFont="1" applyAlignment="1">
      <alignment horizontal="left"/>
    </xf>
    <xf numFmtId="0" fontId="45" fillId="0" borderId="0" xfId="23" applyFont="1"/>
    <xf numFmtId="0" fontId="37" fillId="0" borderId="0" xfId="23" applyFont="1"/>
    <xf numFmtId="0" fontId="37" fillId="0" borderId="0" xfId="23" applyFont="1" applyAlignment="1">
      <alignment horizontal="center"/>
    </xf>
    <xf numFmtId="0" fontId="37" fillId="0" borderId="1" xfId="23" applyFont="1" applyBorder="1" applyAlignment="1">
      <alignment horizontal="center"/>
    </xf>
    <xf numFmtId="0" fontId="46" fillId="0" borderId="0" xfId="23" applyFont="1" applyAlignment="1"/>
    <xf numFmtId="0" fontId="47" fillId="0" borderId="1" xfId="23" applyFont="1" applyBorder="1"/>
    <xf numFmtId="0" fontId="37" fillId="0" borderId="0" xfId="23" applyFont="1" applyAlignment="1"/>
    <xf numFmtId="0" fontId="37" fillId="0" borderId="1" xfId="23" applyFont="1" applyBorder="1"/>
    <xf numFmtId="0" fontId="37" fillId="0" borderId="0" xfId="23" applyFont="1" applyAlignment="1">
      <alignment horizontal="right"/>
    </xf>
    <xf numFmtId="37" fontId="37" fillId="0" borderId="0" xfId="23" applyNumberFormat="1" applyFont="1"/>
    <xf numFmtId="0" fontId="48" fillId="0" borderId="0" xfId="23" applyFont="1" applyAlignment="1">
      <alignment horizontal="left" indent="1"/>
    </xf>
    <xf numFmtId="37" fontId="37" fillId="0" borderId="1" xfId="23" applyNumberFormat="1" applyFont="1" applyBorder="1"/>
    <xf numFmtId="5" fontId="37" fillId="0" borderId="0" xfId="23" applyNumberFormat="1" applyFont="1"/>
    <xf numFmtId="0" fontId="37" fillId="0" borderId="0" xfId="1" applyNumberFormat="1" applyFont="1"/>
    <xf numFmtId="166" fontId="37" fillId="0" borderId="0" xfId="1" applyNumberFormat="1" applyFont="1"/>
    <xf numFmtId="37" fontId="37" fillId="0" borderId="9" xfId="23" applyNumberFormat="1" applyFont="1" applyBorder="1"/>
    <xf numFmtId="37" fontId="37" fillId="0" borderId="0" xfId="1" applyNumberFormat="1" applyFont="1"/>
    <xf numFmtId="3" fontId="37" fillId="0" borderId="0" xfId="23" applyNumberFormat="1" applyFont="1"/>
    <xf numFmtId="0" fontId="51" fillId="0" borderId="0" xfId="23" applyFont="1" applyAlignment="1">
      <alignment horizontal="left"/>
    </xf>
    <xf numFmtId="0" fontId="51" fillId="0" borderId="0" xfId="23" applyFont="1"/>
    <xf numFmtId="37" fontId="37" fillId="0" borderId="0" xfId="23" applyNumberFormat="1" applyFont="1" applyBorder="1"/>
    <xf numFmtId="166" fontId="37" fillId="0" borderId="0" xfId="1" applyNumberFormat="1" applyFont="1" applyAlignment="1">
      <alignment horizontal="left"/>
    </xf>
    <xf numFmtId="0" fontId="37" fillId="0" borderId="0" xfId="1" applyNumberFormat="1" applyFont="1" applyFill="1"/>
    <xf numFmtId="174" fontId="37" fillId="0" borderId="0" xfId="23" applyNumberFormat="1" applyFont="1"/>
    <xf numFmtId="177" fontId="37" fillId="0" borderId="0" xfId="23" applyNumberFormat="1" applyFont="1" applyAlignment="1">
      <alignment horizontal="center"/>
    </xf>
    <xf numFmtId="0" fontId="37" fillId="0" borderId="0" xfId="23" quotePrefix="1" applyFont="1"/>
    <xf numFmtId="178" fontId="37" fillId="0" borderId="0" xfId="23" applyNumberFormat="1" applyFont="1"/>
    <xf numFmtId="0" fontId="50" fillId="0" borderId="0" xfId="23" applyFont="1"/>
    <xf numFmtId="7" fontId="37" fillId="0" borderId="0" xfId="23" applyNumberFormat="1" applyFont="1"/>
    <xf numFmtId="179" fontId="37" fillId="0" borderId="0" xfId="23" applyNumberFormat="1" applyFont="1"/>
    <xf numFmtId="180" fontId="37" fillId="0" borderId="0" xfId="23" applyNumberFormat="1" applyFont="1"/>
    <xf numFmtId="10" fontId="50" fillId="0" borderId="0" xfId="23" applyNumberFormat="1" applyFont="1"/>
    <xf numFmtId="173" fontId="37" fillId="0" borderId="0" xfId="23" applyNumberFormat="1" applyFont="1"/>
    <xf numFmtId="0" fontId="37" fillId="0" borderId="0" xfId="23" applyFont="1" applyAlignment="1">
      <alignment horizontal="left" indent="1"/>
    </xf>
    <xf numFmtId="37" fontId="37" fillId="0" borderId="0" xfId="23" applyNumberFormat="1" applyFont="1" applyFill="1"/>
    <xf numFmtId="37" fontId="50" fillId="0" borderId="0" xfId="23" applyNumberFormat="1" applyFont="1" applyFill="1"/>
    <xf numFmtId="37" fontId="46" fillId="0" borderId="1" xfId="23" applyNumberFormat="1" applyFont="1" applyBorder="1"/>
    <xf numFmtId="0" fontId="37" fillId="0" borderId="2" xfId="23" applyFont="1" applyBorder="1"/>
    <xf numFmtId="0" fontId="37" fillId="0" borderId="0" xfId="23" applyFont="1" applyFill="1" applyAlignment="1">
      <alignment horizontal="left"/>
    </xf>
    <xf numFmtId="37" fontId="37" fillId="0" borderId="0" xfId="23" applyNumberFormat="1" applyFont="1" applyAlignment="1">
      <alignment horizontal="left" indent="1"/>
    </xf>
    <xf numFmtId="180" fontId="37" fillId="0" borderId="0" xfId="23" applyNumberFormat="1" applyFont="1" applyAlignment="1">
      <alignment horizontal="left" indent="1"/>
    </xf>
    <xf numFmtId="180" fontId="37" fillId="0" borderId="0" xfId="23" applyNumberFormat="1" applyFont="1" applyFill="1"/>
    <xf numFmtId="5" fontId="37" fillId="0" borderId="0" xfId="23" applyNumberFormat="1" applyFont="1" applyAlignment="1">
      <alignment horizontal="left" indent="1"/>
    </xf>
    <xf numFmtId="5" fontId="37" fillId="0" borderId="9" xfId="23" applyNumberFormat="1" applyFont="1" applyBorder="1"/>
    <xf numFmtId="37" fontId="50" fillId="0" borderId="0" xfId="1" applyNumberFormat="1" applyFont="1"/>
    <xf numFmtId="5" fontId="37" fillId="0" borderId="9" xfId="23" applyNumberFormat="1" applyFont="1" applyFill="1" applyBorder="1"/>
    <xf numFmtId="5" fontId="37" fillId="0" borderId="0" xfId="23" applyNumberFormat="1" applyFont="1" applyFill="1"/>
    <xf numFmtId="3" fontId="37" fillId="0" borderId="0" xfId="23" applyNumberFormat="1" applyFont="1" applyAlignment="1">
      <alignment horizontal="left" indent="1"/>
    </xf>
    <xf numFmtId="5" fontId="49" fillId="0" borderId="0" xfId="23" applyNumberFormat="1" applyFont="1"/>
    <xf numFmtId="181" fontId="37" fillId="0" borderId="0" xfId="23" applyNumberFormat="1" applyFont="1"/>
    <xf numFmtId="5" fontId="37" fillId="0" borderId="0" xfId="23" applyNumberFormat="1" applyFont="1" applyBorder="1"/>
    <xf numFmtId="5" fontId="46" fillId="0" borderId="9" xfId="23" applyNumberFormat="1" applyFont="1" applyBorder="1"/>
    <xf numFmtId="5" fontId="51" fillId="0" borderId="0" xfId="23" applyNumberFormat="1" applyFont="1"/>
    <xf numFmtId="10" fontId="51" fillId="0" borderId="0" xfId="23" applyNumberFormat="1" applyFont="1"/>
    <xf numFmtId="0" fontId="52" fillId="0" borderId="0" xfId="23" applyFont="1" applyAlignment="1"/>
    <xf numFmtId="10" fontId="37" fillId="0" borderId="0" xfId="23" applyNumberFormat="1" applyFont="1"/>
    <xf numFmtId="7" fontId="19" fillId="0" borderId="0" xfId="23" applyNumberFormat="1"/>
    <xf numFmtId="0" fontId="46" fillId="0" borderId="0" xfId="23" applyFont="1"/>
    <xf numFmtId="0" fontId="37" fillId="0" borderId="9" xfId="23" applyFont="1" applyBorder="1"/>
    <xf numFmtId="0" fontId="37" fillId="0" borderId="0" xfId="23" applyFont="1" applyFill="1"/>
    <xf numFmtId="3" fontId="39" fillId="0" borderId="13" xfId="0" applyNumberFormat="1" applyFont="1" applyFill="1" applyBorder="1"/>
    <xf numFmtId="166" fontId="20" fillId="0" borderId="0" xfId="1" applyNumberFormat="1" applyFont="1" applyFill="1" applyBorder="1" applyAlignment="1">
      <alignment horizontal="center"/>
    </xf>
    <xf numFmtId="0" fontId="72" fillId="0" borderId="0" xfId="36"/>
    <xf numFmtId="0" fontId="72" fillId="0" borderId="1" xfId="36" applyBorder="1" applyAlignment="1">
      <alignment horizontal="centerContinuous"/>
    </xf>
    <xf numFmtId="0" fontId="72" fillId="0" borderId="0" xfId="36" applyAlignment="1">
      <alignment horizontal="center"/>
    </xf>
    <xf numFmtId="0" fontId="54" fillId="0" borderId="0" xfId="36" applyFont="1" applyAlignment="1">
      <alignment horizontal="center"/>
    </xf>
    <xf numFmtId="0" fontId="54" fillId="0" borderId="0" xfId="36" applyFont="1"/>
    <xf numFmtId="171" fontId="72" fillId="0" borderId="0" xfId="36" applyNumberFormat="1"/>
    <xf numFmtId="3" fontId="72" fillId="0" borderId="0" xfId="36" applyNumberFormat="1"/>
    <xf numFmtId="3" fontId="72" fillId="0" borderId="1" xfId="36" applyNumberFormat="1" applyBorder="1"/>
    <xf numFmtId="3" fontId="72" fillId="0" borderId="2" xfId="36" applyNumberFormat="1" applyBorder="1"/>
    <xf numFmtId="0" fontId="72" fillId="0" borderId="1" xfId="36" applyBorder="1" applyAlignment="1">
      <alignment horizontal="center"/>
    </xf>
    <xf numFmtId="3" fontId="20" fillId="0" borderId="0" xfId="23" applyNumberFormat="1" applyFont="1" applyFill="1" applyBorder="1"/>
    <xf numFmtId="0" fontId="72" fillId="0" borderId="0" xfId="36" applyBorder="1" applyAlignment="1">
      <alignment horizontal="center"/>
    </xf>
    <xf numFmtId="166" fontId="21" fillId="0" borderId="0" xfId="1" applyNumberFormat="1" applyFont="1" applyFill="1" applyBorder="1" applyAlignment="1">
      <alignment horizontal="center"/>
    </xf>
    <xf numFmtId="37" fontId="49" fillId="0" borderId="0" xfId="23" applyNumberFormat="1" applyFont="1"/>
    <xf numFmtId="37" fontId="50" fillId="0" borderId="0" xfId="23" applyNumberFormat="1" applyFont="1"/>
    <xf numFmtId="37" fontId="37" fillId="0" borderId="0" xfId="1" applyNumberFormat="1" applyFont="1" applyAlignment="1"/>
    <xf numFmtId="0" fontId="56" fillId="4" borderId="0" xfId="34" applyFont="1" applyFill="1"/>
    <xf numFmtId="0" fontId="69" fillId="4" borderId="0" xfId="34" applyFill="1"/>
    <xf numFmtId="10" fontId="69" fillId="4" borderId="0" xfId="34" applyNumberFormat="1" applyFill="1"/>
    <xf numFmtId="165" fontId="57" fillId="4" borderId="0" xfId="42" applyNumberFormat="1" applyFont="1" applyFill="1" applyAlignment="1">
      <alignment horizontal="center"/>
    </xf>
    <xf numFmtId="10" fontId="69" fillId="4" borderId="0" xfId="34" applyNumberFormat="1" applyFill="1" applyAlignment="1">
      <alignment horizontal="center"/>
    </xf>
    <xf numFmtId="10" fontId="57" fillId="4" borderId="0" xfId="42" applyNumberFormat="1" applyFont="1" applyFill="1"/>
    <xf numFmtId="0" fontId="69" fillId="4" borderId="0" xfId="34" applyFill="1" applyAlignment="1">
      <alignment horizontal="center"/>
    </xf>
    <xf numFmtId="10" fontId="57" fillId="4" borderId="0" xfId="42" applyNumberFormat="1" applyFont="1" applyFill="1" applyAlignment="1">
      <alignment horizontal="center"/>
    </xf>
    <xf numFmtId="0" fontId="16" fillId="4" borderId="1" xfId="34" applyFont="1" applyFill="1" applyBorder="1"/>
    <xf numFmtId="0" fontId="16" fillId="4" borderId="1" xfId="34" applyFont="1" applyFill="1" applyBorder="1" applyAlignment="1">
      <alignment horizontal="center"/>
    </xf>
    <xf numFmtId="165" fontId="69" fillId="0" borderId="0" xfId="34" applyNumberFormat="1"/>
    <xf numFmtId="10" fontId="56" fillId="4" borderId="0" xfId="42" applyNumberFormat="1" applyFont="1" applyFill="1"/>
    <xf numFmtId="166" fontId="20" fillId="0" borderId="0" xfId="1" applyNumberFormat="1" applyFont="1" applyFill="1"/>
    <xf numFmtId="0" fontId="69" fillId="0" borderId="0" xfId="19"/>
    <xf numFmtId="0" fontId="15" fillId="0" borderId="0" xfId="34" applyFont="1"/>
    <xf numFmtId="166" fontId="58" fillId="0" borderId="0" xfId="1" applyNumberFormat="1" applyFont="1"/>
    <xf numFmtId="0" fontId="69" fillId="0" borderId="0" xfId="34" applyAlignment="1">
      <alignment horizontal="center"/>
    </xf>
    <xf numFmtId="10" fontId="58" fillId="0" borderId="0" xfId="42" applyNumberFormat="1" applyFont="1"/>
    <xf numFmtId="10" fontId="69" fillId="0" borderId="0" xfId="34" applyNumberFormat="1"/>
    <xf numFmtId="3" fontId="38" fillId="0" borderId="0" xfId="23" applyNumberFormat="1" applyFont="1" applyFill="1" applyBorder="1" applyAlignment="1">
      <alignment horizontal="center"/>
    </xf>
    <xf numFmtId="0" fontId="21" fillId="0" borderId="0" xfId="1" applyNumberFormat="1" applyFont="1" applyFill="1" applyBorder="1" applyAlignment="1">
      <alignment horizontal="center"/>
    </xf>
    <xf numFmtId="164" fontId="20" fillId="0" borderId="0" xfId="0" applyNumberFormat="1" applyFont="1" applyFill="1"/>
    <xf numFmtId="37" fontId="20" fillId="0" borderId="0" xfId="0" applyNumberFormat="1" applyFont="1" applyFill="1" applyBorder="1" applyProtection="1">
      <protection locked="0"/>
    </xf>
    <xf numFmtId="5" fontId="20" fillId="0" borderId="0" xfId="0" applyNumberFormat="1" applyFont="1" applyFill="1" applyBorder="1" applyProtection="1">
      <protection locked="0"/>
    </xf>
    <xf numFmtId="37" fontId="20" fillId="0" borderId="0" xfId="0" applyNumberFormat="1" applyFont="1" applyFill="1" applyBorder="1" applyAlignment="1" applyProtection="1">
      <alignment horizontal="center"/>
      <protection locked="0"/>
    </xf>
    <xf numFmtId="172" fontId="38" fillId="0" borderId="0" xfId="23" applyNumberFormat="1" applyFont="1" applyFill="1" applyAlignment="1">
      <alignment horizontal="center"/>
    </xf>
    <xf numFmtId="3" fontId="34" fillId="0" borderId="0" xfId="23" applyNumberFormat="1" applyFont="1" applyFill="1" applyAlignment="1">
      <alignment horizontal="center"/>
    </xf>
    <xf numFmtId="0" fontId="34" fillId="0" borderId="0" xfId="23" applyFont="1" applyFill="1" applyAlignment="1">
      <alignment horizontal="center"/>
    </xf>
    <xf numFmtId="3" fontId="34" fillId="0" borderId="0" xfId="23" applyNumberFormat="1" applyFont="1" applyFill="1" applyBorder="1"/>
    <xf numFmtId="3" fontId="34" fillId="0" borderId="0" xfId="23" applyNumberFormat="1" applyFont="1" applyFill="1" applyAlignment="1">
      <alignment wrapText="1"/>
    </xf>
    <xf numFmtId="172" fontId="34" fillId="0" borderId="0" xfId="23" applyNumberFormat="1" applyFont="1" applyFill="1" applyAlignment="1">
      <alignment horizontal="center"/>
    </xf>
    <xf numFmtId="0" fontId="34" fillId="0" borderId="0" xfId="23" applyFont="1" applyFill="1"/>
    <xf numFmtId="3" fontId="34" fillId="0" borderId="0" xfId="23" applyNumberFormat="1" applyFont="1" applyFill="1"/>
    <xf numFmtId="0" fontId="34" fillId="0" borderId="12" xfId="23" applyFont="1" applyFill="1" applyBorder="1"/>
    <xf numFmtId="3" fontId="34" fillId="0" borderId="14" xfId="0" applyNumberFormat="1" applyFont="1" applyFill="1" applyBorder="1"/>
    <xf numFmtId="3" fontId="34" fillId="0" borderId="0" xfId="0" applyNumberFormat="1" applyFont="1" applyFill="1" applyBorder="1"/>
    <xf numFmtId="0" fontId="72" fillId="0" borderId="0" xfId="36" applyFill="1"/>
    <xf numFmtId="166" fontId="62" fillId="0" borderId="0" xfId="1" applyNumberFormat="1" applyFont="1" applyFill="1"/>
    <xf numFmtId="0" fontId="39" fillId="0" borderId="15" xfId="19" applyFont="1" applyFill="1" applyBorder="1" applyAlignment="1">
      <alignment horizontal="left"/>
    </xf>
    <xf numFmtId="0" fontId="39" fillId="0" borderId="16" xfId="19" applyFont="1" applyFill="1" applyBorder="1" applyAlignment="1">
      <alignment horizontal="center"/>
    </xf>
    <xf numFmtId="0" fontId="39" fillId="0" borderId="17" xfId="19" applyFont="1" applyFill="1" applyBorder="1" applyAlignment="1">
      <alignment horizontal="center"/>
    </xf>
    <xf numFmtId="37" fontId="38" fillId="0" borderId="14" xfId="40" applyNumberFormat="1" applyFont="1" applyFill="1" applyBorder="1"/>
    <xf numFmtId="37" fontId="38" fillId="0" borderId="0" xfId="40" applyNumberFormat="1" applyFont="1" applyFill="1" applyBorder="1"/>
    <xf numFmtId="0" fontId="39" fillId="0" borderId="0" xfId="19" applyFont="1" applyFill="1" applyBorder="1" applyAlignment="1">
      <alignment horizontal="center"/>
    </xf>
    <xf numFmtId="37" fontId="42" fillId="0" borderId="0" xfId="40" applyNumberFormat="1" applyFont="1" applyFill="1" applyBorder="1"/>
    <xf numFmtId="37" fontId="38" fillId="0" borderId="18" xfId="40" applyNumberFormat="1" applyFont="1" applyFill="1" applyBorder="1"/>
    <xf numFmtId="0" fontId="38" fillId="0" borderId="0" xfId="19" applyFont="1" applyFill="1" applyBorder="1"/>
    <xf numFmtId="0" fontId="39" fillId="0" borderId="1" xfId="19" applyFont="1" applyFill="1" applyBorder="1" applyAlignment="1">
      <alignment horizontal="center"/>
    </xf>
    <xf numFmtId="0" fontId="38" fillId="0" borderId="18" xfId="19" applyFont="1" applyFill="1" applyBorder="1"/>
    <xf numFmtId="5" fontId="38" fillId="0" borderId="0" xfId="19" applyNumberFormat="1" applyFont="1" applyFill="1" applyBorder="1"/>
    <xf numFmtId="10" fontId="38" fillId="0" borderId="0" xfId="49" applyNumberFormat="1" applyFont="1" applyFill="1" applyBorder="1"/>
    <xf numFmtId="10" fontId="42" fillId="0" borderId="0" xfId="49" applyNumberFormat="1" applyFont="1" applyFill="1" applyBorder="1"/>
    <xf numFmtId="166" fontId="38" fillId="0" borderId="0" xfId="9" applyNumberFormat="1" applyFont="1" applyFill="1" applyBorder="1"/>
    <xf numFmtId="10" fontId="39" fillId="0" borderId="18" xfId="49" applyNumberFormat="1" applyFont="1" applyFill="1" applyBorder="1" applyAlignment="1">
      <alignment horizontal="center"/>
    </xf>
    <xf numFmtId="169" fontId="38" fillId="0" borderId="0" xfId="49" applyNumberFormat="1" applyFont="1" applyFill="1" applyBorder="1"/>
    <xf numFmtId="169" fontId="42" fillId="0" borderId="0" xfId="49" applyNumberFormat="1" applyFont="1" applyFill="1" applyBorder="1"/>
    <xf numFmtId="10" fontId="38" fillId="0" borderId="11" xfId="49" applyNumberFormat="1" applyFont="1" applyFill="1" applyBorder="1"/>
    <xf numFmtId="37" fontId="38" fillId="0" borderId="19" xfId="40" applyNumberFormat="1" applyFont="1" applyFill="1" applyBorder="1"/>
    <xf numFmtId="0" fontId="38" fillId="0" borderId="13" xfId="19" applyFont="1" applyFill="1" applyBorder="1"/>
    <xf numFmtId="166" fontId="38" fillId="0" borderId="13" xfId="9" applyNumberFormat="1" applyFont="1" applyFill="1" applyBorder="1"/>
    <xf numFmtId="10" fontId="38" fillId="0" borderId="13" xfId="49" applyNumberFormat="1" applyFont="1" applyFill="1" applyBorder="1"/>
    <xf numFmtId="10" fontId="42" fillId="0" borderId="13" xfId="49" applyNumberFormat="1" applyFont="1" applyFill="1" applyBorder="1"/>
    <xf numFmtId="37" fontId="38" fillId="0" borderId="20" xfId="40" applyNumberFormat="1" applyFont="1" applyFill="1" applyBorder="1"/>
    <xf numFmtId="37" fontId="39" fillId="0" borderId="18" xfId="40" applyNumberFormat="1" applyFont="1" applyFill="1" applyBorder="1" applyAlignment="1">
      <alignment horizontal="center"/>
    </xf>
    <xf numFmtId="0" fontId="0" fillId="0" borderId="0" xfId="0" applyFill="1"/>
    <xf numFmtId="10" fontId="0" fillId="0" borderId="0" xfId="42" applyNumberFormat="1" applyFont="1" applyFill="1" applyAlignment="1">
      <alignment horizontal="center"/>
    </xf>
    <xf numFmtId="166" fontId="0" fillId="0" borderId="0" xfId="1" applyNumberFormat="1" applyFont="1" applyFill="1"/>
    <xf numFmtId="9" fontId="0" fillId="0" borderId="0" xfId="42" applyFont="1" applyFill="1"/>
    <xf numFmtId="0" fontId="20" fillId="5" borderId="0" xfId="23" applyFont="1" applyFill="1" applyBorder="1"/>
    <xf numFmtId="3" fontId="20" fillId="5" borderId="0" xfId="0" applyNumberFormat="1" applyFont="1" applyFill="1" applyBorder="1"/>
    <xf numFmtId="0" fontId="20" fillId="5" borderId="0" xfId="23" applyFont="1" applyFill="1"/>
    <xf numFmtId="3" fontId="20" fillId="5" borderId="0" xfId="23" applyNumberFormat="1" applyFont="1" applyFill="1"/>
    <xf numFmtId="166" fontId="20" fillId="5" borderId="0" xfId="1" applyNumberFormat="1" applyFont="1" applyFill="1"/>
    <xf numFmtId="172" fontId="20" fillId="5" borderId="0" xfId="23" applyNumberFormat="1" applyFont="1" applyFill="1" applyAlignment="1">
      <alignment horizontal="center"/>
    </xf>
    <xf numFmtId="0" fontId="61" fillId="0" borderId="0" xfId="0" applyFont="1" applyFill="1"/>
    <xf numFmtId="0" fontId="61" fillId="0" borderId="0" xfId="0" applyFont="1" applyFill="1" applyBorder="1"/>
    <xf numFmtId="168" fontId="34" fillId="0" borderId="0" xfId="10" applyNumberFormat="1" applyFont="1" applyFill="1" applyBorder="1"/>
    <xf numFmtId="168" fontId="34" fillId="0" borderId="0" xfId="10" applyNumberFormat="1" applyFont="1" applyFill="1" applyAlignment="1">
      <alignment horizontal="center"/>
    </xf>
    <xf numFmtId="175" fontId="34" fillId="0" borderId="0" xfId="1" applyNumberFormat="1" applyFont="1" applyFill="1" applyAlignment="1">
      <alignment horizontal="center"/>
    </xf>
    <xf numFmtId="10" fontId="34" fillId="0" borderId="0" xfId="42" applyNumberFormat="1" applyFont="1" applyFill="1" applyAlignment="1">
      <alignment horizontal="center"/>
    </xf>
    <xf numFmtId="168" fontId="34" fillId="0" borderId="0" xfId="10" applyNumberFormat="1" applyFont="1" applyFill="1"/>
    <xf numFmtId="168" fontId="34" fillId="0" borderId="1" xfId="10" applyNumberFormat="1" applyFont="1" applyFill="1" applyBorder="1"/>
    <xf numFmtId="168" fontId="34" fillId="0" borderId="1" xfId="10" applyNumberFormat="1" applyFont="1" applyFill="1" applyBorder="1" applyAlignment="1">
      <alignment horizontal="center"/>
    </xf>
    <xf numFmtId="175" fontId="34" fillId="0" borderId="1" xfId="1" applyNumberFormat="1" applyFont="1" applyFill="1" applyBorder="1" applyAlignment="1">
      <alignment horizontal="center"/>
    </xf>
    <xf numFmtId="10" fontId="34" fillId="0" borderId="1" xfId="42" applyNumberFormat="1" applyFont="1" applyFill="1" applyBorder="1" applyAlignment="1">
      <alignment horizontal="center"/>
    </xf>
    <xf numFmtId="166" fontId="34" fillId="0" borderId="0" xfId="1" applyNumberFormat="1" applyFont="1" applyFill="1" applyAlignment="1">
      <alignment horizontal="center"/>
    </xf>
    <xf numFmtId="165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 applyAlignment="1">
      <alignment horizontal="center"/>
    </xf>
    <xf numFmtId="166" fontId="34" fillId="0" borderId="0" xfId="1" applyNumberFormat="1" applyFont="1" applyFill="1" applyBorder="1"/>
    <xf numFmtId="44" fontId="34" fillId="0" borderId="1" xfId="10" applyNumberFormat="1" applyFont="1" applyFill="1" applyBorder="1"/>
    <xf numFmtId="168" fontId="34" fillId="0" borderId="0" xfId="23" applyNumberFormat="1" applyFont="1" applyFill="1" applyBorder="1"/>
    <xf numFmtId="0" fontId="34" fillId="0" borderId="0" xfId="23" applyFont="1" applyFill="1" applyBorder="1"/>
    <xf numFmtId="168" fontId="34" fillId="0" borderId="0" xfId="42" applyNumberFormat="1" applyFont="1" applyFill="1"/>
    <xf numFmtId="166" fontId="34" fillId="0" borderId="0" xfId="1" applyNumberFormat="1" applyFont="1" applyFill="1"/>
    <xf numFmtId="168" fontId="34" fillId="0" borderId="0" xfId="11" applyNumberFormat="1" applyFont="1" applyFill="1"/>
    <xf numFmtId="168" fontId="34" fillId="0" borderId="0" xfId="11" applyNumberFormat="1" applyFont="1" applyFill="1" applyBorder="1"/>
    <xf numFmtId="9" fontId="34" fillId="0" borderId="0" xfId="42" applyFont="1" applyFill="1"/>
    <xf numFmtId="168" fontId="34" fillId="0" borderId="0" xfId="10" applyNumberFormat="1" applyFont="1" applyFill="1" applyBorder="1" applyAlignment="1">
      <alignment horizontal="center"/>
    </xf>
    <xf numFmtId="168" fontId="34" fillId="0" borderId="0" xfId="42" applyNumberFormat="1" applyFont="1" applyFill="1" applyBorder="1" applyAlignment="1">
      <alignment horizontal="center"/>
    </xf>
    <xf numFmtId="168" fontId="34" fillId="0" borderId="0" xfId="42" applyNumberFormat="1" applyFont="1" applyFill="1" applyAlignment="1">
      <alignment horizontal="center"/>
    </xf>
    <xf numFmtId="10" fontId="34" fillId="0" borderId="0" xfId="42" applyNumberFormat="1" applyFont="1" applyFill="1" applyBorder="1"/>
    <xf numFmtId="10" fontId="34" fillId="0" borderId="0" xfId="42" applyNumberFormat="1" applyFont="1" applyFill="1"/>
    <xf numFmtId="168" fontId="34" fillId="0" borderId="0" xfId="23" applyNumberFormat="1" applyFont="1" applyFill="1"/>
    <xf numFmtId="168" fontId="34" fillId="0" borderId="12" xfId="23" applyNumberFormat="1" applyFont="1" applyFill="1" applyBorder="1"/>
    <xf numFmtId="166" fontId="34" fillId="0" borderId="12" xfId="1" applyNumberFormat="1" applyFont="1" applyFill="1" applyBorder="1"/>
    <xf numFmtId="172" fontId="34" fillId="0" borderId="12" xfId="23" applyNumberFormat="1" applyFont="1" applyFill="1" applyBorder="1" applyAlignment="1">
      <alignment horizontal="center"/>
    </xf>
    <xf numFmtId="3" fontId="34" fillId="0" borderId="12" xfId="23" applyNumberFormat="1" applyFont="1" applyFill="1" applyBorder="1"/>
    <xf numFmtId="168" fontId="34" fillId="0" borderId="12" xfId="10" applyNumberFormat="1" applyFont="1" applyFill="1" applyBorder="1"/>
    <xf numFmtId="0" fontId="34" fillId="0" borderId="21" xfId="23" applyFont="1" applyFill="1" applyBorder="1"/>
    <xf numFmtId="172" fontId="34" fillId="0" borderId="0" xfId="23" applyNumberFormat="1" applyFont="1" applyFill="1" applyBorder="1" applyAlignment="1">
      <alignment horizontal="center"/>
    </xf>
    <xf numFmtId="3" fontId="34" fillId="0" borderId="0" xfId="42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168" fontId="44" fillId="0" borderId="0" xfId="10" applyNumberFormat="1" applyFont="1" applyFill="1" applyBorder="1"/>
    <xf numFmtId="176" fontId="34" fillId="0" borderId="0" xfId="42" applyNumberFormat="1" applyFont="1" applyFill="1" applyBorder="1" applyAlignment="1">
      <alignment horizontal="center"/>
    </xf>
    <xf numFmtId="3" fontId="34" fillId="0" borderId="13" xfId="42" applyNumberFormat="1" applyFont="1" applyFill="1" applyBorder="1" applyAlignment="1">
      <alignment horizontal="center"/>
    </xf>
    <xf numFmtId="3" fontId="34" fillId="0" borderId="22" xfId="23" applyNumberFormat="1" applyFont="1" applyFill="1" applyBorder="1"/>
    <xf numFmtId="3" fontId="34" fillId="0" borderId="19" xfId="0" applyNumberFormat="1" applyFont="1" applyFill="1" applyBorder="1"/>
    <xf numFmtId="3" fontId="34" fillId="0" borderId="13" xfId="0" applyNumberFormat="1" applyFont="1" applyFill="1" applyBorder="1"/>
    <xf numFmtId="0" fontId="20" fillId="0" borderId="0" xfId="23" applyFont="1" applyFill="1" applyAlignment="1">
      <alignment horizontal="center" wrapText="1"/>
    </xf>
    <xf numFmtId="0" fontId="64" fillId="0" borderId="0" xfId="34" applyFont="1"/>
    <xf numFmtId="0" fontId="64" fillId="0" borderId="0" xfId="34" applyFont="1" applyFill="1" applyBorder="1" applyAlignment="1">
      <alignment horizontal="center"/>
    </xf>
    <xf numFmtId="0" fontId="64" fillId="0" borderId="0" xfId="34" applyFont="1" applyFill="1" applyAlignment="1">
      <alignment horizontal="center"/>
    </xf>
    <xf numFmtId="0" fontId="64" fillId="0" borderId="0" xfId="34" applyFont="1" applyFill="1"/>
    <xf numFmtId="0" fontId="64" fillId="0" borderId="0" xfId="34" applyFont="1" applyBorder="1"/>
    <xf numFmtId="0" fontId="64" fillId="0" borderId="0" xfId="34" applyFont="1" applyFill="1" applyBorder="1"/>
    <xf numFmtId="0" fontId="65" fillId="0" borderId="0" xfId="34" applyFont="1" applyFill="1"/>
    <xf numFmtId="0" fontId="64" fillId="0" borderId="1" xfId="34" applyFont="1" applyBorder="1"/>
    <xf numFmtId="0" fontId="64" fillId="0" borderId="1" xfId="34" applyFont="1" applyFill="1" applyBorder="1" applyAlignment="1">
      <alignment horizontal="center"/>
    </xf>
    <xf numFmtId="0" fontId="64" fillId="0" borderId="1" xfId="34" applyFont="1" applyFill="1" applyBorder="1"/>
    <xf numFmtId="0" fontId="38" fillId="0" borderId="0" xfId="31" applyFont="1" applyAlignment="1">
      <alignment horizontal="left"/>
    </xf>
    <xf numFmtId="0" fontId="38" fillId="0" borderId="0" xfId="31" applyFont="1" applyBorder="1" applyAlignment="1">
      <alignment horizontal="left"/>
    </xf>
    <xf numFmtId="166" fontId="38" fillId="0" borderId="0" xfId="6" applyNumberFormat="1" applyFont="1" applyFill="1"/>
    <xf numFmtId="10" fontId="66" fillId="0" borderId="0" xfId="42" applyNumberFormat="1" applyFont="1" applyFill="1" applyAlignment="1">
      <alignment horizontal="center"/>
    </xf>
    <xf numFmtId="10" fontId="64" fillId="0" borderId="0" xfId="42" applyNumberFormat="1" applyFont="1" applyFill="1" applyAlignment="1">
      <alignment horizontal="center"/>
    </xf>
    <xf numFmtId="10" fontId="64" fillId="0" borderId="0" xfId="42" applyNumberFormat="1" applyFont="1" applyFill="1" applyBorder="1" applyAlignment="1">
      <alignment horizontal="center"/>
    </xf>
    <xf numFmtId="0" fontId="38" fillId="0" borderId="1" xfId="31" applyFont="1" applyBorder="1" applyAlignment="1">
      <alignment horizontal="left"/>
    </xf>
    <xf numFmtId="166" fontId="38" fillId="0" borderId="1" xfId="6" applyNumberFormat="1" applyFont="1" applyFill="1" applyBorder="1"/>
    <xf numFmtId="10" fontId="64" fillId="0" borderId="1" xfId="42" applyNumberFormat="1" applyFont="1" applyFill="1" applyBorder="1" applyAlignment="1">
      <alignment horizontal="center"/>
    </xf>
    <xf numFmtId="43" fontId="64" fillId="0" borderId="0" xfId="1" applyFont="1" applyFill="1"/>
    <xf numFmtId="43" fontId="67" fillId="0" borderId="0" xfId="1" applyFont="1" applyFill="1"/>
    <xf numFmtId="10" fontId="64" fillId="0" borderId="0" xfId="42" applyNumberFormat="1" applyFont="1" applyFill="1"/>
    <xf numFmtId="0" fontId="38" fillId="0" borderId="3" xfId="31" applyFont="1" applyBorder="1" applyAlignment="1">
      <alignment horizontal="left"/>
    </xf>
    <xf numFmtId="43" fontId="67" fillId="0" borderId="3" xfId="1" applyFont="1" applyFill="1" applyBorder="1"/>
    <xf numFmtId="10" fontId="64" fillId="0" borderId="3" xfId="42" applyNumberFormat="1" applyFont="1" applyFill="1" applyBorder="1"/>
    <xf numFmtId="10" fontId="64" fillId="0" borderId="3" xfId="42" applyNumberFormat="1" applyFont="1" applyFill="1" applyBorder="1" applyAlignment="1">
      <alignment horizontal="center"/>
    </xf>
    <xf numFmtId="166" fontId="67" fillId="0" borderId="0" xfId="6" applyNumberFormat="1" applyFont="1" applyFill="1"/>
    <xf numFmtId="10" fontId="64" fillId="0" borderId="0" xfId="34" applyNumberFormat="1" applyFont="1" applyFill="1" applyAlignment="1">
      <alignment horizontal="center"/>
    </xf>
    <xf numFmtId="166" fontId="64" fillId="0" borderId="0" xfId="1" applyNumberFormat="1" applyFont="1" applyFill="1"/>
    <xf numFmtId="0" fontId="65" fillId="0" borderId="0" xfId="34" applyFont="1"/>
    <xf numFmtId="0" fontId="19" fillId="0" borderId="0" xfId="21" applyFill="1">
      <alignment readingOrder="1"/>
    </xf>
    <xf numFmtId="0" fontId="26" fillId="0" borderId="0" xfId="21" applyFont="1" applyFill="1">
      <alignment readingOrder="1"/>
    </xf>
    <xf numFmtId="3" fontId="19" fillId="0" borderId="0" xfId="21" applyNumberFormat="1" applyFill="1">
      <alignment readingOrder="1"/>
    </xf>
    <xf numFmtId="3" fontId="19" fillId="0" borderId="0" xfId="21" applyNumberFormat="1" applyFill="1" applyBorder="1">
      <alignment readingOrder="1"/>
    </xf>
    <xf numFmtId="167" fontId="19" fillId="0" borderId="0" xfId="21" applyNumberFormat="1" applyFill="1">
      <alignment readingOrder="1"/>
    </xf>
    <xf numFmtId="167" fontId="25" fillId="0" borderId="0" xfId="21" applyNumberFormat="1" applyFont="1" applyFill="1">
      <alignment readingOrder="1"/>
    </xf>
    <xf numFmtId="3" fontId="34" fillId="0" borderId="0" xfId="23" applyNumberFormat="1" applyFont="1" applyFill="1" applyBorder="1" applyAlignment="1">
      <alignment horizontal="center"/>
    </xf>
    <xf numFmtId="3" fontId="38" fillId="0" borderId="0" xfId="23" applyNumberFormat="1" applyFont="1" applyFill="1" applyBorder="1"/>
    <xf numFmtId="3" fontId="34" fillId="0" borderId="0" xfId="23" applyNumberFormat="1" applyFont="1" applyFill="1" applyBorder="1" applyAlignment="1">
      <alignment horizontal="center" wrapText="1"/>
    </xf>
    <xf numFmtId="0" fontId="34" fillId="0" borderId="0" xfId="23" applyFont="1" applyFill="1" applyBorder="1" applyAlignment="1">
      <alignment horizontal="center"/>
    </xf>
    <xf numFmtId="0" fontId="73" fillId="0" borderId="0" xfId="34" applyFont="1" applyAlignment="1">
      <alignment horizontal="center"/>
    </xf>
    <xf numFmtId="0" fontId="74" fillId="0" borderId="0" xfId="0" applyFont="1"/>
    <xf numFmtId="0" fontId="75" fillId="0" borderId="0" xfId="0" applyFont="1"/>
    <xf numFmtId="0" fontId="76" fillId="0" borderId="0" xfId="0" applyFont="1"/>
    <xf numFmtId="3" fontId="21" fillId="0" borderId="0" xfId="23" applyNumberFormat="1" applyFont="1" applyFill="1"/>
    <xf numFmtId="168" fontId="34" fillId="0" borderId="0" xfId="11" applyNumberFormat="1" applyFont="1" applyFill="1" applyAlignment="1">
      <alignment horizontal="center"/>
    </xf>
    <xf numFmtId="182" fontId="34" fillId="0" borderId="18" xfId="23" applyNumberFormat="1" applyFont="1" applyFill="1" applyBorder="1" applyAlignment="1">
      <alignment horizontal="center"/>
    </xf>
    <xf numFmtId="0" fontId="72" fillId="0" borderId="0" xfId="36" applyAlignment="1">
      <alignment horizontal="center"/>
    </xf>
    <xf numFmtId="0" fontId="19" fillId="0" borderId="0" xfId="23" applyFill="1" applyAlignment="1">
      <alignment horizontal="center"/>
    </xf>
    <xf numFmtId="164" fontId="19" fillId="0" borderId="0" xfId="23" applyNumberFormat="1" applyFill="1"/>
    <xf numFmtId="3" fontId="19" fillId="0" borderId="0" xfId="23" applyNumberFormat="1" applyFill="1"/>
    <xf numFmtId="3" fontId="19" fillId="0" borderId="1" xfId="23" applyNumberFormat="1" applyFill="1" applyBorder="1"/>
    <xf numFmtId="3" fontId="19" fillId="0" borderId="2" xfId="23" applyNumberFormat="1" applyFill="1" applyBorder="1"/>
    <xf numFmtId="3" fontId="20" fillId="0" borderId="0" xfId="0" applyNumberFormat="1" applyFont="1" applyFill="1" applyAlignment="1">
      <alignment horizontal="right"/>
    </xf>
    <xf numFmtId="37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166" fontId="19" fillId="0" borderId="0" xfId="1" applyNumberFormat="1" applyFont="1"/>
    <xf numFmtId="166" fontId="19" fillId="0" borderId="9" xfId="1" applyNumberFormat="1" applyFont="1" applyBorder="1"/>
    <xf numFmtId="0" fontId="19" fillId="0" borderId="0" xfId="0" applyFont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3" fontId="21" fillId="0" borderId="0" xfId="0" applyNumberFormat="1" applyFont="1" applyFill="1"/>
    <xf numFmtId="0" fontId="13" fillId="0" borderId="0" xfId="51"/>
    <xf numFmtId="0" fontId="13" fillId="0" borderId="0" xfId="51" applyBorder="1"/>
    <xf numFmtId="0" fontId="22" fillId="0" borderId="0" xfId="51" applyFont="1" applyAlignment="1">
      <alignment horizontal="center"/>
    </xf>
    <xf numFmtId="0" fontId="19" fillId="0" borderId="1" xfId="51" applyFont="1" applyFill="1" applyBorder="1" applyAlignment="1">
      <alignment horizontal="center"/>
    </xf>
    <xf numFmtId="0" fontId="13" fillId="0" borderId="1" xfId="51" applyFill="1" applyBorder="1" applyAlignment="1">
      <alignment horizontal="center"/>
    </xf>
    <xf numFmtId="10" fontId="0" fillId="0" borderId="0" xfId="52" applyNumberFormat="1" applyFont="1" applyAlignment="1">
      <alignment horizontal="center"/>
    </xf>
    <xf numFmtId="10" fontId="0" fillId="0" borderId="0" xfId="52" applyNumberFormat="1" applyFont="1" applyFill="1" applyAlignment="1">
      <alignment horizontal="center"/>
    </xf>
    <xf numFmtId="10" fontId="13" fillId="0" borderId="0" xfId="51" applyNumberFormat="1" applyFill="1"/>
    <xf numFmtId="164" fontId="13" fillId="0" borderId="0" xfId="51" applyNumberFormat="1"/>
    <xf numFmtId="164" fontId="13" fillId="0" borderId="0" xfId="51" applyNumberFormat="1" applyFill="1"/>
    <xf numFmtId="3" fontId="13" fillId="0" borderId="0" xfId="51" applyNumberFormat="1"/>
    <xf numFmtId="3" fontId="13" fillId="0" borderId="0" xfId="51" applyNumberFormat="1" applyFill="1"/>
    <xf numFmtId="3" fontId="13" fillId="0" borderId="0" xfId="51" applyNumberFormat="1" applyBorder="1"/>
    <xf numFmtId="3" fontId="13" fillId="0" borderId="1" xfId="51" applyNumberFormat="1" applyFill="1" applyBorder="1"/>
    <xf numFmtId="166" fontId="0" fillId="0" borderId="0" xfId="53" applyNumberFormat="1" applyFont="1"/>
    <xf numFmtId="166" fontId="0" fillId="0" borderId="0" xfId="53" applyNumberFormat="1" applyFont="1" applyFill="1"/>
    <xf numFmtId="166" fontId="13" fillId="0" borderId="0" xfId="51" applyNumberFormat="1"/>
    <xf numFmtId="0" fontId="13" fillId="0" borderId="0" xfId="51" applyAlignment="1">
      <alignment horizontal="center"/>
    </xf>
    <xf numFmtId="0" fontId="26" fillId="0" borderId="0" xfId="0" applyFont="1" applyFill="1">
      <alignment readingOrder="1"/>
    </xf>
    <xf numFmtId="0" fontId="25" fillId="0" borderId="0" xfId="0" applyFont="1" applyFill="1" applyAlignment="1">
      <alignment horizontal="left" indent="1" readingOrder="1"/>
    </xf>
    <xf numFmtId="0" fontId="25" fillId="0" borderId="0" xfId="0" applyFont="1" applyFill="1" applyBorder="1" applyAlignment="1">
      <alignment horizontal="left" indent="1" readingOrder="1"/>
    </xf>
    <xf numFmtId="0" fontId="0" fillId="0" borderId="0" xfId="0" applyFill="1">
      <alignment readingOrder="1"/>
    </xf>
    <xf numFmtId="3" fontId="80" fillId="0" borderId="0" xfId="54" applyNumberFormat="1" applyFont="1" applyFill="1"/>
    <xf numFmtId="0" fontId="19" fillId="0" borderId="0" xfId="21" applyFont="1" applyFill="1" applyAlignment="1">
      <alignment horizontal="center" readingOrder="1"/>
    </xf>
    <xf numFmtId="0" fontId="19" fillId="0" borderId="0" xfId="0" applyFont="1" applyAlignment="1">
      <alignment horizontal="center"/>
    </xf>
    <xf numFmtId="0" fontId="25" fillId="0" borderId="0" xfId="21" applyFont="1" applyFill="1">
      <alignment readingOrder="1"/>
    </xf>
    <xf numFmtId="10" fontId="69" fillId="0" borderId="0" xfId="42" applyNumberFormat="1" applyFont="1"/>
    <xf numFmtId="0" fontId="19" fillId="0" borderId="0" xfId="23"/>
    <xf numFmtId="0" fontId="77" fillId="0" borderId="0" xfId="41" applyNumberFormat="1" applyFont="1" applyFill="1" applyAlignment="1">
      <alignment horizontal="center"/>
    </xf>
    <xf numFmtId="3" fontId="78" fillId="0" borderId="0" xfId="41" applyNumberFormat="1" applyFont="1"/>
    <xf numFmtId="0" fontId="81" fillId="0" borderId="0" xfId="41" applyNumberFormat="1" applyFont="1" applyAlignment="1">
      <alignment horizontal="center"/>
    </xf>
    <xf numFmtId="0" fontId="39" fillId="0" borderId="1" xfId="0" applyFont="1" applyBorder="1"/>
    <xf numFmtId="0" fontId="77" fillId="0" borderId="1" xfId="41" applyFont="1" applyBorder="1"/>
    <xf numFmtId="3" fontId="78" fillId="0" borderId="1" xfId="41" applyNumberFormat="1" applyFont="1" applyBorder="1"/>
    <xf numFmtId="0" fontId="77" fillId="0" borderId="0" xfId="41" applyNumberFormat="1" applyFont="1" applyAlignment="1">
      <alignment horizontal="center"/>
    </xf>
    <xf numFmtId="0" fontId="78" fillId="0" borderId="0" xfId="41" applyFont="1" applyFill="1"/>
    <xf numFmtId="0" fontId="21" fillId="0" borderId="0" xfId="0" applyFont="1"/>
    <xf numFmtId="10" fontId="77" fillId="0" borderId="0" xfId="41" applyNumberFormat="1" applyFont="1"/>
    <xf numFmtId="0" fontId="77" fillId="0" borderId="0" xfId="41" applyFont="1"/>
    <xf numFmtId="3" fontId="78" fillId="0" borderId="0" xfId="41" applyNumberFormat="1" applyFont="1" applyBorder="1"/>
    <xf numFmtId="166" fontId="38" fillId="0" borderId="3" xfId="6" applyNumberFormat="1" applyFont="1" applyFill="1" applyBorder="1"/>
    <xf numFmtId="166" fontId="39" fillId="0" borderId="12" xfId="6" applyNumberFormat="1" applyFont="1" applyFill="1" applyBorder="1"/>
    <xf numFmtId="166" fontId="39" fillId="0" borderId="0" xfId="6" applyNumberFormat="1" applyFont="1" applyFill="1" applyBorder="1"/>
    <xf numFmtId="166" fontId="39" fillId="0" borderId="13" xfId="6" applyNumberFormat="1" applyFont="1" applyFill="1" applyBorder="1"/>
    <xf numFmtId="37" fontId="82" fillId="0" borderId="0" xfId="23" applyNumberFormat="1" applyFont="1" applyFill="1"/>
    <xf numFmtId="37" fontId="82" fillId="0" borderId="0" xfId="1" applyNumberFormat="1" applyFont="1" applyFill="1"/>
    <xf numFmtId="0" fontId="19" fillId="0" borderId="0" xfId="23"/>
    <xf numFmtId="3" fontId="21" fillId="0" borderId="0" xfId="40" quotePrefix="1" applyNumberFormat="1" applyFont="1" applyFill="1" applyBorder="1" applyAlignment="1">
      <alignment horizontal="center"/>
    </xf>
    <xf numFmtId="5" fontId="20" fillId="0" borderId="0" xfId="23" applyNumberFormat="1" applyFont="1" applyBorder="1" applyProtection="1">
      <protection locked="0"/>
    </xf>
    <xf numFmtId="37" fontId="20" fillId="0" borderId="0" xfId="23" applyNumberFormat="1" applyFont="1" applyBorder="1" applyProtection="1">
      <protection locked="0"/>
    </xf>
    <xf numFmtId="37" fontId="20" fillId="0" borderId="1" xfId="23" applyNumberFormat="1" applyFont="1" applyBorder="1" applyProtection="1">
      <protection locked="0"/>
    </xf>
    <xf numFmtId="37" fontId="20" fillId="0" borderId="0" xfId="23" applyNumberFormat="1" applyFont="1" applyBorder="1"/>
    <xf numFmtId="37" fontId="20" fillId="0" borderId="0" xfId="23" applyNumberFormat="1" applyFont="1" applyFill="1" applyBorder="1"/>
    <xf numFmtId="37" fontId="20" fillId="0" borderId="1" xfId="23" applyNumberFormat="1" applyFont="1" applyBorder="1"/>
    <xf numFmtId="37" fontId="20" fillId="0" borderId="0" xfId="23" applyNumberFormat="1" applyFont="1" applyFill="1" applyBorder="1" applyProtection="1">
      <protection locked="0"/>
    </xf>
    <xf numFmtId="164" fontId="20" fillId="0" borderId="0" xfId="23" applyNumberFormat="1" applyFont="1" applyFill="1"/>
    <xf numFmtId="5" fontId="20" fillId="0" borderId="11" xfId="23" applyNumberFormat="1" applyFont="1" applyBorder="1" applyProtection="1">
      <protection locked="0"/>
    </xf>
    <xf numFmtId="37" fontId="20" fillId="0" borderId="9" xfId="23" applyNumberFormat="1" applyFont="1" applyFill="1" applyBorder="1" applyProtection="1">
      <protection locked="0"/>
    </xf>
    <xf numFmtId="37" fontId="20" fillId="0" borderId="0" xfId="23" applyNumberFormat="1" applyFont="1" applyFill="1" applyBorder="1" applyAlignment="1" applyProtection="1">
      <alignment horizontal="center"/>
      <protection locked="0"/>
    </xf>
    <xf numFmtId="37" fontId="20" fillId="0" borderId="0" xfId="23" applyNumberFormat="1" applyFont="1" applyFill="1" applyBorder="1" applyAlignment="1" applyProtection="1">
      <alignment horizontal="right"/>
      <protection locked="0"/>
    </xf>
    <xf numFmtId="5" fontId="20" fillId="0" borderId="11" xfId="23" applyNumberFormat="1" applyFont="1" applyFill="1" applyBorder="1"/>
    <xf numFmtId="37" fontId="20" fillId="0" borderId="9" xfId="0" applyNumberFormat="1" applyFont="1" applyFill="1" applyBorder="1" applyProtection="1">
      <protection locked="0"/>
    </xf>
    <xf numFmtId="37" fontId="20" fillId="0" borderId="9" xfId="0" applyNumberFormat="1" applyFont="1" applyFill="1" applyBorder="1"/>
    <xf numFmtId="5" fontId="20" fillId="0" borderId="11" xfId="0" applyNumberFormat="1" applyFont="1" applyFill="1" applyBorder="1"/>
    <xf numFmtId="37" fontId="21" fillId="0" borderId="9" xfId="0" applyNumberFormat="1" applyFont="1" applyFill="1" applyBorder="1" applyProtection="1">
      <protection locked="0"/>
    </xf>
    <xf numFmtId="37" fontId="20" fillId="0" borderId="2" xfId="0" applyNumberFormat="1" applyFont="1" applyFill="1" applyBorder="1" applyProtection="1">
      <protection locked="0"/>
    </xf>
    <xf numFmtId="166" fontId="64" fillId="0" borderId="0" xfId="6" applyNumberFormat="1" applyFont="1" applyFill="1"/>
    <xf numFmtId="0" fontId="19" fillId="0" borderId="0" xfId="23" applyFont="1" applyFill="1" applyAlignment="1">
      <alignment horizontal="center"/>
    </xf>
    <xf numFmtId="0" fontId="19" fillId="0" borderId="9" xfId="23" applyFill="1" applyBorder="1" applyAlignment="1">
      <alignment horizontal="center"/>
    </xf>
    <xf numFmtId="10" fontId="19" fillId="0" borderId="0" xfId="23" applyNumberFormat="1" applyFill="1"/>
    <xf numFmtId="168" fontId="0" fillId="0" borderId="0" xfId="11" applyNumberFormat="1" applyFont="1" applyFill="1"/>
    <xf numFmtId="166" fontId="19" fillId="0" borderId="0" xfId="23" applyNumberFormat="1" applyFill="1"/>
    <xf numFmtId="0" fontId="64" fillId="0" borderId="22" xfId="34" applyFont="1" applyFill="1" applyBorder="1"/>
    <xf numFmtId="0" fontId="64" fillId="0" borderId="12" xfId="34" applyFont="1" applyFill="1" applyBorder="1"/>
    <xf numFmtId="10" fontId="64" fillId="0" borderId="12" xfId="42" applyNumberFormat="1" applyFont="1" applyFill="1" applyBorder="1" applyAlignment="1">
      <alignment horizontal="center"/>
    </xf>
    <xf numFmtId="166" fontId="38" fillId="0" borderId="12" xfId="6" applyNumberFormat="1" applyFont="1" applyFill="1" applyBorder="1"/>
    <xf numFmtId="10" fontId="64" fillId="0" borderId="21" xfId="34" applyNumberFormat="1" applyFont="1" applyFill="1" applyBorder="1" applyAlignment="1">
      <alignment horizontal="center"/>
    </xf>
    <xf numFmtId="0" fontId="64" fillId="0" borderId="14" xfId="34" applyFont="1" applyFill="1" applyBorder="1"/>
    <xf numFmtId="166" fontId="38" fillId="0" borderId="0" xfId="6" applyNumberFormat="1" applyFont="1" applyFill="1" applyBorder="1"/>
    <xf numFmtId="10" fontId="64" fillId="0" borderId="18" xfId="34" applyNumberFormat="1" applyFont="1" applyFill="1" applyBorder="1" applyAlignment="1">
      <alignment horizontal="center"/>
    </xf>
    <xf numFmtId="0" fontId="64" fillId="0" borderId="19" xfId="34" applyFont="1" applyFill="1" applyBorder="1"/>
    <xf numFmtId="0" fontId="64" fillId="0" borderId="13" xfId="34" applyFont="1" applyFill="1" applyBorder="1"/>
    <xf numFmtId="10" fontId="64" fillId="0" borderId="13" xfId="42" applyNumberFormat="1" applyFont="1" applyFill="1" applyBorder="1" applyAlignment="1">
      <alignment horizontal="center"/>
    </xf>
    <xf numFmtId="10" fontId="64" fillId="0" borderId="20" xfId="34" applyNumberFormat="1" applyFont="1" applyFill="1" applyBorder="1" applyAlignment="1">
      <alignment horizontal="center"/>
    </xf>
    <xf numFmtId="10" fontId="65" fillId="0" borderId="0" xfId="42" applyNumberFormat="1" applyFont="1" applyFill="1" applyBorder="1"/>
    <xf numFmtId="0" fontId="65" fillId="0" borderId="0" xfId="34" applyFont="1" applyBorder="1"/>
    <xf numFmtId="10" fontId="34" fillId="0" borderId="9" xfId="42" applyNumberFormat="1" applyFont="1" applyFill="1" applyBorder="1" applyAlignment="1">
      <alignment horizontal="center"/>
    </xf>
    <xf numFmtId="168" fontId="34" fillId="0" borderId="9" xfId="10" applyNumberFormat="1" applyFont="1" applyFill="1" applyBorder="1"/>
    <xf numFmtId="168" fontId="34" fillId="0" borderId="11" xfId="10" applyNumberFormat="1" applyFont="1" applyFill="1" applyBorder="1"/>
    <xf numFmtId="168" fontId="34" fillId="0" borderId="9" xfId="10" applyNumberFormat="1" applyFont="1" applyFill="1" applyBorder="1" applyAlignment="1">
      <alignment horizontal="center"/>
    </xf>
    <xf numFmtId="168" fontId="34" fillId="0" borderId="11" xfId="10" applyNumberFormat="1" applyFont="1" applyFill="1" applyBorder="1" applyAlignment="1">
      <alignment horizontal="center"/>
    </xf>
    <xf numFmtId="10" fontId="34" fillId="0" borderId="11" xfId="42" applyNumberFormat="1" applyFont="1" applyFill="1" applyBorder="1" applyAlignment="1">
      <alignment horizontal="center"/>
    </xf>
    <xf numFmtId="0" fontId="19" fillId="0" borderId="0" xfId="23"/>
    <xf numFmtId="0" fontId="19" fillId="0" borderId="0" xfId="23" applyAlignment="1">
      <alignment horizontal="center"/>
    </xf>
    <xf numFmtId="171" fontId="72" fillId="0" borderId="0" xfId="36" applyNumberFormat="1" applyFill="1"/>
    <xf numFmtId="168" fontId="34" fillId="0" borderId="2" xfId="10" applyNumberFormat="1" applyFont="1" applyFill="1" applyBorder="1" applyAlignment="1">
      <alignment horizontal="center"/>
    </xf>
    <xf numFmtId="3" fontId="19" fillId="0" borderId="0" xfId="23" applyNumberFormat="1" applyFill="1" applyBorder="1"/>
    <xf numFmtId="3" fontId="19" fillId="0" borderId="9" xfId="23" applyNumberFormat="1" applyFill="1" applyBorder="1"/>
    <xf numFmtId="0" fontId="11" fillId="0" borderId="0" xfId="51" applyFont="1"/>
    <xf numFmtId="0" fontId="10" fillId="0" borderId="0" xfId="51" applyFont="1"/>
    <xf numFmtId="3" fontId="19" fillId="0" borderId="9" xfId="23" applyNumberFormat="1" applyBorder="1"/>
    <xf numFmtId="0" fontId="39" fillId="0" borderId="0" xfId="0" applyFont="1" applyAlignment="1">
      <alignment horizontal="centerContinuous"/>
    </xf>
    <xf numFmtId="0" fontId="38" fillId="0" borderId="0" xfId="0" applyFont="1"/>
    <xf numFmtId="0" fontId="39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10" fontId="14" fillId="0" borderId="0" xfId="42" applyNumberFormat="1" applyFont="1"/>
    <xf numFmtId="0" fontId="9" fillId="0" borderId="0" xfId="34" applyFont="1" applyAlignment="1">
      <alignment horizontal="center"/>
    </xf>
    <xf numFmtId="0" fontId="14" fillId="0" borderId="0" xfId="34" applyFont="1"/>
    <xf numFmtId="0" fontId="14" fillId="0" borderId="0" xfId="34" applyFont="1" applyAlignment="1">
      <alignment horizontal="center"/>
    </xf>
    <xf numFmtId="0" fontId="26" fillId="0" borderId="0" xfId="21" applyFont="1" applyFill="1" applyAlignment="1">
      <alignment horizontal="center" readingOrder="1"/>
    </xf>
    <xf numFmtId="10" fontId="64" fillId="0" borderId="26" xfId="34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/>
    <xf numFmtId="37" fontId="21" fillId="0" borderId="11" xfId="0" applyNumberFormat="1" applyFont="1" applyFill="1" applyBorder="1" applyProtection="1">
      <protection locked="0"/>
    </xf>
    <xf numFmtId="10" fontId="20" fillId="0" borderId="0" xfId="42" applyNumberFormat="1" applyFont="1" applyFill="1" applyBorder="1" applyProtection="1">
      <protection locked="0"/>
    </xf>
    <xf numFmtId="3" fontId="21" fillId="0" borderId="0" xfId="0" applyNumberFormat="1" applyFont="1" applyFill="1" applyAlignment="1">
      <alignment horizontal="left"/>
    </xf>
    <xf numFmtId="0" fontId="8" fillId="0" borderId="0" xfId="51" applyFont="1"/>
    <xf numFmtId="3" fontId="78" fillId="0" borderId="0" xfId="41" applyNumberFormat="1" applyFont="1" applyAlignment="1">
      <alignment horizontal="center"/>
    </xf>
    <xf numFmtId="5" fontId="20" fillId="0" borderId="0" xfId="0" applyNumberFormat="1" applyFont="1" applyFill="1" applyBorder="1"/>
    <xf numFmtId="164" fontId="34" fillId="0" borderId="0" xfId="10" applyNumberFormat="1" applyFont="1" applyFill="1" applyBorder="1" applyAlignment="1">
      <alignment horizontal="center"/>
    </xf>
    <xf numFmtId="168" fontId="34" fillId="0" borderId="18" xfId="10" applyNumberFormat="1" applyFont="1" applyFill="1" applyBorder="1"/>
    <xf numFmtId="3" fontId="20" fillId="0" borderId="0" xfId="0" applyNumberFormat="1" applyFont="1" applyFill="1" applyAlignment="1">
      <alignment vertical="top"/>
    </xf>
    <xf numFmtId="3" fontId="19" fillId="0" borderId="0" xfId="21" applyNumberFormat="1" applyFill="1" applyBorder="1">
      <alignment readingOrder="1"/>
    </xf>
    <xf numFmtId="3" fontId="19" fillId="0" borderId="0" xfId="21" applyNumberFormat="1" applyFill="1">
      <alignment readingOrder="1"/>
    </xf>
    <xf numFmtId="0" fontId="20" fillId="0" borderId="0" xfId="0" applyFont="1"/>
    <xf numFmtId="10" fontId="20" fillId="0" borderId="0" xfId="0" applyNumberFormat="1" applyFont="1"/>
    <xf numFmtId="0" fontId="91" fillId="0" borderId="0" xfId="0" applyFont="1"/>
    <xf numFmtId="10" fontId="91" fillId="0" borderId="0" xfId="0" applyNumberFormat="1" applyFont="1" applyBorder="1"/>
    <xf numFmtId="10" fontId="91" fillId="0" borderId="0" xfId="0" applyNumberFormat="1" applyFont="1"/>
    <xf numFmtId="3" fontId="77" fillId="0" borderId="0" xfId="41" applyNumberFormat="1" applyFont="1"/>
    <xf numFmtId="10" fontId="77" fillId="0" borderId="0" xfId="42" applyNumberFormat="1" applyFont="1"/>
    <xf numFmtId="3" fontId="21" fillId="0" borderId="0" xfId="0" applyNumberFormat="1" applyFont="1" applyFill="1" applyAlignment="1">
      <alignment vertical="top"/>
    </xf>
    <xf numFmtId="3" fontId="21" fillId="0" borderId="0" xfId="0" applyNumberFormat="1" applyFont="1" applyFill="1" applyAlignment="1"/>
    <xf numFmtId="0" fontId="39" fillId="0" borderId="0" xfId="0" applyFont="1" applyAlignment="1">
      <alignment horizontal="center"/>
    </xf>
    <xf numFmtId="5" fontId="38" fillId="0" borderId="0" xfId="0" applyNumberFormat="1" applyFont="1"/>
    <xf numFmtId="169" fontId="38" fillId="0" borderId="0" xfId="42" applyNumberFormat="1" applyFont="1" applyBorder="1"/>
    <xf numFmtId="5" fontId="38" fillId="0" borderId="0" xfId="0" applyNumberFormat="1" applyFont="1" applyFill="1"/>
    <xf numFmtId="5" fontId="38" fillId="0" borderId="1" xfId="0" applyNumberFormat="1" applyFont="1" applyBorder="1"/>
    <xf numFmtId="5" fontId="38" fillId="0" borderId="0" xfId="0" applyNumberFormat="1" applyFont="1" applyBorder="1"/>
    <xf numFmtId="184" fontId="38" fillId="0" borderId="0" xfId="0" applyNumberFormat="1" applyFont="1"/>
    <xf numFmtId="37" fontId="38" fillId="0" borderId="0" xfId="40" applyNumberFormat="1" applyFont="1"/>
    <xf numFmtId="10" fontId="38" fillId="0" borderId="0" xfId="42" applyNumberFormat="1" applyFont="1" applyBorder="1"/>
    <xf numFmtId="0" fontId="38" fillId="0" borderId="0" xfId="40" applyFont="1"/>
    <xf numFmtId="0" fontId="38" fillId="0" borderId="0" xfId="40" applyFont="1" applyBorder="1"/>
    <xf numFmtId="185" fontId="38" fillId="0" borderId="0" xfId="1" applyNumberFormat="1" applyFont="1"/>
    <xf numFmtId="185" fontId="38" fillId="0" borderId="0" xfId="0" applyNumberFormat="1" applyFont="1" applyBorder="1"/>
    <xf numFmtId="0" fontId="38" fillId="0" borderId="0" xfId="0" applyFont="1" applyBorder="1"/>
    <xf numFmtId="5" fontId="39" fillId="0" borderId="0" xfId="0" applyNumberFormat="1" applyFont="1" applyBorder="1"/>
    <xf numFmtId="0" fontId="0" fillId="0" borderId="0" xfId="0" applyBorder="1"/>
    <xf numFmtId="0" fontId="39" fillId="0" borderId="0" xfId="0" applyFont="1" applyAlignment="1">
      <alignment horizontal="center"/>
    </xf>
    <xf numFmtId="10" fontId="60" fillId="0" borderId="0" xfId="42" applyNumberFormat="1" applyFont="1" applyFill="1" applyBorder="1" applyAlignment="1">
      <alignment horizontal="center"/>
    </xf>
    <xf numFmtId="168" fontId="60" fillId="0" borderId="0" xfId="10" quotePrefix="1" applyNumberFormat="1" applyFont="1" applyFill="1" applyBorder="1" applyAlignment="1">
      <alignment horizontal="center"/>
    </xf>
    <xf numFmtId="0" fontId="95" fillId="0" borderId="0" xfId="0" applyFont="1"/>
    <xf numFmtId="3" fontId="92" fillId="0" borderId="0" xfId="23" applyNumberFormat="1" applyFont="1" applyFill="1" applyBorder="1" applyAlignment="1">
      <alignment horizontal="center" wrapText="1"/>
    </xf>
    <xf numFmtId="0" fontId="78" fillId="0" borderId="0" xfId="41" applyNumberFormat="1" applyFont="1" applyAlignment="1">
      <alignment horizontal="left"/>
    </xf>
    <xf numFmtId="3" fontId="20" fillId="0" borderId="0" xfId="0" applyNumberFormat="1" applyFont="1" applyFill="1" applyAlignment="1">
      <alignment horizontal="center" wrapText="1"/>
    </xf>
    <xf numFmtId="0" fontId="21" fillId="0" borderId="1" xfId="0" applyFont="1" applyBorder="1" applyAlignment="1">
      <alignment horizontal="center"/>
    </xf>
    <xf numFmtId="3" fontId="33" fillId="0" borderId="0" xfId="23" applyNumberFormat="1" applyFont="1" applyFill="1" applyBorder="1" applyAlignment="1"/>
    <xf numFmtId="182" fontId="38" fillId="0" borderId="0" xfId="23" applyNumberFormat="1" applyFont="1" applyFill="1"/>
    <xf numFmtId="183" fontId="20" fillId="0" borderId="0" xfId="23" applyNumberFormat="1" applyFont="1" applyFill="1"/>
    <xf numFmtId="0" fontId="69" fillId="8" borderId="0" xfId="34" applyFill="1"/>
    <xf numFmtId="10" fontId="60" fillId="0" borderId="0" xfId="42" applyNumberFormat="1" applyFont="1" applyFill="1" applyBorder="1" applyAlignment="1">
      <alignment horizontal="center"/>
    </xf>
    <xf numFmtId="166" fontId="20" fillId="0" borderId="0" xfId="23" applyNumberFormat="1" applyFont="1" applyFill="1"/>
    <xf numFmtId="37" fontId="20" fillId="0" borderId="1" xfId="23" applyNumberFormat="1" applyFont="1" applyFill="1" applyBorder="1" applyAlignment="1" applyProtection="1">
      <alignment horizontal="right"/>
      <protection locked="0"/>
    </xf>
    <xf numFmtId="166" fontId="19" fillId="0" borderId="0" xfId="1" applyNumberFormat="1" applyFont="1" applyFill="1" applyBorder="1"/>
    <xf numFmtId="0" fontId="22" fillId="0" borderId="0" xfId="23" applyFont="1" applyFill="1" applyBorder="1" applyAlignment="1">
      <alignment horizontal="center"/>
    </xf>
    <xf numFmtId="0" fontId="19" fillId="8" borderId="0" xfId="36" applyFont="1" applyFill="1"/>
    <xf numFmtId="0" fontId="72" fillId="8" borderId="0" xfId="36" applyFill="1"/>
    <xf numFmtId="0" fontId="72" fillId="8" borderId="1" xfId="36" applyFill="1" applyBorder="1" applyAlignment="1">
      <alignment horizontal="centerContinuous"/>
    </xf>
    <xf numFmtId="0" fontId="72" fillId="8" borderId="0" xfId="36" applyFill="1" applyAlignment="1">
      <alignment horizontal="center"/>
    </xf>
    <xf numFmtId="0" fontId="54" fillId="8" borderId="0" xfId="36" applyFont="1" applyFill="1" applyAlignment="1">
      <alignment horizontal="center"/>
    </xf>
    <xf numFmtId="3" fontId="72" fillId="8" borderId="0" xfId="36" applyNumberFormat="1" applyFill="1"/>
    <xf numFmtId="3" fontId="72" fillId="8" borderId="1" xfId="36" applyNumberFormat="1" applyFill="1" applyBorder="1"/>
    <xf numFmtId="3" fontId="72" fillId="8" borderId="2" xfId="36" applyNumberFormat="1" applyFill="1" applyBorder="1"/>
    <xf numFmtId="0" fontId="72" fillId="0" borderId="0" xfId="36" applyAlignment="1">
      <alignment horizontal="center"/>
    </xf>
    <xf numFmtId="0" fontId="69" fillId="0" borderId="0" xfId="19" applyFill="1"/>
    <xf numFmtId="0" fontId="4" fillId="0" borderId="0" xfId="51" applyFont="1" applyAlignment="1">
      <alignment horizontal="center"/>
    </xf>
    <xf numFmtId="0" fontId="72" fillId="0" borderId="1" xfId="36" applyFill="1" applyBorder="1" applyAlignment="1">
      <alignment horizontal="centerContinuous"/>
    </xf>
    <xf numFmtId="0" fontId="72" fillId="0" borderId="0" xfId="36" applyFill="1" applyAlignment="1">
      <alignment horizontal="center"/>
    </xf>
    <xf numFmtId="0" fontId="54" fillId="0" borderId="0" xfId="36" applyFont="1" applyFill="1" applyAlignment="1">
      <alignment horizontal="center"/>
    </xf>
    <xf numFmtId="3" fontId="72" fillId="0" borderId="0" xfId="36" applyNumberFormat="1" applyFill="1"/>
    <xf numFmtId="3" fontId="72" fillId="0" borderId="1" xfId="36" applyNumberFormat="1" applyFill="1" applyBorder="1"/>
    <xf numFmtId="3" fontId="72" fillId="0" borderId="2" xfId="36" applyNumberFormat="1" applyFill="1" applyBorder="1"/>
    <xf numFmtId="0" fontId="19" fillId="9" borderId="0" xfId="36" applyFont="1" applyFill="1"/>
    <xf numFmtId="10" fontId="91" fillId="0" borderId="24" xfId="0" applyNumberFormat="1" applyFont="1" applyBorder="1"/>
    <xf numFmtId="10" fontId="77" fillId="0" borderId="24" xfId="41" applyNumberFormat="1" applyFont="1" applyBorder="1"/>
    <xf numFmtId="0" fontId="19" fillId="0" borderId="0" xfId="23"/>
    <xf numFmtId="0" fontId="13" fillId="0" borderId="0" xfId="51" applyFill="1"/>
    <xf numFmtId="166" fontId="13" fillId="0" borderId="0" xfId="51" applyNumberFormat="1" applyFill="1"/>
    <xf numFmtId="37" fontId="21" fillId="0" borderId="0" xfId="0" applyNumberFormat="1" applyFont="1" applyFill="1" applyBorder="1"/>
    <xf numFmtId="0" fontId="0" fillId="0" borderId="0" xfId="0" applyFill="1" applyAlignment="1">
      <alignment horizontal="right"/>
    </xf>
    <xf numFmtId="0" fontId="19" fillId="0" borderId="0" xfId="0" applyFont="1" applyFill="1"/>
    <xf numFmtId="166" fontId="0" fillId="0" borderId="9" xfId="0" applyNumberFormat="1" applyFill="1" applyBorder="1"/>
    <xf numFmtId="166" fontId="0" fillId="0" borderId="0" xfId="0" applyNumberFormat="1" applyFill="1"/>
    <xf numFmtId="0" fontId="72" fillId="0" borderId="1" xfId="36" applyFill="1" applyBorder="1" applyAlignment="1">
      <alignment horizontal="center"/>
    </xf>
    <xf numFmtId="5" fontId="20" fillId="0" borderId="0" xfId="23" applyNumberFormat="1" applyFont="1" applyFill="1" applyBorder="1" applyProtection="1">
      <protection locked="0"/>
    </xf>
    <xf numFmtId="0" fontId="0" fillId="0" borderId="1" xfId="0" applyFill="1" applyBorder="1"/>
    <xf numFmtId="0" fontId="19" fillId="0" borderId="0" xfId="0" applyFont="1" applyFill="1" applyAlignment="1">
      <alignment horizontal="right"/>
    </xf>
    <xf numFmtId="184" fontId="34" fillId="0" borderId="18" xfId="0" applyNumberFormat="1" applyFont="1" applyFill="1" applyBorder="1" applyAlignment="1">
      <alignment horizontal="center"/>
    </xf>
    <xf numFmtId="184" fontId="34" fillId="0" borderId="0" xfId="0" applyNumberFormat="1" applyFont="1" applyFill="1" applyBorder="1" applyAlignment="1">
      <alignment horizontal="center"/>
    </xf>
    <xf numFmtId="0" fontId="19" fillId="0" borderId="0" xfId="23"/>
    <xf numFmtId="0" fontId="19" fillId="0" borderId="0" xfId="23"/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10" fontId="97" fillId="0" borderId="0" xfId="49" applyNumberFormat="1" applyFont="1" applyFill="1" applyBorder="1"/>
    <xf numFmtId="37" fontId="37" fillId="0" borderId="0" xfId="0" applyNumberFormat="1" applyFont="1"/>
    <xf numFmtId="37" fontId="37" fillId="0" borderId="1" xfId="0" applyNumberFormat="1" applyFont="1" applyBorder="1"/>
    <xf numFmtId="37" fontId="37" fillId="0" borderId="1" xfId="0" applyNumberFormat="1" applyFont="1" applyFill="1" applyBorder="1"/>
    <xf numFmtId="0" fontId="25" fillId="0" borderId="0" xfId="1166" applyFont="1" applyBorder="1" applyAlignment="1">
      <alignment horizontal="left" indent="1" readingOrder="1"/>
    </xf>
    <xf numFmtId="0" fontId="26" fillId="0" borderId="0" xfId="1166" applyFont="1" applyFill="1">
      <alignment readingOrder="1"/>
    </xf>
    <xf numFmtId="0" fontId="25" fillId="0" borderId="0" xfId="1166" applyFont="1" applyAlignment="1">
      <alignment horizontal="left" indent="1" readingOrder="1"/>
    </xf>
    <xf numFmtId="0" fontId="19" fillId="0" borderId="0" xfId="1166" applyBorder="1">
      <alignment readingOrder="1"/>
    </xf>
    <xf numFmtId="3" fontId="72" fillId="0" borderId="9" xfId="36" applyNumberFormat="1" applyBorder="1"/>
    <xf numFmtId="9" fontId="19" fillId="0" borderId="0" xfId="42" applyFont="1" applyFill="1">
      <alignment readingOrder="1"/>
    </xf>
    <xf numFmtId="0" fontId="19" fillId="0" borderId="0" xfId="1166">
      <alignment readingOrder="1"/>
    </xf>
    <xf numFmtId="0" fontId="25" fillId="0" borderId="0" xfId="1166" applyFont="1" applyFill="1" applyBorder="1" applyAlignment="1">
      <alignment horizontal="left" indent="1" readingOrder="1"/>
    </xf>
    <xf numFmtId="167" fontId="19" fillId="0" borderId="0" xfId="1166" applyNumberFormat="1" applyFill="1">
      <alignment readingOrder="1"/>
    </xf>
    <xf numFmtId="0" fontId="79" fillId="0" borderId="0" xfId="1166" applyFont="1" applyAlignment="1">
      <alignment horizontal="left" indent="1" readingOrder="1"/>
    </xf>
    <xf numFmtId="0" fontId="79" fillId="0" borderId="0" xfId="1166" applyFont="1" applyFill="1" applyAlignment="1">
      <alignment horizontal="left" indent="1" readingOrder="1"/>
    </xf>
    <xf numFmtId="3" fontId="19" fillId="0" borderId="0" xfId="1166" applyNumberFormat="1" applyFill="1">
      <alignment readingOrder="1"/>
    </xf>
    <xf numFmtId="3" fontId="80" fillId="0" borderId="0" xfId="3528" applyNumberFormat="1" applyFont="1"/>
    <xf numFmtId="167" fontId="19" fillId="0" borderId="0" xfId="1166" applyNumberFormat="1" applyBorder="1">
      <alignment readingOrder="1"/>
    </xf>
    <xf numFmtId="0" fontId="19" fillId="0" borderId="0" xfId="1166" applyFill="1" applyBorder="1">
      <alignment readingOrder="1"/>
    </xf>
    <xf numFmtId="167" fontId="19" fillId="0" borderId="0" xfId="1166" applyNumberFormat="1" applyFill="1">
      <alignment readingOrder="1"/>
    </xf>
    <xf numFmtId="0" fontId="26" fillId="0" borderId="0" xfId="1166" applyFont="1">
      <alignment readingOrder="1"/>
    </xf>
    <xf numFmtId="3" fontId="79" fillId="0" borderId="0" xfId="3528" applyNumberFormat="1" applyFont="1" applyFill="1" applyAlignment="1">
      <alignment horizontal="left" indent="1"/>
    </xf>
    <xf numFmtId="0" fontId="19" fillId="0" borderId="0" xfId="1166" applyFill="1">
      <alignment readingOrder="1"/>
    </xf>
    <xf numFmtId="0" fontId="19" fillId="0" borderId="0" xfId="1166">
      <alignment readingOrder="1"/>
    </xf>
    <xf numFmtId="167" fontId="0" fillId="0" borderId="0" xfId="0" applyNumberFormat="1"/>
    <xf numFmtId="0" fontId="19" fillId="0" borderId="0" xfId="1166">
      <alignment readingOrder="1"/>
    </xf>
    <xf numFmtId="0" fontId="186" fillId="0" borderId="0" xfId="36" applyFont="1" applyAlignment="1">
      <alignment horizontal="center"/>
    </xf>
    <xf numFmtId="0" fontId="22" fillId="0" borderId="0" xfId="1166" applyFont="1">
      <alignment readingOrder="1"/>
    </xf>
    <xf numFmtId="0" fontId="19" fillId="0" borderId="0" xfId="1166">
      <alignment readingOrder="1"/>
    </xf>
    <xf numFmtId="0" fontId="27" fillId="0" borderId="0" xfId="1166" applyFont="1" applyFill="1">
      <alignment readingOrder="1"/>
    </xf>
    <xf numFmtId="0" fontId="25" fillId="0" borderId="0" xfId="1166" applyFont="1" applyFill="1" applyAlignment="1">
      <alignment horizontal="left" indent="1" readingOrder="1"/>
    </xf>
    <xf numFmtId="0" fontId="19" fillId="0" borderId="0" xfId="1166">
      <alignment readingOrder="1"/>
    </xf>
    <xf numFmtId="0" fontId="26" fillId="0" borderId="0" xfId="1166" applyFont="1" applyFill="1">
      <alignment readingOrder="1"/>
    </xf>
    <xf numFmtId="3" fontId="80" fillId="0" borderId="0" xfId="3528" applyNumberFormat="1" applyFont="1" applyFill="1"/>
    <xf numFmtId="167" fontId="19" fillId="0" borderId="0" xfId="1166" applyNumberFormat="1">
      <alignment readingOrder="1"/>
    </xf>
    <xf numFmtId="0" fontId="79" fillId="0" borderId="0" xfId="1166" applyFont="1" applyBorder="1" applyAlignment="1">
      <alignment horizontal="left" indent="1" readingOrder="1"/>
    </xf>
    <xf numFmtId="3" fontId="19" fillId="0" borderId="0" xfId="1166" applyNumberFormat="1" applyFill="1">
      <alignment readingOrder="1"/>
    </xf>
    <xf numFmtId="37" fontId="37" fillId="0" borderId="0" xfId="0" applyNumberFormat="1" applyFont="1"/>
    <xf numFmtId="0" fontId="0" fillId="0" borderId="0" xfId="0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0" fillId="0" borderId="0" xfId="0"/>
    <xf numFmtId="0" fontId="37" fillId="0" borderId="0" xfId="0" applyFont="1"/>
    <xf numFmtId="7" fontId="37" fillId="0" borderId="0" xfId="0" applyNumberFormat="1" applyFont="1"/>
    <xf numFmtId="180" fontId="37" fillId="0" borderId="0" xfId="0" applyNumberFormat="1" applyFont="1"/>
    <xf numFmtId="178" fontId="37" fillId="0" borderId="0" xfId="0" applyNumberFormat="1" applyFont="1"/>
    <xf numFmtId="179" fontId="37" fillId="0" borderId="0" xfId="0" applyNumberFormat="1" applyFont="1"/>
    <xf numFmtId="0" fontId="19" fillId="0" borderId="0" xfId="0" applyFont="1"/>
    <xf numFmtId="0" fontId="26" fillId="0" borderId="0" xfId="0" applyFont="1" applyAlignment="1">
      <alignment horizontal="center"/>
    </xf>
    <xf numFmtId="37" fontId="37" fillId="0" borderId="0" xfId="0" applyNumberFormat="1" applyFont="1" applyFill="1"/>
    <xf numFmtId="37" fontId="46" fillId="0" borderId="1" xfId="0" applyNumberFormat="1" applyFont="1" applyFill="1" applyBorder="1"/>
    <xf numFmtId="37" fontId="37" fillId="0" borderId="1" xfId="0" applyNumberFormat="1" applyFont="1" applyFill="1" applyBorder="1"/>
    <xf numFmtId="37" fontId="118" fillId="0" borderId="0" xfId="0" applyNumberFormat="1" applyFont="1" applyFill="1"/>
    <xf numFmtId="37" fontId="50" fillId="0" borderId="0" xfId="0" applyNumberFormat="1" applyFont="1" applyFill="1"/>
    <xf numFmtId="37" fontId="118" fillId="0" borderId="0" xfId="1227" applyNumberFormat="1" applyFont="1" applyFill="1"/>
    <xf numFmtId="166" fontId="50" fillId="0" borderId="0" xfId="1" applyNumberFormat="1" applyFont="1"/>
    <xf numFmtId="166" fontId="50" fillId="0" borderId="0" xfId="1" applyNumberFormat="1" applyFont="1" applyFill="1"/>
    <xf numFmtId="166" fontId="49" fillId="0" borderId="0" xfId="1" applyNumberFormat="1" applyFont="1" applyFill="1"/>
    <xf numFmtId="37" fontId="37" fillId="0" borderId="1" xfId="1227" applyNumberFormat="1" applyFont="1" applyFill="1" applyBorder="1"/>
    <xf numFmtId="37" fontId="37" fillId="0" borderId="0" xfId="1227" applyNumberFormat="1" applyFont="1" applyFill="1"/>
    <xf numFmtId="0" fontId="19" fillId="0" borderId="0" xfId="23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5" fontId="0" fillId="0" borderId="0" xfId="0" applyNumberFormat="1" applyBorder="1"/>
    <xf numFmtId="44" fontId="20" fillId="0" borderId="0" xfId="23" applyNumberFormat="1" applyFont="1" applyFill="1"/>
    <xf numFmtId="166" fontId="20" fillId="0" borderId="0" xfId="1" quotePrefix="1" applyNumberFormat="1" applyFont="1" applyFill="1" applyAlignment="1">
      <alignment horizontal="center"/>
    </xf>
    <xf numFmtId="10" fontId="20" fillId="0" borderId="0" xfId="42" applyNumberFormat="1" applyFont="1" applyFill="1"/>
    <xf numFmtId="0" fontId="19" fillId="0" borderId="0" xfId="23"/>
    <xf numFmtId="172" fontId="34" fillId="0" borderId="1" xfId="1" applyNumberFormat="1" applyFont="1" applyFill="1" applyBorder="1" applyAlignment="1">
      <alignment horizontal="center" vertical="center" wrapText="1"/>
    </xf>
    <xf numFmtId="3" fontId="34" fillId="0" borderId="1" xfId="1" applyNumberFormat="1" applyFont="1" applyFill="1" applyBorder="1" applyAlignment="1">
      <alignment horizontal="center" vertical="center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left"/>
    </xf>
    <xf numFmtId="3" fontId="60" fillId="0" borderId="50" xfId="23" applyNumberFormat="1" applyFont="1" applyFill="1" applyBorder="1" applyAlignment="1">
      <alignment horizontal="center"/>
    </xf>
    <xf numFmtId="3" fontId="60" fillId="0" borderId="51" xfId="23" applyNumberFormat="1" applyFont="1" applyFill="1" applyBorder="1" applyAlignment="1">
      <alignment horizontal="center"/>
    </xf>
    <xf numFmtId="37" fontId="20" fillId="0" borderId="0" xfId="23" applyNumberFormat="1" applyFont="1" applyFill="1" applyAlignment="1">
      <alignment horizontal="right"/>
    </xf>
    <xf numFmtId="37" fontId="38" fillId="0" borderId="0" xfId="23" applyNumberFormat="1" applyFont="1" applyFill="1" applyAlignment="1">
      <alignment horizontal="right"/>
    </xf>
    <xf numFmtId="14" fontId="20" fillId="0" borderId="0" xfId="23" applyNumberFormat="1" applyFont="1" applyFill="1" applyBorder="1"/>
    <xf numFmtId="166" fontId="20" fillId="0" borderId="0" xfId="1" applyNumberFormat="1" applyFont="1" applyFill="1" applyBorder="1"/>
    <xf numFmtId="168" fontId="20" fillId="0" borderId="0" xfId="23" applyNumberFormat="1" applyFont="1" applyFill="1" applyBorder="1"/>
    <xf numFmtId="10" fontId="91" fillId="0" borderId="0" xfId="0" applyNumberFormat="1" applyFont="1" applyFill="1" applyBorder="1"/>
    <xf numFmtId="0" fontId="20" fillId="0" borderId="0" xfId="23" applyFont="1" applyFill="1" applyAlignment="1">
      <alignment horizontal="center"/>
    </xf>
    <xf numFmtId="166" fontId="20" fillId="0" borderId="0" xfId="23" applyNumberFormat="1" applyFont="1" applyFill="1" applyAlignment="1">
      <alignment horizontal="center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8" fillId="0" borderId="49" xfId="23" applyNumberFormat="1" applyFont="1" applyFill="1" applyBorder="1" applyAlignment="1">
      <alignment horizontal="center"/>
    </xf>
    <xf numFmtId="3" fontId="33" fillId="0" borderId="51" xfId="23" applyNumberFormat="1" applyFont="1" applyFill="1" applyBorder="1" applyAlignment="1">
      <alignment horizontal="center"/>
    </xf>
    <xf numFmtId="0" fontId="91" fillId="0" borderId="0" xfId="0" applyFont="1" applyFill="1" applyAlignment="1">
      <alignment horizontal="center" wrapText="1"/>
    </xf>
    <xf numFmtId="0" fontId="53" fillId="0" borderId="0" xfId="0" applyFont="1"/>
    <xf numFmtId="3" fontId="190" fillId="0" borderId="0" xfId="41" applyNumberFormat="1" applyFont="1"/>
    <xf numFmtId="0" fontId="190" fillId="0" borderId="0" xfId="41" applyFont="1"/>
    <xf numFmtId="0" fontId="1" fillId="0" borderId="0" xfId="0" applyFont="1"/>
    <xf numFmtId="0" fontId="1" fillId="0" borderId="0" xfId="21" applyFont="1">
      <alignment readingOrder="1"/>
    </xf>
    <xf numFmtId="180" fontId="1" fillId="0" borderId="0" xfId="23" applyNumberFormat="1" applyFont="1" applyAlignment="1">
      <alignment horizontal="left" indent="1"/>
    </xf>
    <xf numFmtId="0" fontId="77" fillId="0" borderId="0" xfId="41" applyFont="1" applyFill="1"/>
    <xf numFmtId="0" fontId="19" fillId="0" borderId="0" xfId="1227"/>
    <xf numFmtId="10" fontId="60" fillId="0" borderId="0" xfId="42" applyNumberFormat="1" applyFont="1" applyFill="1" applyBorder="1" applyAlignment="1">
      <alignment horizontal="center"/>
    </xf>
    <xf numFmtId="0" fontId="19" fillId="0" borderId="0" xfId="23"/>
    <xf numFmtId="166" fontId="34" fillId="0" borderId="0" xfId="1" applyNumberFormat="1" applyFont="1" applyFill="1" applyBorder="1" applyAlignment="1">
      <alignment horizontal="center" wrapText="1"/>
    </xf>
    <xf numFmtId="3" fontId="19" fillId="8" borderId="0" xfId="23" applyNumberFormat="1" applyFill="1"/>
    <xf numFmtId="0" fontId="72" fillId="9" borderId="0" xfId="36" applyFill="1"/>
    <xf numFmtId="10" fontId="91" fillId="0" borderId="25" xfId="0" applyNumberFormat="1" applyFont="1" applyBorder="1"/>
    <xf numFmtId="0" fontId="19" fillId="0" borderId="0" xfId="23"/>
    <xf numFmtId="0" fontId="64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left" vertical="top" wrapText="1"/>
    </xf>
    <xf numFmtId="0" fontId="192" fillId="0" borderId="54" xfId="0" applyFont="1" applyFill="1" applyBorder="1" applyAlignment="1">
      <alignment horizontal="right" vertical="top"/>
    </xf>
    <xf numFmtId="0" fontId="192" fillId="0" borderId="61" xfId="0" applyFont="1" applyFill="1" applyBorder="1" applyAlignment="1">
      <alignment horizontal="right" vertical="top"/>
    </xf>
    <xf numFmtId="0" fontId="192" fillId="0" borderId="55" xfId="0" applyFont="1" applyFill="1" applyBorder="1" applyAlignment="1">
      <alignment horizontal="right" vertical="top"/>
    </xf>
    <xf numFmtId="0" fontId="64" fillId="0" borderId="53" xfId="0" applyFont="1" applyFill="1" applyBorder="1" applyAlignment="1">
      <alignment horizontal="left" vertical="center"/>
    </xf>
    <xf numFmtId="0" fontId="64" fillId="0" borderId="56" xfId="0" applyFont="1" applyFill="1" applyBorder="1" applyAlignment="1">
      <alignment horizontal="left" vertical="center"/>
    </xf>
    <xf numFmtId="0" fontId="64" fillId="0" borderId="57" xfId="0" applyFont="1" applyFill="1" applyBorder="1" applyAlignment="1">
      <alignment horizontal="left" vertical="center"/>
    </xf>
    <xf numFmtId="0" fontId="64" fillId="0" borderId="58" xfId="0" applyFont="1" applyFill="1" applyBorder="1" applyAlignment="1">
      <alignment horizontal="left" vertical="center"/>
    </xf>
    <xf numFmtId="0" fontId="192" fillId="0" borderId="59" xfId="0" applyFont="1" applyFill="1" applyBorder="1" applyAlignment="1">
      <alignment horizontal="right" vertical="top"/>
    </xf>
    <xf numFmtId="0" fontId="192" fillId="0" borderId="62" xfId="0" applyFont="1" applyFill="1" applyBorder="1" applyAlignment="1">
      <alignment horizontal="right" vertical="top"/>
    </xf>
    <xf numFmtId="0" fontId="192" fillId="0" borderId="60" xfId="0" applyFont="1" applyFill="1" applyBorder="1" applyAlignment="1">
      <alignment horizontal="right" vertical="top"/>
    </xf>
    <xf numFmtId="0" fontId="191" fillId="0" borderId="53" xfId="0" applyFont="1" applyFill="1" applyBorder="1" applyAlignment="1">
      <alignment horizontal="left" vertical="top"/>
    </xf>
    <xf numFmtId="0" fontId="64" fillId="0" borderId="53" xfId="0" applyFont="1" applyFill="1" applyBorder="1" applyAlignment="1">
      <alignment horizontal="center" vertical="top"/>
    </xf>
    <xf numFmtId="0" fontId="192" fillId="0" borderId="53" xfId="0" applyFont="1" applyFill="1" applyBorder="1" applyAlignment="1">
      <alignment horizontal="right" vertical="top"/>
    </xf>
    <xf numFmtId="0" fontId="191" fillId="0" borderId="63" xfId="0" applyFont="1" applyFill="1" applyBorder="1" applyAlignment="1">
      <alignment horizontal="left" vertical="top"/>
    </xf>
    <xf numFmtId="228" fontId="64" fillId="0" borderId="53" xfId="0" applyNumberFormat="1" applyFont="1" applyFill="1" applyBorder="1" applyAlignment="1">
      <alignment horizontal="right" vertical="top"/>
    </xf>
    <xf numFmtId="0" fontId="191" fillId="0" borderId="64" xfId="0" applyFont="1" applyFill="1" applyBorder="1" applyAlignment="1">
      <alignment horizontal="left" vertical="top"/>
    </xf>
    <xf numFmtId="0" fontId="191" fillId="0" borderId="65" xfId="0" applyFont="1" applyFill="1" applyBorder="1" applyAlignment="1">
      <alignment horizontal="left" vertical="top"/>
    </xf>
    <xf numFmtId="0" fontId="64" fillId="0" borderId="56" xfId="0" applyFont="1" applyFill="1" applyBorder="1" applyAlignment="1">
      <alignment horizontal="center" vertical="top"/>
    </xf>
    <xf numFmtId="0" fontId="64" fillId="0" borderId="57" xfId="0" applyFont="1" applyFill="1" applyBorder="1" applyAlignment="1">
      <alignment horizontal="center" vertical="top"/>
    </xf>
    <xf numFmtId="0" fontId="64" fillId="0" borderId="58" xfId="0" applyFont="1" applyFill="1" applyBorder="1" applyAlignment="1">
      <alignment horizontal="center" vertical="top"/>
    </xf>
    <xf numFmtId="0" fontId="19" fillId="0" borderId="0" xfId="1227" applyAlignment="1">
      <alignment horizontal="center"/>
    </xf>
    <xf numFmtId="228" fontId="19" fillId="0" borderId="0" xfId="1227" applyNumberFormat="1"/>
    <xf numFmtId="0" fontId="19" fillId="0" borderId="0" xfId="36" applyFont="1" applyFill="1"/>
    <xf numFmtId="164" fontId="19" fillId="0" borderId="0" xfId="23" applyNumberFormat="1" applyFont="1" applyFill="1" applyAlignment="1">
      <alignment horizontal="center"/>
    </xf>
    <xf numFmtId="0" fontId="19" fillId="0" borderId="0" xfId="36" applyFont="1" applyFill="1" applyAlignment="1">
      <alignment horizontal="center"/>
    </xf>
    <xf numFmtId="37" fontId="0" fillId="0" borderId="0" xfId="0" applyNumberFormat="1" applyFill="1"/>
    <xf numFmtId="166" fontId="19" fillId="0" borderId="9" xfId="1" applyNumberFormat="1" applyFont="1" applyFill="1" applyBorder="1"/>
    <xf numFmtId="0" fontId="19" fillId="0" borderId="0" xfId="23"/>
    <xf numFmtId="3" fontId="19" fillId="74" borderId="0" xfId="23" applyNumberFormat="1" applyFill="1"/>
    <xf numFmtId="3" fontId="19" fillId="0" borderId="0" xfId="23" applyNumberFormat="1" applyFont="1" applyFill="1"/>
    <xf numFmtId="0" fontId="19" fillId="0" borderId="0" xfId="1227" applyFill="1" applyAlignment="1">
      <alignment horizontal="center"/>
    </xf>
    <xf numFmtId="166" fontId="20" fillId="0" borderId="0" xfId="1" applyNumberFormat="1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3" fontId="78" fillId="0" borderId="0" xfId="41" applyNumberFormat="1" applyFont="1" applyFill="1"/>
    <xf numFmtId="10" fontId="20" fillId="0" borderId="0" xfId="0" applyNumberFormat="1" applyFont="1" applyFill="1"/>
    <xf numFmtId="0" fontId="20" fillId="0" borderId="0" xfId="0" applyFont="1" applyFill="1"/>
    <xf numFmtId="10" fontId="77" fillId="0" borderId="0" xfId="41" applyNumberFormat="1" applyFont="1" applyFill="1"/>
    <xf numFmtId="10" fontId="91" fillId="0" borderId="0" xfId="0" applyNumberFormat="1" applyFont="1" applyFill="1"/>
    <xf numFmtId="10" fontId="77" fillId="0" borderId="0" xfId="42" applyNumberFormat="1" applyFont="1" applyFill="1"/>
    <xf numFmtId="3" fontId="77" fillId="0" borderId="0" xfId="41" applyNumberFormat="1" applyFont="1" applyFill="1"/>
    <xf numFmtId="166" fontId="20" fillId="75" borderId="0" xfId="1" applyNumberFormat="1" applyFont="1" applyFill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0" xfId="23"/>
    <xf numFmtId="0" fontId="19" fillId="0" borderId="0" xfId="23" applyFont="1" applyAlignment="1">
      <alignment horizontal="centerContinuous"/>
    </xf>
    <xf numFmtId="0" fontId="19" fillId="0" borderId="0" xfId="23" applyFont="1" applyFill="1" applyBorder="1"/>
    <xf numFmtId="10" fontId="19" fillId="0" borderId="0" xfId="42" applyNumberFormat="1" applyFont="1" applyFill="1" applyBorder="1" applyAlignment="1">
      <alignment horizontal="center"/>
    </xf>
    <xf numFmtId="164" fontId="19" fillId="0" borderId="0" xfId="23" applyNumberFormat="1" applyFont="1"/>
    <xf numFmtId="164" fontId="19" fillId="0" borderId="0" xfId="23" applyNumberFormat="1" applyFont="1" applyFill="1" applyBorder="1"/>
    <xf numFmtId="3" fontId="19" fillId="0" borderId="0" xfId="23" applyNumberFormat="1" applyFont="1" applyFill="1" applyBorder="1"/>
    <xf numFmtId="0" fontId="26" fillId="0" borderId="0" xfId="23" applyFont="1" applyFill="1"/>
    <xf numFmtId="3" fontId="26" fillId="0" borderId="0" xfId="23" applyNumberFormat="1" applyFont="1" applyFill="1" applyBorder="1"/>
    <xf numFmtId="164" fontId="19" fillId="0" borderId="0" xfId="23" applyNumberFormat="1" applyFont="1" applyFill="1"/>
    <xf numFmtId="164" fontId="19" fillId="0" borderId="0" xfId="23" applyNumberFormat="1" applyFont="1" applyAlignment="1">
      <alignment wrapText="1"/>
    </xf>
    <xf numFmtId="164" fontId="193" fillId="8" borderId="0" xfId="23" applyNumberFormat="1" applyFont="1" applyFill="1"/>
    <xf numFmtId="164" fontId="19" fillId="0" borderId="0" xfId="23" applyNumberFormat="1" applyFont="1" applyFill="1" applyAlignment="1">
      <alignment wrapText="1"/>
    </xf>
    <xf numFmtId="0" fontId="193" fillId="0" borderId="0" xfId="23" applyFont="1" applyFill="1"/>
    <xf numFmtId="0" fontId="19" fillId="0" borderId="0" xfId="1227" applyFont="1"/>
    <xf numFmtId="0" fontId="19" fillId="0" borderId="0" xfId="1227" applyFont="1" applyAlignment="1">
      <alignment horizontal="right"/>
    </xf>
    <xf numFmtId="0" fontId="19" fillId="0" borderId="0" xfId="1227" applyAlignment="1">
      <alignment horizontal="left"/>
    </xf>
    <xf numFmtId="3" fontId="19" fillId="0" borderId="0" xfId="23" applyNumberFormat="1" applyAlignment="1">
      <alignment horizontal="right"/>
    </xf>
    <xf numFmtId="0" fontId="194" fillId="0" borderId="0" xfId="1227" applyFont="1" applyAlignment="1">
      <alignment horizontal="center"/>
    </xf>
    <xf numFmtId="10" fontId="19" fillId="0" borderId="1" xfId="1227" applyNumberFormat="1" applyBorder="1"/>
    <xf numFmtId="166" fontId="0" fillId="0" borderId="1" xfId="1" applyNumberFormat="1" applyFont="1" applyBorder="1"/>
    <xf numFmtId="3" fontId="19" fillId="0" borderId="1" xfId="1227" applyNumberFormat="1" applyBorder="1"/>
    <xf numFmtId="3" fontId="34" fillId="0" borderId="49" xfId="23" applyNumberFormat="1" applyFont="1" applyFill="1" applyBorder="1" applyAlignment="1">
      <alignment horizontal="center"/>
    </xf>
    <xf numFmtId="0" fontId="19" fillId="0" borderId="0" xfId="23"/>
    <xf numFmtId="3" fontId="34" fillId="0" borderId="51" xfId="23" applyNumberFormat="1" applyFont="1" applyFill="1" applyBorder="1"/>
    <xf numFmtId="3" fontId="34" fillId="75" borderId="1" xfId="1" applyNumberFormat="1" applyFont="1" applyFill="1" applyBorder="1" applyAlignment="1">
      <alignment horizontal="center" vertical="center" wrapText="1"/>
    </xf>
    <xf numFmtId="3" fontId="78" fillId="0" borderId="0" xfId="41" applyNumberFormat="1" applyFont="1" applyFill="1" applyBorder="1"/>
    <xf numFmtId="10" fontId="0" fillId="75" borderId="0" xfId="42" applyNumberFormat="1" applyFont="1" applyFill="1" applyAlignment="1">
      <alignment horizontal="center"/>
    </xf>
    <xf numFmtId="0" fontId="19" fillId="75" borderId="0" xfId="23" applyFill="1"/>
    <xf numFmtId="3" fontId="19" fillId="75" borderId="0" xfId="23" applyNumberFormat="1" applyFill="1"/>
    <xf numFmtId="3" fontId="19" fillId="75" borderId="0" xfId="23" applyNumberFormat="1" applyFill="1" applyBorder="1"/>
    <xf numFmtId="164" fontId="193" fillId="75" borderId="0" xfId="23" applyNumberFormat="1" applyFont="1" applyFill="1"/>
    <xf numFmtId="228" fontId="19" fillId="75" borderId="0" xfId="1227" applyNumberFormat="1" applyFill="1"/>
    <xf numFmtId="0" fontId="196" fillId="0" borderId="0" xfId="1227" applyFont="1"/>
    <xf numFmtId="0" fontId="19" fillId="75" borderId="22" xfId="23" applyFill="1" applyBorder="1"/>
    <xf numFmtId="0" fontId="19" fillId="75" borderId="12" xfId="23" applyFill="1" applyBorder="1"/>
    <xf numFmtId="3" fontId="19" fillId="75" borderId="12" xfId="23" applyNumberFormat="1" applyFill="1" applyBorder="1"/>
    <xf numFmtId="164" fontId="193" fillId="75" borderId="21" xfId="23" applyNumberFormat="1" applyFont="1" applyFill="1" applyBorder="1"/>
    <xf numFmtId="0" fontId="19" fillId="75" borderId="0" xfId="1227" applyFill="1"/>
    <xf numFmtId="0" fontId="19" fillId="75" borderId="19" xfId="23" applyFill="1" applyBorder="1"/>
    <xf numFmtId="0" fontId="19" fillId="75" borderId="13" xfId="23" applyFill="1" applyBorder="1"/>
    <xf numFmtId="3" fontId="19" fillId="75" borderId="13" xfId="23" applyNumberFormat="1" applyFill="1" applyBorder="1"/>
    <xf numFmtId="164" fontId="193" fillId="75" borderId="20" xfId="23" applyNumberFormat="1" applyFont="1" applyFill="1" applyBorder="1"/>
    <xf numFmtId="0" fontId="194" fillId="75" borderId="0" xfId="1227" applyFont="1" applyFill="1" applyAlignment="1">
      <alignment horizontal="left"/>
    </xf>
    <xf numFmtId="0" fontId="26" fillId="75" borderId="0" xfId="1227" applyFont="1" applyFill="1"/>
    <xf numFmtId="166" fontId="26" fillId="75" borderId="1" xfId="1227" applyNumberFormat="1" applyFont="1" applyFill="1" applyBorder="1" applyAlignment="1">
      <alignment horizontal="left"/>
    </xf>
    <xf numFmtId="9" fontId="26" fillId="75" borderId="0" xfId="42" applyFont="1" applyFill="1"/>
    <xf numFmtId="37" fontId="20" fillId="75" borderId="0" xfId="23" applyNumberFormat="1" applyFont="1" applyFill="1" applyBorder="1" applyProtection="1">
      <protection locked="0"/>
    </xf>
    <xf numFmtId="37" fontId="20" fillId="75" borderId="0" xfId="40" applyNumberFormat="1" applyFont="1" applyFill="1"/>
    <xf numFmtId="0" fontId="20" fillId="75" borderId="0" xfId="23" applyFont="1" applyFill="1"/>
    <xf numFmtId="0" fontId="69" fillId="75" borderId="0" xfId="19" applyFill="1"/>
    <xf numFmtId="0" fontId="0" fillId="75" borderId="0" xfId="0" applyFill="1"/>
    <xf numFmtId="10" fontId="14" fillId="0" borderId="0" xfId="42" applyNumberFormat="1" applyFont="1" applyFill="1"/>
    <xf numFmtId="3" fontId="34" fillId="0" borderId="50" xfId="23" applyNumberFormat="1" applyFont="1" applyFill="1" applyBorder="1" applyAlignment="1">
      <alignment horizontal="center"/>
    </xf>
    <xf numFmtId="0" fontId="26" fillId="0" borderId="1" xfId="0" applyFont="1" applyBorder="1"/>
    <xf numFmtId="0" fontId="0" fillId="0" borderId="1" xfId="0" applyBorder="1"/>
    <xf numFmtId="10" fontId="0" fillId="0" borderId="0" xfId="0" applyNumberFormat="1"/>
    <xf numFmtId="3" fontId="34" fillId="0" borderId="0" xfId="23" applyNumberFormat="1" applyFont="1" applyFill="1" applyBorder="1" applyAlignment="1">
      <alignment wrapText="1"/>
    </xf>
    <xf numFmtId="3" fontId="34" fillId="0" borderId="0" xfId="0" applyNumberFormat="1" applyFont="1" applyFill="1" applyBorder="1" applyAlignment="1">
      <alignment wrapText="1"/>
    </xf>
    <xf numFmtId="10" fontId="91" fillId="0" borderId="25" xfId="0" applyNumberFormat="1" applyFont="1" applyFill="1" applyBorder="1"/>
    <xf numFmtId="0" fontId="21" fillId="0" borderId="66" xfId="0" applyFont="1" applyBorder="1" applyAlignment="1">
      <alignment horizontal="center"/>
    </xf>
    <xf numFmtId="3" fontId="77" fillId="0" borderId="24" xfId="41" applyNumberFormat="1" applyFont="1" applyBorder="1"/>
    <xf numFmtId="10" fontId="77" fillId="0" borderId="24" xfId="42" applyNumberFormat="1" applyFont="1" applyBorder="1"/>
    <xf numFmtId="0" fontId="38" fillId="0" borderId="1" xfId="0" applyFont="1" applyBorder="1"/>
    <xf numFmtId="10" fontId="26" fillId="0" borderId="52" xfId="0" applyNumberFormat="1" applyFont="1" applyFill="1" applyBorder="1"/>
    <xf numFmtId="10" fontId="0" fillId="0" borderId="0" xfId="42" applyNumberFormat="1" applyFont="1" applyFill="1"/>
    <xf numFmtId="37" fontId="19" fillId="0" borderId="0" xfId="0" applyNumberFormat="1" applyFont="1" applyFill="1"/>
    <xf numFmtId="0" fontId="0" fillId="0" borderId="13" xfId="0" applyBorder="1"/>
    <xf numFmtId="0" fontId="26" fillId="0" borderId="1" xfId="0" applyFont="1" applyBorder="1" applyAlignment="1">
      <alignment horizontal="center"/>
    </xf>
    <xf numFmtId="0" fontId="0" fillId="0" borderId="0" xfId="0" applyFill="1" applyBorder="1"/>
    <xf numFmtId="10" fontId="91" fillId="0" borderId="24" xfId="0" applyNumberFormat="1" applyFont="1" applyFill="1" applyBorder="1"/>
    <xf numFmtId="0" fontId="38" fillId="0" borderId="0" xfId="0" applyFont="1" applyFill="1" applyBorder="1"/>
    <xf numFmtId="5" fontId="38" fillId="0" borderId="0" xfId="0" applyNumberFormat="1" applyFont="1" applyFill="1" applyBorder="1"/>
    <xf numFmtId="0" fontId="38" fillId="0" borderId="0" xfId="0" applyFont="1" applyFill="1" applyBorder="1" applyAlignment="1">
      <alignment horizontal="center"/>
    </xf>
    <xf numFmtId="0" fontId="197" fillId="0" borderId="0" xfId="0" applyFont="1" applyFill="1" applyBorder="1" applyAlignment="1">
      <alignment horizontal="center"/>
    </xf>
    <xf numFmtId="5" fontId="39" fillId="0" borderId="0" xfId="0" applyNumberFormat="1" applyFont="1" applyFill="1" applyBorder="1"/>
    <xf numFmtId="0" fontId="0" fillId="0" borderId="0" xfId="0" quotePrefix="1" applyFill="1" applyBorder="1" applyAlignment="1">
      <alignment vertical="top"/>
    </xf>
    <xf numFmtId="0" fontId="26" fillId="0" borderId="1" xfId="1227" applyFont="1" applyBorder="1" applyAlignment="1">
      <alignment horizontal="center"/>
    </xf>
    <xf numFmtId="0" fontId="26" fillId="0" borderId="0" xfId="1227" applyFont="1"/>
    <xf numFmtId="166" fontId="19" fillId="0" borderId="67" xfId="1227" applyNumberFormat="1" applyBorder="1"/>
    <xf numFmtId="10" fontId="0" fillId="0" borderId="0" xfId="42" applyNumberFormat="1" applyFont="1"/>
    <xf numFmtId="0" fontId="19" fillId="0" borderId="1" xfId="1227" applyFont="1" applyBorder="1"/>
    <xf numFmtId="10" fontId="19" fillId="0" borderId="0" xfId="1227" applyNumberFormat="1"/>
    <xf numFmtId="0" fontId="19" fillId="0" borderId="13" xfId="1227" applyBorder="1"/>
    <xf numFmtId="0" fontId="26" fillId="0" borderId="1" xfId="1227" applyFont="1" applyBorder="1"/>
    <xf numFmtId="37" fontId="19" fillId="0" borderId="0" xfId="1227" applyNumberFormat="1"/>
    <xf numFmtId="3" fontId="26" fillId="0" borderId="1" xfId="1227" applyNumberFormat="1" applyFont="1" applyBorder="1"/>
    <xf numFmtId="229" fontId="19" fillId="0" borderId="0" xfId="1227" applyNumberFormat="1"/>
    <xf numFmtId="0" fontId="19" fillId="0" borderId="1" xfId="1227" applyBorder="1"/>
    <xf numFmtId="229" fontId="19" fillId="0" borderId="1" xfId="1227" applyNumberFormat="1" applyBorder="1"/>
    <xf numFmtId="10" fontId="19" fillId="0" borderId="0" xfId="1227" applyNumberFormat="1" applyBorder="1"/>
    <xf numFmtId="0" fontId="26" fillId="0" borderId="0" xfId="1227" applyFont="1" applyFill="1" applyBorder="1"/>
    <xf numFmtId="3" fontId="19" fillId="0" borderId="0" xfId="1227" applyNumberFormat="1"/>
    <xf numFmtId="0" fontId="19" fillId="8" borderId="0" xfId="1227" applyFill="1"/>
    <xf numFmtId="10" fontId="41" fillId="0" borderId="23" xfId="0" applyNumberFormat="1" applyFont="1" applyFill="1" applyBorder="1"/>
    <xf numFmtId="10" fontId="78" fillId="0" borderId="24" xfId="42" applyNumberFormat="1" applyFont="1" applyFill="1" applyBorder="1"/>
    <xf numFmtId="10" fontId="26" fillId="0" borderId="52" xfId="1227" applyNumberFormat="1" applyFont="1" applyFill="1" applyBorder="1"/>
    <xf numFmtId="0" fontId="94" fillId="0" borderId="0" xfId="0" applyFont="1" applyBorder="1" applyAlignment="1"/>
    <xf numFmtId="0" fontId="94" fillId="0" borderId="0" xfId="0" applyFont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197" fillId="0" borderId="0" xfId="0" applyFont="1" applyFill="1" applyBorder="1"/>
    <xf numFmtId="0" fontId="197" fillId="0" borderId="0" xfId="0" applyFont="1" applyBorder="1" applyAlignment="1">
      <alignment horizontal="center"/>
    </xf>
    <xf numFmtId="0" fontId="198" fillId="0" borderId="0" xfId="0" applyFont="1" applyFill="1" applyBorder="1" applyAlignment="1">
      <alignment horizontal="center" wrapText="1"/>
    </xf>
    <xf numFmtId="0" fontId="198" fillId="0" borderId="0" xfId="0" applyFont="1" applyFill="1" applyBorder="1" applyAlignment="1">
      <alignment horizontal="center"/>
    </xf>
    <xf numFmtId="0" fontId="95" fillId="0" borderId="0" xfId="0" applyFont="1" applyBorder="1"/>
    <xf numFmtId="0" fontId="26" fillId="0" borderId="0" xfId="0" applyFont="1" applyFill="1"/>
    <xf numFmtId="0" fontId="26" fillId="0" borderId="0" xfId="1227" applyFont="1" applyFill="1"/>
    <xf numFmtId="5" fontId="197" fillId="0" borderId="0" xfId="0" applyNumberFormat="1" applyFont="1" applyFill="1" applyBorder="1" applyAlignment="1">
      <alignment horizontal="center"/>
    </xf>
    <xf numFmtId="10" fontId="38" fillId="0" borderId="1" xfId="42" applyNumberFormat="1" applyFont="1" applyFill="1" applyBorder="1"/>
    <xf numFmtId="10" fontId="38" fillId="0" borderId="0" xfId="0" applyNumberFormat="1" applyFont="1" applyBorder="1"/>
    <xf numFmtId="10" fontId="34" fillId="75" borderId="52" xfId="42" applyNumberFormat="1" applyFont="1" applyFill="1" applyBorder="1" applyAlignment="1">
      <alignment horizontal="center"/>
    </xf>
    <xf numFmtId="168" fontId="34" fillId="75" borderId="52" xfId="10" applyNumberFormat="1" applyFont="1" applyFill="1" applyBorder="1"/>
    <xf numFmtId="168" fontId="34" fillId="75" borderId="52" xfId="10" applyNumberFormat="1" applyFont="1" applyFill="1" applyBorder="1" applyAlignment="1">
      <alignment horizontal="center"/>
    </xf>
    <xf numFmtId="168" fontId="60" fillId="75" borderId="52" xfId="10" applyNumberFormat="1" applyFont="1" applyFill="1" applyBorder="1"/>
    <xf numFmtId="3" fontId="34" fillId="0" borderId="1" xfId="23" applyNumberFormat="1" applyFont="1" applyFill="1" applyBorder="1" applyAlignment="1">
      <alignment horizontal="center" vertical="center" wrapText="1"/>
    </xf>
    <xf numFmtId="166" fontId="34" fillId="0" borderId="1" xfId="1" applyNumberFormat="1" applyFont="1" applyFill="1" applyBorder="1" applyAlignment="1">
      <alignment horizontal="center" vertical="center" wrapText="1"/>
    </xf>
    <xf numFmtId="166" fontId="195" fillId="0" borderId="1" xfId="1" applyNumberFormat="1" applyFont="1" applyFill="1" applyBorder="1" applyAlignment="1">
      <alignment horizontal="center" vertical="center" wrapText="1"/>
    </xf>
    <xf numFmtId="3" fontId="34" fillId="0" borderId="16" xfId="23" applyNumberFormat="1" applyFont="1" applyFill="1" applyBorder="1" applyAlignment="1">
      <alignment horizontal="center" vertical="center" wrapText="1"/>
    </xf>
    <xf numFmtId="3" fontId="34" fillId="75" borderId="16" xfId="1" applyNumberFormat="1" applyFont="1" applyFill="1" applyBorder="1" applyAlignment="1">
      <alignment horizontal="center" vertical="center" wrapText="1"/>
    </xf>
    <xf numFmtId="3" fontId="34" fillId="0" borderId="16" xfId="1" applyNumberFormat="1" applyFont="1" applyFill="1" applyBorder="1" applyAlignment="1">
      <alignment horizontal="center" vertical="center" wrapText="1"/>
    </xf>
    <xf numFmtId="0" fontId="26" fillId="75" borderId="1" xfId="1227" applyFont="1" applyFill="1" applyBorder="1" applyAlignment="1">
      <alignment horizontal="center"/>
    </xf>
    <xf numFmtId="166" fontId="0" fillId="75" borderId="0" xfId="1" applyNumberFormat="1" applyFont="1" applyFill="1"/>
    <xf numFmtId="0" fontId="26" fillId="75" borderId="1" xfId="0" applyFont="1" applyFill="1" applyBorder="1" applyAlignment="1">
      <alignment horizontal="center"/>
    </xf>
    <xf numFmtId="10" fontId="26" fillId="75" borderId="52" xfId="0" applyNumberFormat="1" applyFont="1" applyFill="1" applyBorder="1"/>
    <xf numFmtId="0" fontId="26" fillId="75" borderId="1" xfId="0" applyFont="1" applyFill="1" applyBorder="1"/>
    <xf numFmtId="168" fontId="34" fillId="75" borderId="52" xfId="11" applyNumberFormat="1" applyFont="1" applyFill="1" applyBorder="1"/>
    <xf numFmtId="10" fontId="60" fillId="0" borderId="18" xfId="42" applyNumberFormat="1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top" wrapText="1"/>
    </xf>
    <xf numFmtId="10" fontId="60" fillId="0" borderId="0" xfId="42" applyNumberFormat="1" applyFont="1" applyFill="1" applyBorder="1" applyAlignment="1">
      <alignment horizontal="center"/>
    </xf>
    <xf numFmtId="0" fontId="19" fillId="0" borderId="0" xfId="23" applyAlignment="1">
      <alignment horizontal="center"/>
    </xf>
    <xf numFmtId="168" fontId="0" fillId="0" borderId="0" xfId="10" applyNumberFormat="1" applyFont="1" applyBorder="1"/>
    <xf numFmtId="10" fontId="26" fillId="8" borderId="52" xfId="1227" applyNumberFormat="1" applyFont="1" applyFill="1" applyBorder="1"/>
    <xf numFmtId="168" fontId="0" fillId="0" borderId="0" xfId="10" applyNumberFormat="1" applyFont="1"/>
    <xf numFmtId="168" fontId="0" fillId="0" borderId="0" xfId="0" applyNumberFormat="1" applyBorder="1"/>
    <xf numFmtId="168" fontId="0" fillId="0" borderId="0" xfId="0" applyNumberFormat="1"/>
    <xf numFmtId="10" fontId="0" fillId="76" borderId="0" xfId="42" applyNumberFormat="1" applyFont="1" applyFill="1"/>
    <xf numFmtId="165" fontId="0" fillId="76" borderId="0" xfId="42" applyNumberFormat="1" applyFont="1" applyFill="1"/>
    <xf numFmtId="165" fontId="0" fillId="76" borderId="0" xfId="42" applyNumberFormat="1" applyFont="1" applyFill="1" applyBorder="1"/>
    <xf numFmtId="10" fontId="0" fillId="76" borderId="0" xfId="42" applyNumberFormat="1" applyFont="1" applyFill="1" applyBorder="1"/>
    <xf numFmtId="10" fontId="19" fillId="8" borderId="52" xfId="1227" applyNumberFormat="1" applyFill="1" applyBorder="1"/>
    <xf numFmtId="164" fontId="19" fillId="8" borderId="0" xfId="23" applyNumberFormat="1" applyFill="1"/>
    <xf numFmtId="164" fontId="19" fillId="0" borderId="36" xfId="23" applyNumberFormat="1" applyBorder="1"/>
    <xf numFmtId="3" fontId="19" fillId="0" borderId="36" xfId="23" applyNumberFormat="1" applyBorder="1"/>
    <xf numFmtId="0" fontId="19" fillId="0" borderId="6" xfId="23" applyFont="1" applyFill="1" applyBorder="1" applyAlignment="1">
      <alignment horizontal="center"/>
    </xf>
    <xf numFmtId="0" fontId="19" fillId="0" borderId="6" xfId="23" applyBorder="1" applyAlignment="1">
      <alignment horizontal="center"/>
    </xf>
    <xf numFmtId="0" fontId="22" fillId="0" borderId="6" xfId="23" applyFont="1" applyBorder="1" applyAlignment="1">
      <alignment horizontal="center"/>
    </xf>
    <xf numFmtId="10" fontId="0" fillId="0" borderId="6" xfId="42" applyNumberFormat="1" applyFont="1" applyBorder="1" applyAlignment="1">
      <alignment horizontal="center"/>
    </xf>
    <xf numFmtId="0" fontId="19" fillId="0" borderId="6" xfId="23" applyBorder="1"/>
    <xf numFmtId="164" fontId="19" fillId="0" borderId="6" xfId="23" applyNumberFormat="1" applyBorder="1"/>
    <xf numFmtId="3" fontId="19" fillId="0" borderId="6" xfId="23" applyNumberFormat="1" applyBorder="1"/>
    <xf numFmtId="3" fontId="19" fillId="0" borderId="4" xfId="23" applyNumberFormat="1" applyBorder="1"/>
    <xf numFmtId="3" fontId="19" fillId="75" borderId="6" xfId="23" applyNumberFormat="1" applyFill="1" applyBorder="1"/>
    <xf numFmtId="3" fontId="19" fillId="75" borderId="4" xfId="23" applyNumberFormat="1" applyFill="1" applyBorder="1"/>
    <xf numFmtId="0" fontId="193" fillId="8" borderId="0" xfId="23" applyFont="1" applyFill="1" applyAlignment="1">
      <alignment horizontal="center"/>
    </xf>
    <xf numFmtId="164" fontId="19" fillId="0" borderId="6" xfId="23" applyNumberFormat="1" applyFill="1" applyBorder="1"/>
    <xf numFmtId="3" fontId="19" fillId="0" borderId="6" xfId="23" applyNumberFormat="1" applyFill="1" applyBorder="1"/>
    <xf numFmtId="164" fontId="19" fillId="75" borderId="0" xfId="23" applyNumberFormat="1" applyFont="1" applyFill="1"/>
    <xf numFmtId="10" fontId="26" fillId="0" borderId="0" xfId="0" applyNumberFormat="1" applyFont="1" applyFill="1" applyBorder="1"/>
    <xf numFmtId="0" fontId="19" fillId="0" borderId="1" xfId="0" applyFont="1" applyBorder="1" applyAlignment="1">
      <alignment horizontal="center"/>
    </xf>
    <xf numFmtId="10" fontId="0" fillId="8" borderId="52" xfId="0" applyNumberFormat="1" applyFill="1" applyBorder="1"/>
    <xf numFmtId="172" fontId="20" fillId="0" borderId="23" xfId="23" applyNumberFormat="1" applyFont="1" applyFill="1" applyBorder="1" applyAlignment="1">
      <alignment horizontal="center"/>
    </xf>
    <xf numFmtId="3" fontId="34" fillId="8" borderId="52" xfId="23" applyNumberFormat="1" applyFont="1" applyFill="1" applyBorder="1" applyAlignment="1">
      <alignment horizontal="center"/>
    </xf>
    <xf numFmtId="168" fontId="34" fillId="8" borderId="52" xfId="10" applyNumberFormat="1" applyFont="1" applyFill="1" applyBorder="1" applyAlignment="1">
      <alignment horizontal="center"/>
    </xf>
    <xf numFmtId="168" fontId="34" fillId="8" borderId="0" xfId="23" applyNumberFormat="1" applyFont="1" applyFill="1"/>
    <xf numFmtId="5" fontId="38" fillId="8" borderId="52" xfId="0" applyNumberFormat="1" applyFont="1" applyFill="1" applyBorder="1"/>
    <xf numFmtId="0" fontId="38" fillId="0" borderId="1" xfId="0" applyFont="1" applyBorder="1" applyAlignment="1">
      <alignment horizontal="center"/>
    </xf>
    <xf numFmtId="10" fontId="39" fillId="0" borderId="1" xfId="42" applyNumberFormat="1" applyFont="1" applyBorder="1"/>
    <xf numFmtId="10" fontId="38" fillId="0" borderId="1" xfId="42" applyNumberFormat="1" applyFont="1" applyBorder="1"/>
    <xf numFmtId="10" fontId="38" fillId="0" borderId="0" xfId="42" applyNumberFormat="1" applyFont="1" applyFill="1" applyBorder="1"/>
    <xf numFmtId="0" fontId="38" fillId="0" borderId="1" xfId="0" applyFont="1" applyFill="1" applyBorder="1" applyAlignment="1">
      <alignment horizontal="center"/>
    </xf>
    <xf numFmtId="5" fontId="38" fillId="0" borderId="1" xfId="0" applyNumberFormat="1" applyFont="1" applyFill="1" applyBorder="1"/>
    <xf numFmtId="185" fontId="38" fillId="0" borderId="1" xfId="0" applyNumberFormat="1" applyFont="1" applyBorder="1"/>
    <xf numFmtId="3" fontId="20" fillId="0" borderId="16" xfId="23" applyNumberFormat="1" applyFont="1" applyFill="1" applyBorder="1"/>
    <xf numFmtId="0" fontId="38" fillId="0" borderId="68" xfId="0" applyFont="1" applyBorder="1"/>
    <xf numFmtId="168" fontId="60" fillId="8" borderId="52" xfId="10" applyNumberFormat="1" applyFont="1" applyFill="1" applyBorder="1"/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horizontal="center"/>
    </xf>
    <xf numFmtId="168" fontId="34" fillId="77" borderId="52" xfId="10" applyNumberFormat="1" applyFont="1" applyFill="1" applyBorder="1" applyAlignment="1">
      <alignment horizontal="center"/>
    </xf>
    <xf numFmtId="168" fontId="34" fillId="77" borderId="52" xfId="10" applyNumberFormat="1" applyFont="1" applyFill="1" applyBorder="1"/>
    <xf numFmtId="0" fontId="69" fillId="0" borderId="1" xfId="19" applyBorder="1"/>
    <xf numFmtId="0" fontId="39" fillId="0" borderId="0" xfId="0" applyFont="1" applyFill="1" applyAlignment="1">
      <alignment horizontal="center"/>
    </xf>
    <xf numFmtId="0" fontId="39" fillId="0" borderId="14" xfId="0" applyFont="1" applyBorder="1" applyAlignment="1">
      <alignment horizontal="center"/>
    </xf>
    <xf numFmtId="0" fontId="88" fillId="0" borderId="18" xfId="0" applyFont="1" applyBorder="1" applyAlignment="1">
      <alignment horizontal="center"/>
    </xf>
    <xf numFmtId="0" fontId="39" fillId="0" borderId="71" xfId="0" applyFont="1" applyBorder="1" applyAlignment="1">
      <alignment horizontal="center"/>
    </xf>
    <xf numFmtId="0" fontId="88" fillId="0" borderId="68" xfId="0" applyFont="1" applyBorder="1" applyAlignment="1">
      <alignment horizontal="center"/>
    </xf>
    <xf numFmtId="0" fontId="38" fillId="0" borderId="14" xfId="0" applyFont="1" applyBorder="1"/>
    <xf numFmtId="0" fontId="69" fillId="0" borderId="0" xfId="19" applyBorder="1"/>
    <xf numFmtId="0" fontId="89" fillId="0" borderId="18" xfId="0" applyFont="1" applyBorder="1"/>
    <xf numFmtId="0" fontId="38" fillId="0" borderId="14" xfId="0" applyFont="1" applyBorder="1" applyAlignment="1">
      <alignment horizontal="center"/>
    </xf>
    <xf numFmtId="0" fontId="39" fillId="0" borderId="0" xfId="0" applyFont="1" applyBorder="1"/>
    <xf numFmtId="183" fontId="89" fillId="0" borderId="18" xfId="0" applyNumberFormat="1" applyFont="1" applyBorder="1"/>
    <xf numFmtId="183" fontId="39" fillId="0" borderId="0" xfId="0" applyNumberFormat="1" applyFont="1" applyBorder="1"/>
    <xf numFmtId="183" fontId="38" fillId="0" borderId="0" xfId="0" applyNumberFormat="1" applyFont="1" applyBorder="1"/>
    <xf numFmtId="183" fontId="38" fillId="0" borderId="18" xfId="0" applyNumberFormat="1" applyFont="1" applyBorder="1"/>
    <xf numFmtId="183" fontId="89" fillId="0" borderId="72" xfId="0" applyNumberFormat="1" applyFont="1" applyBorder="1"/>
    <xf numFmtId="10" fontId="90" fillId="0" borderId="0" xfId="0" applyNumberFormat="1" applyFont="1" applyBorder="1"/>
    <xf numFmtId="183" fontId="89" fillId="0" borderId="68" xfId="0" applyNumberFormat="1" applyFont="1" applyBorder="1"/>
    <xf numFmtId="183" fontId="89" fillId="75" borderId="73" xfId="0" applyNumberFormat="1" applyFont="1" applyFill="1" applyBorder="1"/>
    <xf numFmtId="0" fontId="69" fillId="0" borderId="19" xfId="19" applyBorder="1"/>
    <xf numFmtId="0" fontId="69" fillId="0" borderId="13" xfId="19" applyBorder="1"/>
    <xf numFmtId="0" fontId="69" fillId="0" borderId="20" xfId="19" applyBorder="1"/>
    <xf numFmtId="0" fontId="0" fillId="0" borderId="0" xfId="0" applyBorder="1" applyAlignment="1">
      <alignment horizontal="center"/>
    </xf>
    <xf numFmtId="0" fontId="94" fillId="8" borderId="69" xfId="0" applyFont="1" applyFill="1" applyBorder="1" applyAlignment="1">
      <alignment horizontal="center"/>
    </xf>
    <xf numFmtId="0" fontId="94" fillId="8" borderId="2" xfId="0" applyFont="1" applyFill="1" applyBorder="1" applyAlignment="1">
      <alignment horizontal="center"/>
    </xf>
    <xf numFmtId="0" fontId="94" fillId="8" borderId="70" xfId="0" applyFont="1" applyFill="1" applyBorder="1" applyAlignment="1">
      <alignment horizontal="center"/>
    </xf>
    <xf numFmtId="0" fontId="39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94" fillId="75" borderId="0" xfId="0" applyFont="1" applyFill="1" applyAlignment="1">
      <alignment horizontal="center"/>
    </xf>
    <xf numFmtId="0" fontId="94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" xfId="0" applyFont="1" applyBorder="1" applyAlignment="1">
      <alignment horizontal="center" wrapText="1"/>
    </xf>
    <xf numFmtId="0" fontId="39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195" fillId="0" borderId="0" xfId="0" applyFont="1" applyAlignment="1">
      <alignment horizontal="center"/>
    </xf>
    <xf numFmtId="0" fontId="39" fillId="0" borderId="0" xfId="19" applyFont="1" applyAlignment="1">
      <alignment horizontal="center"/>
    </xf>
    <xf numFmtId="0" fontId="39" fillId="75" borderId="49" xfId="19" applyFont="1" applyFill="1" applyBorder="1" applyAlignment="1">
      <alignment horizontal="center"/>
    </xf>
    <xf numFmtId="0" fontId="39" fillId="75" borderId="50" xfId="19" applyFont="1" applyFill="1" applyBorder="1" applyAlignment="1">
      <alignment horizontal="center"/>
    </xf>
    <xf numFmtId="0" fontId="39" fillId="75" borderId="51" xfId="19" applyFont="1" applyFill="1" applyBorder="1" applyAlignment="1">
      <alignment horizontal="center"/>
    </xf>
    <xf numFmtId="0" fontId="39" fillId="0" borderId="14" xfId="19" applyFont="1" applyBorder="1" applyAlignment="1">
      <alignment horizontal="center"/>
    </xf>
    <xf numFmtId="0" fontId="39" fillId="0" borderId="0" xfId="19" applyFont="1" applyBorder="1" applyAlignment="1">
      <alignment horizontal="center"/>
    </xf>
    <xf numFmtId="0" fontId="39" fillId="0" borderId="18" xfId="19" applyFont="1" applyBorder="1" applyAlignment="1">
      <alignment horizontal="center"/>
    </xf>
    <xf numFmtId="0" fontId="39" fillId="0" borderId="19" xfId="19" applyFont="1" applyBorder="1" applyAlignment="1">
      <alignment horizontal="center"/>
    </xf>
    <xf numFmtId="0" fontId="39" fillId="0" borderId="13" xfId="19" applyFont="1" applyBorder="1" applyAlignment="1">
      <alignment horizontal="center"/>
    </xf>
    <xf numFmtId="0" fontId="39" fillId="0" borderId="20" xfId="19" applyFont="1" applyBorder="1" applyAlignment="1">
      <alignment horizontal="center"/>
    </xf>
    <xf numFmtId="0" fontId="94" fillId="0" borderId="0" xfId="0" applyFont="1" applyFill="1" applyAlignment="1">
      <alignment horizontal="center"/>
    </xf>
    <xf numFmtId="0" fontId="201" fillId="75" borderId="49" xfId="19" applyFont="1" applyFill="1" applyBorder="1" applyAlignment="1">
      <alignment horizontal="center"/>
    </xf>
    <xf numFmtId="0" fontId="201" fillId="75" borderId="50" xfId="19" applyFont="1" applyFill="1" applyBorder="1" applyAlignment="1">
      <alignment horizontal="center"/>
    </xf>
    <xf numFmtId="0" fontId="201" fillId="75" borderId="51" xfId="19" applyFont="1" applyFill="1" applyBorder="1" applyAlignment="1">
      <alignment horizontal="center"/>
    </xf>
    <xf numFmtId="0" fontId="201" fillId="0" borderId="14" xfId="19" applyFont="1" applyBorder="1" applyAlignment="1">
      <alignment horizontal="center"/>
    </xf>
    <xf numFmtId="0" fontId="201" fillId="0" borderId="0" xfId="19" applyFont="1" applyBorder="1" applyAlignment="1">
      <alignment horizontal="center"/>
    </xf>
    <xf numFmtId="0" fontId="201" fillId="0" borderId="18" xfId="19" applyFont="1" applyBorder="1" applyAlignment="1">
      <alignment horizontal="center"/>
    </xf>
    <xf numFmtId="0" fontId="201" fillId="0" borderId="19" xfId="19" applyFont="1" applyBorder="1" applyAlignment="1">
      <alignment horizontal="center"/>
    </xf>
    <xf numFmtId="0" fontId="201" fillId="0" borderId="13" xfId="19" applyFont="1" applyBorder="1" applyAlignment="1">
      <alignment horizontal="center"/>
    </xf>
    <xf numFmtId="0" fontId="201" fillId="0" borderId="20" xfId="19" applyFont="1" applyBorder="1" applyAlignment="1">
      <alignment horizontal="center"/>
    </xf>
    <xf numFmtId="172" fontId="34" fillId="75" borderId="0" xfId="23" applyNumberFormat="1" applyFont="1" applyFill="1" applyBorder="1" applyAlignment="1">
      <alignment horizontal="left" vertical="top" wrapText="1"/>
    </xf>
    <xf numFmtId="172" fontId="34" fillId="75" borderId="13" xfId="23" applyNumberFormat="1" applyFont="1" applyFill="1" applyBorder="1" applyAlignment="1">
      <alignment horizontal="left" vertical="top" wrapText="1"/>
    </xf>
    <xf numFmtId="3" fontId="34" fillId="0" borderId="49" xfId="23" applyNumberFormat="1" applyFont="1" applyFill="1" applyBorder="1" applyAlignment="1">
      <alignment horizontal="center"/>
    </xf>
    <xf numFmtId="3" fontId="34" fillId="0" borderId="50" xfId="23" applyNumberFormat="1" applyFont="1" applyFill="1" applyBorder="1" applyAlignment="1">
      <alignment horizontal="center"/>
    </xf>
    <xf numFmtId="3" fontId="34" fillId="0" borderId="51" xfId="23" applyNumberFormat="1" applyFont="1" applyFill="1" applyBorder="1" applyAlignment="1">
      <alignment horizontal="center"/>
    </xf>
    <xf numFmtId="3" fontId="34" fillId="0" borderId="49" xfId="23" applyNumberFormat="1" applyFont="1" applyFill="1" applyBorder="1" applyAlignment="1">
      <alignment horizontal="left"/>
    </xf>
    <xf numFmtId="3" fontId="34" fillId="0" borderId="50" xfId="23" applyNumberFormat="1" applyFont="1" applyFill="1" applyBorder="1" applyAlignment="1">
      <alignment horizontal="left"/>
    </xf>
    <xf numFmtId="3" fontId="33" fillId="0" borderId="0" xfId="23" applyNumberFormat="1" applyFont="1" applyFill="1" applyBorder="1" applyAlignment="1">
      <alignment horizontal="center"/>
    </xf>
    <xf numFmtId="3" fontId="93" fillId="0" borderId="13" xfId="23" applyNumberFormat="1" applyFont="1" applyFill="1" applyBorder="1" applyAlignment="1">
      <alignment horizontal="center"/>
    </xf>
    <xf numFmtId="3" fontId="93" fillId="0" borderId="0" xfId="23" applyNumberFormat="1" applyFont="1" applyFill="1" applyBorder="1" applyAlignment="1">
      <alignment horizontal="center"/>
    </xf>
    <xf numFmtId="0" fontId="0" fillId="0" borderId="50" xfId="0" applyBorder="1" applyAlignment="1"/>
    <xf numFmtId="10" fontId="60" fillId="0" borderId="0" xfId="42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3" fontId="93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Border="1" applyAlignment="1">
      <alignment horizontal="center"/>
    </xf>
    <xf numFmtId="3" fontId="60" fillId="0" borderId="0" xfId="0" applyNumberFormat="1" applyFont="1" applyFill="1" applyBorder="1" applyAlignment="1">
      <alignment horizontal="center"/>
    </xf>
    <xf numFmtId="3" fontId="34" fillId="0" borderId="0" xfId="0" applyNumberFormat="1" applyFont="1" applyFill="1" applyBorder="1" applyAlignment="1">
      <alignment horizontal="center"/>
    </xf>
    <xf numFmtId="0" fontId="194" fillId="75" borderId="0" xfId="0" applyFont="1" applyFill="1" applyAlignment="1">
      <alignment horizontal="left"/>
    </xf>
    <xf numFmtId="0" fontId="194" fillId="75" borderId="0" xfId="1227" applyFont="1" applyFill="1" applyAlignment="1">
      <alignment horizontal="left"/>
    </xf>
    <xf numFmtId="0" fontId="68" fillId="0" borderId="13" xfId="143" applyFont="1" applyFill="1" applyBorder="1" applyAlignment="1">
      <alignment horizontal="center"/>
    </xf>
    <xf numFmtId="0" fontId="41" fillId="0" borderId="0" xfId="23" applyFont="1" applyAlignment="1">
      <alignment wrapText="1"/>
    </xf>
    <xf numFmtId="7" fontId="51" fillId="0" borderId="0" xfId="23" applyNumberFormat="1" applyFont="1" applyAlignment="1">
      <alignment wrapText="1"/>
    </xf>
    <xf numFmtId="0" fontId="19" fillId="0" borderId="0" xfId="23"/>
    <xf numFmtId="0" fontId="63" fillId="0" borderId="0" xfId="36" applyFont="1" applyAlignment="1">
      <alignment horizontal="center" wrapText="1"/>
    </xf>
    <xf numFmtId="0" fontId="72" fillId="0" borderId="0" xfId="36" applyAlignment="1">
      <alignment horizontal="center"/>
    </xf>
    <xf numFmtId="0" fontId="19" fillId="0" borderId="0" xfId="23" applyAlignment="1">
      <alignment horizontal="center"/>
    </xf>
    <xf numFmtId="0" fontId="19" fillId="0" borderId="0" xfId="23" applyFont="1" applyBorder="1" applyAlignment="1">
      <alignment horizontal="center"/>
    </xf>
    <xf numFmtId="0" fontId="19" fillId="0" borderId="0" xfId="23" applyFont="1" applyFill="1" applyBorder="1" applyAlignment="1">
      <alignment horizontal="center"/>
    </xf>
    <xf numFmtId="0" fontId="19" fillId="0" borderId="1" xfId="23" applyFont="1" applyFill="1" applyBorder="1" applyAlignment="1">
      <alignment horizontal="center"/>
    </xf>
    <xf numFmtId="0" fontId="19" fillId="0" borderId="1" xfId="23" applyFill="1" applyBorder="1" applyAlignment="1">
      <alignment horizontal="center"/>
    </xf>
  </cellXfs>
  <cellStyles count="23329">
    <cellStyle name="%" xfId="23130"/>
    <cellStyle name="% 2" xfId="23131"/>
    <cellStyle name="20% - Accent1" xfId="169" builtinId="30" customBuiltin="1"/>
    <cellStyle name="20% - Accent1 10" xfId="715"/>
    <cellStyle name="20% - Accent1 10 2" xfId="1060"/>
    <cellStyle name="20% - Accent1 10 3" xfId="22680"/>
    <cellStyle name="20% - Accent1 10 4" xfId="23023"/>
    <cellStyle name="20% - Accent1 11" xfId="743"/>
    <cellStyle name="20% - Accent1 11 2" xfId="1076"/>
    <cellStyle name="20% - Accent1 11 3" xfId="22707"/>
    <cellStyle name="20% - Accent1 11 4" xfId="23039"/>
    <cellStyle name="20% - Accent1 12" xfId="769"/>
    <cellStyle name="20% - Accent1 12 2" xfId="1092"/>
    <cellStyle name="20% - Accent1 12 3" xfId="22731"/>
    <cellStyle name="20% - Accent1 12 4" xfId="23055"/>
    <cellStyle name="20% - Accent1 13" xfId="794"/>
    <cellStyle name="20% - Accent1 13 2" xfId="1108"/>
    <cellStyle name="20% - Accent1 13 3" xfId="22709"/>
    <cellStyle name="20% - Accent1 13 4" xfId="23071"/>
    <cellStyle name="20% - Accent1 14" xfId="816"/>
    <cellStyle name="20% - Accent1 14 2" xfId="1124"/>
    <cellStyle name="20% - Accent1 14 3" xfId="22675"/>
    <cellStyle name="20% - Accent1 14 4" xfId="23087"/>
    <cellStyle name="20% - Accent1 15" xfId="832"/>
    <cellStyle name="20% - Accent1 15 2" xfId="1140"/>
    <cellStyle name="20% - Accent1 15 3" xfId="22667"/>
    <cellStyle name="20% - Accent1 15 4" xfId="23103"/>
    <cellStyle name="20% - Accent1 16" xfId="856"/>
    <cellStyle name="20% - Accent1 17" xfId="22819"/>
    <cellStyle name="20% - Accent1 2" xfId="487"/>
    <cellStyle name="20% - Accent1 2 2" xfId="932"/>
    <cellStyle name="20% - Accent1 2 2 2" xfId="6393"/>
    <cellStyle name="20% - Accent1 2 2 2 2" xfId="9479"/>
    <cellStyle name="20% - Accent1 2 2 2 2 2" xfId="15672"/>
    <cellStyle name="20% - Accent1 2 2 2 2 3" xfId="21824"/>
    <cellStyle name="20% - Accent1 2 2 2 3" xfId="12606"/>
    <cellStyle name="20% - Accent1 2 2 2 4" xfId="18758"/>
    <cellStyle name="20% - Accent1 2 2 3" xfId="7944"/>
    <cellStyle name="20% - Accent1 2 2 3 2" xfId="14138"/>
    <cellStyle name="20% - Accent1 2 2 3 3" xfId="20290"/>
    <cellStyle name="20% - Accent1 2 2 4" xfId="11072"/>
    <cellStyle name="20% - Accent1 2 2 5" xfId="17224"/>
    <cellStyle name="20% - Accent1 2 2 6" xfId="4768"/>
    <cellStyle name="20% - Accent1 2 3" xfId="5607"/>
    <cellStyle name="20% - Accent1 2 3 2" xfId="8710"/>
    <cellStyle name="20% - Accent1 2 3 2 2" xfId="14903"/>
    <cellStyle name="20% - Accent1 2 3 2 3" xfId="21055"/>
    <cellStyle name="20% - Accent1 2 3 3" xfId="11837"/>
    <cellStyle name="20% - Accent1 2 3 4" xfId="17989"/>
    <cellStyle name="20% - Accent1 2 4" xfId="7175"/>
    <cellStyle name="20% - Accent1 2 4 2" xfId="13369"/>
    <cellStyle name="20% - Accent1 2 4 3" xfId="19521"/>
    <cellStyle name="20% - Accent1 2 5" xfId="10303"/>
    <cellStyle name="20% - Accent1 2 6" xfId="16455"/>
    <cellStyle name="20% - Accent1 2 7" xfId="1328"/>
    <cellStyle name="20% - Accent1 2 8" xfId="22895"/>
    <cellStyle name="20% - Accent1 3" xfId="518"/>
    <cellStyle name="20% - Accent1 3 2" xfId="948"/>
    <cellStyle name="20% - Accent1 3 2 2" xfId="6394"/>
    <cellStyle name="20% - Accent1 3 2 2 2" xfId="9480"/>
    <cellStyle name="20% - Accent1 3 2 2 2 2" xfId="15673"/>
    <cellStyle name="20% - Accent1 3 2 2 2 3" xfId="21825"/>
    <cellStyle name="20% - Accent1 3 2 2 3" xfId="12607"/>
    <cellStyle name="20% - Accent1 3 2 2 4" xfId="18759"/>
    <cellStyle name="20% - Accent1 3 2 3" xfId="7945"/>
    <cellStyle name="20% - Accent1 3 2 3 2" xfId="14139"/>
    <cellStyle name="20% - Accent1 3 2 3 3" xfId="20291"/>
    <cellStyle name="20% - Accent1 3 2 4" xfId="11073"/>
    <cellStyle name="20% - Accent1 3 2 5" xfId="17225"/>
    <cellStyle name="20% - Accent1 3 2 6" xfId="4769"/>
    <cellStyle name="20% - Accent1 3 3" xfId="5608"/>
    <cellStyle name="20% - Accent1 3 3 2" xfId="8711"/>
    <cellStyle name="20% - Accent1 3 3 2 2" xfId="14904"/>
    <cellStyle name="20% - Accent1 3 3 2 3" xfId="21056"/>
    <cellStyle name="20% - Accent1 3 3 3" xfId="11838"/>
    <cellStyle name="20% - Accent1 3 3 4" xfId="17990"/>
    <cellStyle name="20% - Accent1 3 4" xfId="7176"/>
    <cellStyle name="20% - Accent1 3 4 2" xfId="13370"/>
    <cellStyle name="20% - Accent1 3 4 3" xfId="19522"/>
    <cellStyle name="20% - Accent1 3 5" xfId="10304"/>
    <cellStyle name="20% - Accent1 3 6" xfId="16456"/>
    <cellStyle name="20% - Accent1 3 7" xfId="1329"/>
    <cellStyle name="20% - Accent1 3 8" xfId="22911"/>
    <cellStyle name="20% - Accent1 4" xfId="546"/>
    <cellStyle name="20% - Accent1 4 2" xfId="964"/>
    <cellStyle name="20% - Accent1 4 2 2" xfId="6395"/>
    <cellStyle name="20% - Accent1 4 2 2 2" xfId="9481"/>
    <cellStyle name="20% - Accent1 4 2 2 2 2" xfId="15674"/>
    <cellStyle name="20% - Accent1 4 2 2 2 3" xfId="21826"/>
    <cellStyle name="20% - Accent1 4 2 2 3" xfId="12608"/>
    <cellStyle name="20% - Accent1 4 2 2 4" xfId="18760"/>
    <cellStyle name="20% - Accent1 4 2 3" xfId="7946"/>
    <cellStyle name="20% - Accent1 4 2 3 2" xfId="14140"/>
    <cellStyle name="20% - Accent1 4 2 3 3" xfId="20292"/>
    <cellStyle name="20% - Accent1 4 2 4" xfId="11074"/>
    <cellStyle name="20% - Accent1 4 2 5" xfId="17226"/>
    <cellStyle name="20% - Accent1 4 2 6" xfId="4770"/>
    <cellStyle name="20% - Accent1 4 3" xfId="5609"/>
    <cellStyle name="20% - Accent1 4 3 2" xfId="8712"/>
    <cellStyle name="20% - Accent1 4 3 2 2" xfId="14905"/>
    <cellStyle name="20% - Accent1 4 3 2 3" xfId="21057"/>
    <cellStyle name="20% - Accent1 4 3 3" xfId="11839"/>
    <cellStyle name="20% - Accent1 4 3 4" xfId="17991"/>
    <cellStyle name="20% - Accent1 4 4" xfId="7177"/>
    <cellStyle name="20% - Accent1 4 4 2" xfId="13371"/>
    <cellStyle name="20% - Accent1 4 4 3" xfId="19523"/>
    <cellStyle name="20% - Accent1 4 5" xfId="10305"/>
    <cellStyle name="20% - Accent1 4 6" xfId="16457"/>
    <cellStyle name="20% - Accent1 4 7" xfId="1330"/>
    <cellStyle name="20% - Accent1 4 8" xfId="22927"/>
    <cellStyle name="20% - Accent1 5" xfId="573"/>
    <cellStyle name="20% - Accent1 5 2" xfId="980"/>
    <cellStyle name="20% - Accent1 5 2 2" xfId="6396"/>
    <cellStyle name="20% - Accent1 5 2 2 2" xfId="9482"/>
    <cellStyle name="20% - Accent1 5 2 2 2 2" xfId="15675"/>
    <cellStyle name="20% - Accent1 5 2 2 2 3" xfId="21827"/>
    <cellStyle name="20% - Accent1 5 2 2 3" xfId="12609"/>
    <cellStyle name="20% - Accent1 5 2 2 4" xfId="18761"/>
    <cellStyle name="20% - Accent1 5 2 3" xfId="7947"/>
    <cellStyle name="20% - Accent1 5 2 3 2" xfId="14141"/>
    <cellStyle name="20% - Accent1 5 2 3 3" xfId="20293"/>
    <cellStyle name="20% - Accent1 5 2 4" xfId="11075"/>
    <cellStyle name="20% - Accent1 5 2 5" xfId="17227"/>
    <cellStyle name="20% - Accent1 5 2 6" xfId="4771"/>
    <cellStyle name="20% - Accent1 5 3" xfId="5610"/>
    <cellStyle name="20% - Accent1 5 3 2" xfId="8713"/>
    <cellStyle name="20% - Accent1 5 3 2 2" xfId="14906"/>
    <cellStyle name="20% - Accent1 5 3 2 3" xfId="21058"/>
    <cellStyle name="20% - Accent1 5 3 3" xfId="11840"/>
    <cellStyle name="20% - Accent1 5 3 4" xfId="17992"/>
    <cellStyle name="20% - Accent1 5 4" xfId="7178"/>
    <cellStyle name="20% - Accent1 5 4 2" xfId="13372"/>
    <cellStyle name="20% - Accent1 5 4 3" xfId="19524"/>
    <cellStyle name="20% - Accent1 5 5" xfId="10306"/>
    <cellStyle name="20% - Accent1 5 6" xfId="16458"/>
    <cellStyle name="20% - Accent1 5 7" xfId="1331"/>
    <cellStyle name="20% - Accent1 5 8" xfId="22749"/>
    <cellStyle name="20% - Accent1 5 9" xfId="22943"/>
    <cellStyle name="20% - Accent1 6" xfId="600"/>
    <cellStyle name="20% - Accent1 6 2" xfId="996"/>
    <cellStyle name="20% - Accent1 6 3" xfId="1332"/>
    <cellStyle name="20% - Accent1 6 4" xfId="22766"/>
    <cellStyle name="20% - Accent1 6 5" xfId="22959"/>
    <cellStyle name="20% - Accent1 7" xfId="624"/>
    <cellStyle name="20% - Accent1 7 2" xfId="1012"/>
    <cellStyle name="20% - Accent1 7 3" xfId="22598"/>
    <cellStyle name="20% - Accent1 7 4" xfId="22975"/>
    <cellStyle name="20% - Accent1 8" xfId="648"/>
    <cellStyle name="20% - Accent1 8 2" xfId="1028"/>
    <cellStyle name="20% - Accent1 8 3" xfId="22814"/>
    <cellStyle name="20% - Accent1 8 4" xfId="22991"/>
    <cellStyle name="20% - Accent1 9" xfId="686"/>
    <cellStyle name="20% - Accent1 9 2" xfId="1044"/>
    <cellStyle name="20% - Accent1 9 3" xfId="22774"/>
    <cellStyle name="20% - Accent1 9 4" xfId="23007"/>
    <cellStyle name="20% - Accent2" xfId="173" builtinId="34" customBuiltin="1"/>
    <cellStyle name="20% - Accent2 10" xfId="718"/>
    <cellStyle name="20% - Accent2 10 2" xfId="1062"/>
    <cellStyle name="20% - Accent2 10 3" xfId="22641"/>
    <cellStyle name="20% - Accent2 10 4" xfId="23025"/>
    <cellStyle name="20% - Accent2 11" xfId="746"/>
    <cellStyle name="20% - Accent2 11 2" xfId="1078"/>
    <cellStyle name="20% - Accent2 11 3" xfId="22768"/>
    <cellStyle name="20% - Accent2 11 4" xfId="23041"/>
    <cellStyle name="20% - Accent2 12" xfId="772"/>
    <cellStyle name="20% - Accent2 12 2" xfId="1094"/>
    <cellStyle name="20% - Accent2 12 3" xfId="22739"/>
    <cellStyle name="20% - Accent2 12 4" xfId="23057"/>
    <cellStyle name="20% - Accent2 13" xfId="796"/>
    <cellStyle name="20% - Accent2 13 2" xfId="1110"/>
    <cellStyle name="20% - Accent2 13 3" xfId="22770"/>
    <cellStyle name="20% - Accent2 13 4" xfId="23073"/>
    <cellStyle name="20% - Accent2 14" xfId="818"/>
    <cellStyle name="20% - Accent2 14 2" xfId="1126"/>
    <cellStyle name="20% - Accent2 14 3" xfId="22601"/>
    <cellStyle name="20% - Accent2 14 4" xfId="23089"/>
    <cellStyle name="20% - Accent2 15" xfId="834"/>
    <cellStyle name="20% - Accent2 15 2" xfId="1142"/>
    <cellStyle name="20% - Accent2 15 3" xfId="22659"/>
    <cellStyle name="20% - Accent2 15 4" xfId="23105"/>
    <cellStyle name="20% - Accent2 16" xfId="858"/>
    <cellStyle name="20% - Accent2 17" xfId="22821"/>
    <cellStyle name="20% - Accent2 2" xfId="491"/>
    <cellStyle name="20% - Accent2 2 2" xfId="934"/>
    <cellStyle name="20% - Accent2 2 2 2" xfId="6397"/>
    <cellStyle name="20% - Accent2 2 2 2 2" xfId="9483"/>
    <cellStyle name="20% - Accent2 2 2 2 2 2" xfId="15676"/>
    <cellStyle name="20% - Accent2 2 2 2 2 3" xfId="21828"/>
    <cellStyle name="20% - Accent2 2 2 2 3" xfId="12610"/>
    <cellStyle name="20% - Accent2 2 2 2 4" xfId="18762"/>
    <cellStyle name="20% - Accent2 2 2 3" xfId="7948"/>
    <cellStyle name="20% - Accent2 2 2 3 2" xfId="14142"/>
    <cellStyle name="20% - Accent2 2 2 3 3" xfId="20294"/>
    <cellStyle name="20% - Accent2 2 2 4" xfId="11076"/>
    <cellStyle name="20% - Accent2 2 2 5" xfId="17228"/>
    <cellStyle name="20% - Accent2 2 2 6" xfId="4772"/>
    <cellStyle name="20% - Accent2 2 3" xfId="5611"/>
    <cellStyle name="20% - Accent2 2 3 2" xfId="8714"/>
    <cellStyle name="20% - Accent2 2 3 2 2" xfId="14907"/>
    <cellStyle name="20% - Accent2 2 3 2 3" xfId="21059"/>
    <cellStyle name="20% - Accent2 2 3 3" xfId="11841"/>
    <cellStyle name="20% - Accent2 2 3 4" xfId="17993"/>
    <cellStyle name="20% - Accent2 2 4" xfId="7179"/>
    <cellStyle name="20% - Accent2 2 4 2" xfId="13373"/>
    <cellStyle name="20% - Accent2 2 4 3" xfId="19525"/>
    <cellStyle name="20% - Accent2 2 5" xfId="10307"/>
    <cellStyle name="20% - Accent2 2 6" xfId="16459"/>
    <cellStyle name="20% - Accent2 2 7" xfId="1333"/>
    <cellStyle name="20% - Accent2 2 8" xfId="22897"/>
    <cellStyle name="20% - Accent2 3" xfId="521"/>
    <cellStyle name="20% - Accent2 3 2" xfId="950"/>
    <cellStyle name="20% - Accent2 3 2 2" xfId="6398"/>
    <cellStyle name="20% - Accent2 3 2 2 2" xfId="9484"/>
    <cellStyle name="20% - Accent2 3 2 2 2 2" xfId="15677"/>
    <cellStyle name="20% - Accent2 3 2 2 2 3" xfId="21829"/>
    <cellStyle name="20% - Accent2 3 2 2 3" xfId="12611"/>
    <cellStyle name="20% - Accent2 3 2 2 4" xfId="18763"/>
    <cellStyle name="20% - Accent2 3 2 3" xfId="7949"/>
    <cellStyle name="20% - Accent2 3 2 3 2" xfId="14143"/>
    <cellStyle name="20% - Accent2 3 2 3 3" xfId="20295"/>
    <cellStyle name="20% - Accent2 3 2 4" xfId="11077"/>
    <cellStyle name="20% - Accent2 3 2 5" xfId="17229"/>
    <cellStyle name="20% - Accent2 3 2 6" xfId="4773"/>
    <cellStyle name="20% - Accent2 3 3" xfId="5612"/>
    <cellStyle name="20% - Accent2 3 3 2" xfId="8715"/>
    <cellStyle name="20% - Accent2 3 3 2 2" xfId="14908"/>
    <cellStyle name="20% - Accent2 3 3 2 3" xfId="21060"/>
    <cellStyle name="20% - Accent2 3 3 3" xfId="11842"/>
    <cellStyle name="20% - Accent2 3 3 4" xfId="17994"/>
    <cellStyle name="20% - Accent2 3 4" xfId="7180"/>
    <cellStyle name="20% - Accent2 3 4 2" xfId="13374"/>
    <cellStyle name="20% - Accent2 3 4 3" xfId="19526"/>
    <cellStyle name="20% - Accent2 3 5" xfId="10308"/>
    <cellStyle name="20% - Accent2 3 6" xfId="16460"/>
    <cellStyle name="20% - Accent2 3 7" xfId="1334"/>
    <cellStyle name="20% - Accent2 3 8" xfId="22913"/>
    <cellStyle name="20% - Accent2 4" xfId="549"/>
    <cellStyle name="20% - Accent2 4 2" xfId="966"/>
    <cellStyle name="20% - Accent2 4 2 2" xfId="6399"/>
    <cellStyle name="20% - Accent2 4 2 2 2" xfId="9485"/>
    <cellStyle name="20% - Accent2 4 2 2 2 2" xfId="15678"/>
    <cellStyle name="20% - Accent2 4 2 2 2 3" xfId="21830"/>
    <cellStyle name="20% - Accent2 4 2 2 3" xfId="12612"/>
    <cellStyle name="20% - Accent2 4 2 2 4" xfId="18764"/>
    <cellStyle name="20% - Accent2 4 2 3" xfId="7950"/>
    <cellStyle name="20% - Accent2 4 2 3 2" xfId="14144"/>
    <cellStyle name="20% - Accent2 4 2 3 3" xfId="20296"/>
    <cellStyle name="20% - Accent2 4 2 4" xfId="11078"/>
    <cellStyle name="20% - Accent2 4 2 5" xfId="17230"/>
    <cellStyle name="20% - Accent2 4 2 6" xfId="4774"/>
    <cellStyle name="20% - Accent2 4 3" xfId="5613"/>
    <cellStyle name="20% - Accent2 4 3 2" xfId="8716"/>
    <cellStyle name="20% - Accent2 4 3 2 2" xfId="14909"/>
    <cellStyle name="20% - Accent2 4 3 2 3" xfId="21061"/>
    <cellStyle name="20% - Accent2 4 3 3" xfId="11843"/>
    <cellStyle name="20% - Accent2 4 3 4" xfId="17995"/>
    <cellStyle name="20% - Accent2 4 4" xfId="7181"/>
    <cellStyle name="20% - Accent2 4 4 2" xfId="13375"/>
    <cellStyle name="20% - Accent2 4 4 3" xfId="19527"/>
    <cellStyle name="20% - Accent2 4 5" xfId="10309"/>
    <cellStyle name="20% - Accent2 4 6" xfId="16461"/>
    <cellStyle name="20% - Accent2 4 7" xfId="1335"/>
    <cellStyle name="20% - Accent2 4 8" xfId="22929"/>
    <cellStyle name="20% - Accent2 5" xfId="576"/>
    <cellStyle name="20% - Accent2 5 2" xfId="982"/>
    <cellStyle name="20% - Accent2 5 2 2" xfId="6400"/>
    <cellStyle name="20% - Accent2 5 2 2 2" xfId="9486"/>
    <cellStyle name="20% - Accent2 5 2 2 2 2" xfId="15679"/>
    <cellStyle name="20% - Accent2 5 2 2 2 3" xfId="21831"/>
    <cellStyle name="20% - Accent2 5 2 2 3" xfId="12613"/>
    <cellStyle name="20% - Accent2 5 2 2 4" xfId="18765"/>
    <cellStyle name="20% - Accent2 5 2 3" xfId="7951"/>
    <cellStyle name="20% - Accent2 5 2 3 2" xfId="14145"/>
    <cellStyle name="20% - Accent2 5 2 3 3" xfId="20297"/>
    <cellStyle name="20% - Accent2 5 2 4" xfId="11079"/>
    <cellStyle name="20% - Accent2 5 2 5" xfId="17231"/>
    <cellStyle name="20% - Accent2 5 2 6" xfId="4775"/>
    <cellStyle name="20% - Accent2 5 3" xfId="5614"/>
    <cellStyle name="20% - Accent2 5 3 2" xfId="8717"/>
    <cellStyle name="20% - Accent2 5 3 2 2" xfId="14910"/>
    <cellStyle name="20% - Accent2 5 3 2 3" xfId="21062"/>
    <cellStyle name="20% - Accent2 5 3 3" xfId="11844"/>
    <cellStyle name="20% - Accent2 5 3 4" xfId="17996"/>
    <cellStyle name="20% - Accent2 5 4" xfId="7182"/>
    <cellStyle name="20% - Accent2 5 4 2" xfId="13376"/>
    <cellStyle name="20% - Accent2 5 4 3" xfId="19528"/>
    <cellStyle name="20% - Accent2 5 5" xfId="10310"/>
    <cellStyle name="20% - Accent2 5 6" xfId="16462"/>
    <cellStyle name="20% - Accent2 5 7" xfId="1336"/>
    <cellStyle name="20% - Accent2 5 8" xfId="22689"/>
    <cellStyle name="20% - Accent2 5 9" xfId="22945"/>
    <cellStyle name="20% - Accent2 6" xfId="603"/>
    <cellStyle name="20% - Accent2 6 2" xfId="998"/>
    <cellStyle name="20% - Accent2 6 3" xfId="1337"/>
    <cellStyle name="20% - Accent2 6 4" xfId="22781"/>
    <cellStyle name="20% - Accent2 6 5" xfId="22961"/>
    <cellStyle name="20% - Accent2 7" xfId="627"/>
    <cellStyle name="20% - Accent2 7 2" xfId="1014"/>
    <cellStyle name="20% - Accent2 7 3" xfId="22778"/>
    <cellStyle name="20% - Accent2 7 4" xfId="22977"/>
    <cellStyle name="20% - Accent2 8" xfId="651"/>
    <cellStyle name="20% - Accent2 8 2" xfId="1030"/>
    <cellStyle name="20% - Accent2 8 3" xfId="22723"/>
    <cellStyle name="20% - Accent2 8 4" xfId="22993"/>
    <cellStyle name="20% - Accent2 9" xfId="690"/>
    <cellStyle name="20% - Accent2 9 2" xfId="1046"/>
    <cellStyle name="20% - Accent2 9 3" xfId="22678"/>
    <cellStyle name="20% - Accent2 9 4" xfId="23009"/>
    <cellStyle name="20% - Accent3" xfId="177" builtinId="38" customBuiltin="1"/>
    <cellStyle name="20% - Accent3 10" xfId="722"/>
    <cellStyle name="20% - Accent3 10 2" xfId="1064"/>
    <cellStyle name="20% - Accent3 10 3" xfId="22703"/>
    <cellStyle name="20% - Accent3 10 4" xfId="23027"/>
    <cellStyle name="20% - Accent3 11" xfId="749"/>
    <cellStyle name="20% - Accent3 11 2" xfId="1080"/>
    <cellStyle name="20% - Accent3 11 3" xfId="22779"/>
    <cellStyle name="20% - Accent3 11 4" xfId="23043"/>
    <cellStyle name="20% - Accent3 12" xfId="775"/>
    <cellStyle name="20% - Accent3 12 2" xfId="1096"/>
    <cellStyle name="20% - Accent3 12 3" xfId="22795"/>
    <cellStyle name="20% - Accent3 12 4" xfId="23059"/>
    <cellStyle name="20% - Accent3 13" xfId="799"/>
    <cellStyle name="20% - Accent3 13 2" xfId="1112"/>
    <cellStyle name="20% - Accent3 13 3" xfId="22755"/>
    <cellStyle name="20% - Accent3 13 4" xfId="23075"/>
    <cellStyle name="20% - Accent3 14" xfId="820"/>
    <cellStyle name="20% - Accent3 14 2" xfId="1128"/>
    <cellStyle name="20% - Accent3 14 3" xfId="22631"/>
    <cellStyle name="20% - Accent3 14 4" xfId="23091"/>
    <cellStyle name="20% - Accent3 15" xfId="836"/>
    <cellStyle name="20% - Accent3 15 2" xfId="1144"/>
    <cellStyle name="20% - Accent3 15 3" xfId="22798"/>
    <cellStyle name="20% - Accent3 15 4" xfId="23107"/>
    <cellStyle name="20% - Accent3 16" xfId="860"/>
    <cellStyle name="20% - Accent3 17" xfId="22823"/>
    <cellStyle name="20% - Accent3 2" xfId="495"/>
    <cellStyle name="20% - Accent3 2 2" xfId="936"/>
    <cellStyle name="20% - Accent3 2 2 2" xfId="6401"/>
    <cellStyle name="20% - Accent3 2 2 2 2" xfId="9487"/>
    <cellStyle name="20% - Accent3 2 2 2 2 2" xfId="15680"/>
    <cellStyle name="20% - Accent3 2 2 2 2 3" xfId="21832"/>
    <cellStyle name="20% - Accent3 2 2 2 3" xfId="12614"/>
    <cellStyle name="20% - Accent3 2 2 2 4" xfId="18766"/>
    <cellStyle name="20% - Accent3 2 2 3" xfId="7952"/>
    <cellStyle name="20% - Accent3 2 2 3 2" xfId="14146"/>
    <cellStyle name="20% - Accent3 2 2 3 3" xfId="20298"/>
    <cellStyle name="20% - Accent3 2 2 4" xfId="11080"/>
    <cellStyle name="20% - Accent3 2 2 5" xfId="17232"/>
    <cellStyle name="20% - Accent3 2 2 6" xfId="4776"/>
    <cellStyle name="20% - Accent3 2 3" xfId="5615"/>
    <cellStyle name="20% - Accent3 2 3 2" xfId="8718"/>
    <cellStyle name="20% - Accent3 2 3 2 2" xfId="14911"/>
    <cellStyle name="20% - Accent3 2 3 2 3" xfId="21063"/>
    <cellStyle name="20% - Accent3 2 3 3" xfId="11845"/>
    <cellStyle name="20% - Accent3 2 3 4" xfId="17997"/>
    <cellStyle name="20% - Accent3 2 4" xfId="7183"/>
    <cellStyle name="20% - Accent3 2 4 2" xfId="13377"/>
    <cellStyle name="20% - Accent3 2 4 3" xfId="19529"/>
    <cellStyle name="20% - Accent3 2 5" xfId="10311"/>
    <cellStyle name="20% - Accent3 2 6" xfId="16463"/>
    <cellStyle name="20% - Accent3 2 7" xfId="1338"/>
    <cellStyle name="20% - Accent3 2 8" xfId="22899"/>
    <cellStyle name="20% - Accent3 3" xfId="525"/>
    <cellStyle name="20% - Accent3 3 2" xfId="952"/>
    <cellStyle name="20% - Accent3 3 2 2" xfId="6402"/>
    <cellStyle name="20% - Accent3 3 2 2 2" xfId="9488"/>
    <cellStyle name="20% - Accent3 3 2 2 2 2" xfId="15681"/>
    <cellStyle name="20% - Accent3 3 2 2 2 3" xfId="21833"/>
    <cellStyle name="20% - Accent3 3 2 2 3" xfId="12615"/>
    <cellStyle name="20% - Accent3 3 2 2 4" xfId="18767"/>
    <cellStyle name="20% - Accent3 3 2 3" xfId="7953"/>
    <cellStyle name="20% - Accent3 3 2 3 2" xfId="14147"/>
    <cellStyle name="20% - Accent3 3 2 3 3" xfId="20299"/>
    <cellStyle name="20% - Accent3 3 2 4" xfId="11081"/>
    <cellStyle name="20% - Accent3 3 2 5" xfId="17233"/>
    <cellStyle name="20% - Accent3 3 2 6" xfId="4777"/>
    <cellStyle name="20% - Accent3 3 3" xfId="5616"/>
    <cellStyle name="20% - Accent3 3 3 2" xfId="8719"/>
    <cellStyle name="20% - Accent3 3 3 2 2" xfId="14912"/>
    <cellStyle name="20% - Accent3 3 3 2 3" xfId="21064"/>
    <cellStyle name="20% - Accent3 3 3 3" xfId="11846"/>
    <cellStyle name="20% - Accent3 3 3 4" xfId="17998"/>
    <cellStyle name="20% - Accent3 3 4" xfId="7184"/>
    <cellStyle name="20% - Accent3 3 4 2" xfId="13378"/>
    <cellStyle name="20% - Accent3 3 4 3" xfId="19530"/>
    <cellStyle name="20% - Accent3 3 5" xfId="10312"/>
    <cellStyle name="20% - Accent3 3 6" xfId="16464"/>
    <cellStyle name="20% - Accent3 3 7" xfId="1339"/>
    <cellStyle name="20% - Accent3 3 8" xfId="22915"/>
    <cellStyle name="20% - Accent3 4" xfId="552"/>
    <cellStyle name="20% - Accent3 4 2" xfId="968"/>
    <cellStyle name="20% - Accent3 4 2 2" xfId="6403"/>
    <cellStyle name="20% - Accent3 4 2 2 2" xfId="9489"/>
    <cellStyle name="20% - Accent3 4 2 2 2 2" xfId="15682"/>
    <cellStyle name="20% - Accent3 4 2 2 2 3" xfId="21834"/>
    <cellStyle name="20% - Accent3 4 2 2 3" xfId="12616"/>
    <cellStyle name="20% - Accent3 4 2 2 4" xfId="18768"/>
    <cellStyle name="20% - Accent3 4 2 3" xfId="7954"/>
    <cellStyle name="20% - Accent3 4 2 3 2" xfId="14148"/>
    <cellStyle name="20% - Accent3 4 2 3 3" xfId="20300"/>
    <cellStyle name="20% - Accent3 4 2 4" xfId="11082"/>
    <cellStyle name="20% - Accent3 4 2 5" xfId="17234"/>
    <cellStyle name="20% - Accent3 4 2 6" xfId="4778"/>
    <cellStyle name="20% - Accent3 4 3" xfId="5617"/>
    <cellStyle name="20% - Accent3 4 3 2" xfId="8720"/>
    <cellStyle name="20% - Accent3 4 3 2 2" xfId="14913"/>
    <cellStyle name="20% - Accent3 4 3 2 3" xfId="21065"/>
    <cellStyle name="20% - Accent3 4 3 3" xfId="11847"/>
    <cellStyle name="20% - Accent3 4 3 4" xfId="17999"/>
    <cellStyle name="20% - Accent3 4 4" xfId="7185"/>
    <cellStyle name="20% - Accent3 4 4 2" xfId="13379"/>
    <cellStyle name="20% - Accent3 4 4 3" xfId="19531"/>
    <cellStyle name="20% - Accent3 4 5" xfId="10313"/>
    <cellStyle name="20% - Accent3 4 6" xfId="16465"/>
    <cellStyle name="20% - Accent3 4 7" xfId="1340"/>
    <cellStyle name="20% - Accent3 4 8" xfId="22931"/>
    <cellStyle name="20% - Accent3 5" xfId="580"/>
    <cellStyle name="20% - Accent3 5 2" xfId="984"/>
    <cellStyle name="20% - Accent3 5 2 2" xfId="6404"/>
    <cellStyle name="20% - Accent3 5 2 2 2" xfId="9490"/>
    <cellStyle name="20% - Accent3 5 2 2 2 2" xfId="15683"/>
    <cellStyle name="20% - Accent3 5 2 2 2 3" xfId="21835"/>
    <cellStyle name="20% - Accent3 5 2 2 3" xfId="12617"/>
    <cellStyle name="20% - Accent3 5 2 2 4" xfId="18769"/>
    <cellStyle name="20% - Accent3 5 2 3" xfId="7955"/>
    <cellStyle name="20% - Accent3 5 2 3 2" xfId="14149"/>
    <cellStyle name="20% - Accent3 5 2 3 3" xfId="20301"/>
    <cellStyle name="20% - Accent3 5 2 4" xfId="11083"/>
    <cellStyle name="20% - Accent3 5 2 5" xfId="17235"/>
    <cellStyle name="20% - Accent3 5 2 6" xfId="4779"/>
    <cellStyle name="20% - Accent3 5 3" xfId="5618"/>
    <cellStyle name="20% - Accent3 5 3 2" xfId="8721"/>
    <cellStyle name="20% - Accent3 5 3 2 2" xfId="14914"/>
    <cellStyle name="20% - Accent3 5 3 2 3" xfId="21066"/>
    <cellStyle name="20% - Accent3 5 3 3" xfId="11848"/>
    <cellStyle name="20% - Accent3 5 3 4" xfId="18000"/>
    <cellStyle name="20% - Accent3 5 4" xfId="7186"/>
    <cellStyle name="20% - Accent3 5 4 2" xfId="13380"/>
    <cellStyle name="20% - Accent3 5 4 3" xfId="19532"/>
    <cellStyle name="20% - Accent3 5 5" xfId="10314"/>
    <cellStyle name="20% - Accent3 5 6" xfId="16466"/>
    <cellStyle name="20% - Accent3 5 7" xfId="1341"/>
    <cellStyle name="20% - Accent3 5 8" xfId="22686"/>
    <cellStyle name="20% - Accent3 5 9" xfId="22947"/>
    <cellStyle name="20% - Accent3 6" xfId="606"/>
    <cellStyle name="20% - Accent3 6 2" xfId="1000"/>
    <cellStyle name="20% - Accent3 6 3" xfId="1342"/>
    <cellStyle name="20% - Accent3 6 4" xfId="22639"/>
    <cellStyle name="20% - Accent3 6 5" xfId="22963"/>
    <cellStyle name="20% - Accent3 7" xfId="630"/>
    <cellStyle name="20% - Accent3 7 2" xfId="1016"/>
    <cellStyle name="20% - Accent3 7 3" xfId="22806"/>
    <cellStyle name="20% - Accent3 7 4" xfId="22979"/>
    <cellStyle name="20% - Accent3 8" xfId="655"/>
    <cellStyle name="20% - Accent3 8 2" xfId="1032"/>
    <cellStyle name="20% - Accent3 8 3" xfId="22792"/>
    <cellStyle name="20% - Accent3 8 4" xfId="22995"/>
    <cellStyle name="20% - Accent3 9" xfId="694"/>
    <cellStyle name="20% - Accent3 9 2" xfId="1048"/>
    <cellStyle name="20% - Accent3 9 3" xfId="22700"/>
    <cellStyle name="20% - Accent3 9 4" xfId="23011"/>
    <cellStyle name="20% - Accent4" xfId="181" builtinId="42" customBuiltin="1"/>
    <cellStyle name="20% - Accent4 10" xfId="726"/>
    <cellStyle name="20% - Accent4 10 2" xfId="1066"/>
    <cellStyle name="20% - Accent4 10 3" xfId="22790"/>
    <cellStyle name="20% - Accent4 10 4" xfId="23029"/>
    <cellStyle name="20% - Accent4 11" xfId="753"/>
    <cellStyle name="20% - Accent4 11 2" xfId="1082"/>
    <cellStyle name="20% - Accent4 11 3" xfId="22692"/>
    <cellStyle name="20% - Accent4 11 4" xfId="23045"/>
    <cellStyle name="20% - Accent4 12" xfId="779"/>
    <cellStyle name="20% - Accent4 12 2" xfId="1098"/>
    <cellStyle name="20% - Accent4 12 3" xfId="22799"/>
    <cellStyle name="20% - Accent4 12 4" xfId="23061"/>
    <cellStyle name="20% - Accent4 13" xfId="803"/>
    <cellStyle name="20% - Accent4 13 2" xfId="1114"/>
    <cellStyle name="20% - Accent4 13 3" xfId="22656"/>
    <cellStyle name="20% - Accent4 13 4" xfId="23077"/>
    <cellStyle name="20% - Accent4 14" xfId="822"/>
    <cellStyle name="20% - Accent4 14 2" xfId="1130"/>
    <cellStyle name="20% - Accent4 14 3" xfId="22777"/>
    <cellStyle name="20% - Accent4 14 4" xfId="23093"/>
    <cellStyle name="20% - Accent4 15" xfId="838"/>
    <cellStyle name="20% - Accent4 15 2" xfId="1146"/>
    <cellStyle name="20% - Accent4 15 3" xfId="22669"/>
    <cellStyle name="20% - Accent4 15 4" xfId="23109"/>
    <cellStyle name="20% - Accent4 16" xfId="862"/>
    <cellStyle name="20% - Accent4 17" xfId="22825"/>
    <cellStyle name="20% - Accent4 2" xfId="499"/>
    <cellStyle name="20% - Accent4 2 2" xfId="938"/>
    <cellStyle name="20% - Accent4 2 2 2" xfId="6405"/>
    <cellStyle name="20% - Accent4 2 2 2 2" xfId="9491"/>
    <cellStyle name="20% - Accent4 2 2 2 2 2" xfId="15684"/>
    <cellStyle name="20% - Accent4 2 2 2 2 3" xfId="21836"/>
    <cellStyle name="20% - Accent4 2 2 2 3" xfId="12618"/>
    <cellStyle name="20% - Accent4 2 2 2 4" xfId="18770"/>
    <cellStyle name="20% - Accent4 2 2 3" xfId="7956"/>
    <cellStyle name="20% - Accent4 2 2 3 2" xfId="14150"/>
    <cellStyle name="20% - Accent4 2 2 3 3" xfId="20302"/>
    <cellStyle name="20% - Accent4 2 2 4" xfId="11084"/>
    <cellStyle name="20% - Accent4 2 2 5" xfId="17236"/>
    <cellStyle name="20% - Accent4 2 2 6" xfId="4780"/>
    <cellStyle name="20% - Accent4 2 3" xfId="5619"/>
    <cellStyle name="20% - Accent4 2 3 2" xfId="8722"/>
    <cellStyle name="20% - Accent4 2 3 2 2" xfId="14915"/>
    <cellStyle name="20% - Accent4 2 3 2 3" xfId="21067"/>
    <cellStyle name="20% - Accent4 2 3 3" xfId="11849"/>
    <cellStyle name="20% - Accent4 2 3 4" xfId="18001"/>
    <cellStyle name="20% - Accent4 2 4" xfId="7187"/>
    <cellStyle name="20% - Accent4 2 4 2" xfId="13381"/>
    <cellStyle name="20% - Accent4 2 4 3" xfId="19533"/>
    <cellStyle name="20% - Accent4 2 5" xfId="10315"/>
    <cellStyle name="20% - Accent4 2 6" xfId="16467"/>
    <cellStyle name="20% - Accent4 2 7" xfId="1343"/>
    <cellStyle name="20% - Accent4 2 8" xfId="22901"/>
    <cellStyle name="20% - Accent4 3" xfId="529"/>
    <cellStyle name="20% - Accent4 3 2" xfId="954"/>
    <cellStyle name="20% - Accent4 3 2 2" xfId="6406"/>
    <cellStyle name="20% - Accent4 3 2 2 2" xfId="9492"/>
    <cellStyle name="20% - Accent4 3 2 2 2 2" xfId="15685"/>
    <cellStyle name="20% - Accent4 3 2 2 2 3" xfId="21837"/>
    <cellStyle name="20% - Accent4 3 2 2 3" xfId="12619"/>
    <cellStyle name="20% - Accent4 3 2 2 4" xfId="18771"/>
    <cellStyle name="20% - Accent4 3 2 3" xfId="7957"/>
    <cellStyle name="20% - Accent4 3 2 3 2" xfId="14151"/>
    <cellStyle name="20% - Accent4 3 2 3 3" xfId="20303"/>
    <cellStyle name="20% - Accent4 3 2 4" xfId="11085"/>
    <cellStyle name="20% - Accent4 3 2 5" xfId="17237"/>
    <cellStyle name="20% - Accent4 3 2 6" xfId="4781"/>
    <cellStyle name="20% - Accent4 3 3" xfId="5620"/>
    <cellStyle name="20% - Accent4 3 3 2" xfId="8723"/>
    <cellStyle name="20% - Accent4 3 3 2 2" xfId="14916"/>
    <cellStyle name="20% - Accent4 3 3 2 3" xfId="21068"/>
    <cellStyle name="20% - Accent4 3 3 3" xfId="11850"/>
    <cellStyle name="20% - Accent4 3 3 4" xfId="18002"/>
    <cellStyle name="20% - Accent4 3 4" xfId="7188"/>
    <cellStyle name="20% - Accent4 3 4 2" xfId="13382"/>
    <cellStyle name="20% - Accent4 3 4 3" xfId="19534"/>
    <cellStyle name="20% - Accent4 3 5" xfId="10316"/>
    <cellStyle name="20% - Accent4 3 6" xfId="16468"/>
    <cellStyle name="20% - Accent4 3 7" xfId="1344"/>
    <cellStyle name="20% - Accent4 3 8" xfId="22917"/>
    <cellStyle name="20% - Accent4 4" xfId="556"/>
    <cellStyle name="20% - Accent4 4 2" xfId="970"/>
    <cellStyle name="20% - Accent4 4 2 2" xfId="6407"/>
    <cellStyle name="20% - Accent4 4 2 2 2" xfId="9493"/>
    <cellStyle name="20% - Accent4 4 2 2 2 2" xfId="15686"/>
    <cellStyle name="20% - Accent4 4 2 2 2 3" xfId="21838"/>
    <cellStyle name="20% - Accent4 4 2 2 3" xfId="12620"/>
    <cellStyle name="20% - Accent4 4 2 2 4" xfId="18772"/>
    <cellStyle name="20% - Accent4 4 2 3" xfId="7958"/>
    <cellStyle name="20% - Accent4 4 2 3 2" xfId="14152"/>
    <cellStyle name="20% - Accent4 4 2 3 3" xfId="20304"/>
    <cellStyle name="20% - Accent4 4 2 4" xfId="11086"/>
    <cellStyle name="20% - Accent4 4 2 5" xfId="17238"/>
    <cellStyle name="20% - Accent4 4 2 6" xfId="4782"/>
    <cellStyle name="20% - Accent4 4 3" xfId="5621"/>
    <cellStyle name="20% - Accent4 4 3 2" xfId="8724"/>
    <cellStyle name="20% - Accent4 4 3 2 2" xfId="14917"/>
    <cellStyle name="20% - Accent4 4 3 2 3" xfId="21069"/>
    <cellStyle name="20% - Accent4 4 3 3" xfId="11851"/>
    <cellStyle name="20% - Accent4 4 3 4" xfId="18003"/>
    <cellStyle name="20% - Accent4 4 4" xfId="7189"/>
    <cellStyle name="20% - Accent4 4 4 2" xfId="13383"/>
    <cellStyle name="20% - Accent4 4 4 3" xfId="19535"/>
    <cellStyle name="20% - Accent4 4 5" xfId="10317"/>
    <cellStyle name="20% - Accent4 4 6" xfId="16469"/>
    <cellStyle name="20% - Accent4 4 7" xfId="1345"/>
    <cellStyle name="20% - Accent4 4 8" xfId="22933"/>
    <cellStyle name="20% - Accent4 5" xfId="584"/>
    <cellStyle name="20% - Accent4 5 2" xfId="986"/>
    <cellStyle name="20% - Accent4 5 2 2" xfId="6408"/>
    <cellStyle name="20% - Accent4 5 2 2 2" xfId="9494"/>
    <cellStyle name="20% - Accent4 5 2 2 2 2" xfId="15687"/>
    <cellStyle name="20% - Accent4 5 2 2 2 3" xfId="21839"/>
    <cellStyle name="20% - Accent4 5 2 2 3" xfId="12621"/>
    <cellStyle name="20% - Accent4 5 2 2 4" xfId="18773"/>
    <cellStyle name="20% - Accent4 5 2 3" xfId="7959"/>
    <cellStyle name="20% - Accent4 5 2 3 2" xfId="14153"/>
    <cellStyle name="20% - Accent4 5 2 3 3" xfId="20305"/>
    <cellStyle name="20% - Accent4 5 2 4" xfId="11087"/>
    <cellStyle name="20% - Accent4 5 2 5" xfId="17239"/>
    <cellStyle name="20% - Accent4 5 2 6" xfId="4783"/>
    <cellStyle name="20% - Accent4 5 3" xfId="5622"/>
    <cellStyle name="20% - Accent4 5 3 2" xfId="8725"/>
    <cellStyle name="20% - Accent4 5 3 2 2" xfId="14918"/>
    <cellStyle name="20% - Accent4 5 3 2 3" xfId="21070"/>
    <cellStyle name="20% - Accent4 5 3 3" xfId="11852"/>
    <cellStyle name="20% - Accent4 5 3 4" xfId="18004"/>
    <cellStyle name="20% - Accent4 5 4" xfId="7190"/>
    <cellStyle name="20% - Accent4 5 4 2" xfId="13384"/>
    <cellStyle name="20% - Accent4 5 4 3" xfId="19536"/>
    <cellStyle name="20% - Accent4 5 5" xfId="10318"/>
    <cellStyle name="20% - Accent4 5 6" xfId="16470"/>
    <cellStyle name="20% - Accent4 5 7" xfId="1346"/>
    <cellStyle name="20% - Accent4 5 8" xfId="22610"/>
    <cellStyle name="20% - Accent4 5 9" xfId="22949"/>
    <cellStyle name="20% - Accent4 6" xfId="609"/>
    <cellStyle name="20% - Accent4 6 2" xfId="1002"/>
    <cellStyle name="20% - Accent4 6 3" xfId="1347"/>
    <cellStyle name="20% - Accent4 6 4" xfId="22773"/>
    <cellStyle name="20% - Accent4 6 5" xfId="22965"/>
    <cellStyle name="20% - Accent4 7" xfId="634"/>
    <cellStyle name="20% - Accent4 7 2" xfId="1018"/>
    <cellStyle name="20% - Accent4 7 3" xfId="22788"/>
    <cellStyle name="20% - Accent4 7 4" xfId="22981"/>
    <cellStyle name="20% - Accent4 8" xfId="659"/>
    <cellStyle name="20% - Accent4 8 2" xfId="1034"/>
    <cellStyle name="20% - Accent4 8 3" xfId="22812"/>
    <cellStyle name="20% - Accent4 8 4" xfId="22997"/>
    <cellStyle name="20% - Accent4 9" xfId="698"/>
    <cellStyle name="20% - Accent4 9 2" xfId="1050"/>
    <cellStyle name="20% - Accent4 9 3" xfId="22647"/>
    <cellStyle name="20% - Accent4 9 4" xfId="23013"/>
    <cellStyle name="20% - Accent5" xfId="185" builtinId="46" customBuiltin="1"/>
    <cellStyle name="20% - Accent5 10" xfId="730"/>
    <cellStyle name="20% - Accent5 10 2" xfId="1068"/>
    <cellStyle name="20% - Accent5 10 3" xfId="22760"/>
    <cellStyle name="20% - Accent5 10 4" xfId="23031"/>
    <cellStyle name="20% - Accent5 11" xfId="756"/>
    <cellStyle name="20% - Accent5 11 2" xfId="1084"/>
    <cellStyle name="20% - Accent5 11 3" xfId="22725"/>
    <cellStyle name="20% - Accent5 11 4" xfId="23047"/>
    <cellStyle name="20% - Accent5 12" xfId="782"/>
    <cellStyle name="20% - Accent5 12 2" xfId="1100"/>
    <cellStyle name="20% - Accent5 12 3" xfId="22685"/>
    <cellStyle name="20% - Accent5 12 4" xfId="23063"/>
    <cellStyle name="20% - Accent5 13" xfId="806"/>
    <cellStyle name="20% - Accent5 13 2" xfId="1116"/>
    <cellStyle name="20% - Accent5 13 3" xfId="22663"/>
    <cellStyle name="20% - Accent5 13 4" xfId="23079"/>
    <cellStyle name="20% - Accent5 14" xfId="824"/>
    <cellStyle name="20% - Accent5 14 2" xfId="1132"/>
    <cellStyle name="20% - Accent5 14 3" xfId="22716"/>
    <cellStyle name="20% - Accent5 14 4" xfId="23095"/>
    <cellStyle name="20% - Accent5 15" xfId="840"/>
    <cellStyle name="20% - Accent5 15 2" xfId="1148"/>
    <cellStyle name="20% - Accent5 15 3" xfId="22679"/>
    <cellStyle name="20% - Accent5 15 4" xfId="23111"/>
    <cellStyle name="20% - Accent5 16" xfId="864"/>
    <cellStyle name="20% - Accent5 17" xfId="22827"/>
    <cellStyle name="20% - Accent5 2" xfId="503"/>
    <cellStyle name="20% - Accent5 2 2" xfId="940"/>
    <cellStyle name="20% - Accent5 2 2 2" xfId="6409"/>
    <cellStyle name="20% - Accent5 2 2 2 2" xfId="9495"/>
    <cellStyle name="20% - Accent5 2 2 2 2 2" xfId="15688"/>
    <cellStyle name="20% - Accent5 2 2 2 2 3" xfId="21840"/>
    <cellStyle name="20% - Accent5 2 2 2 3" xfId="12622"/>
    <cellStyle name="20% - Accent5 2 2 2 4" xfId="18774"/>
    <cellStyle name="20% - Accent5 2 2 3" xfId="7960"/>
    <cellStyle name="20% - Accent5 2 2 3 2" xfId="14154"/>
    <cellStyle name="20% - Accent5 2 2 3 3" xfId="20306"/>
    <cellStyle name="20% - Accent5 2 2 4" xfId="11088"/>
    <cellStyle name="20% - Accent5 2 2 5" xfId="17240"/>
    <cellStyle name="20% - Accent5 2 2 6" xfId="4784"/>
    <cellStyle name="20% - Accent5 2 3" xfId="5623"/>
    <cellStyle name="20% - Accent5 2 3 2" xfId="8726"/>
    <cellStyle name="20% - Accent5 2 3 2 2" xfId="14919"/>
    <cellStyle name="20% - Accent5 2 3 2 3" xfId="21071"/>
    <cellStyle name="20% - Accent5 2 3 3" xfId="11853"/>
    <cellStyle name="20% - Accent5 2 3 4" xfId="18005"/>
    <cellStyle name="20% - Accent5 2 4" xfId="7191"/>
    <cellStyle name="20% - Accent5 2 4 2" xfId="13385"/>
    <cellStyle name="20% - Accent5 2 4 3" xfId="19537"/>
    <cellStyle name="20% - Accent5 2 5" xfId="10319"/>
    <cellStyle name="20% - Accent5 2 6" xfId="16471"/>
    <cellStyle name="20% - Accent5 2 7" xfId="1348"/>
    <cellStyle name="20% - Accent5 2 8" xfId="22903"/>
    <cellStyle name="20% - Accent5 3" xfId="533"/>
    <cellStyle name="20% - Accent5 3 2" xfId="956"/>
    <cellStyle name="20% - Accent5 3 2 2" xfId="6410"/>
    <cellStyle name="20% - Accent5 3 2 2 2" xfId="9496"/>
    <cellStyle name="20% - Accent5 3 2 2 2 2" xfId="15689"/>
    <cellStyle name="20% - Accent5 3 2 2 2 3" xfId="21841"/>
    <cellStyle name="20% - Accent5 3 2 2 3" xfId="12623"/>
    <cellStyle name="20% - Accent5 3 2 2 4" xfId="18775"/>
    <cellStyle name="20% - Accent5 3 2 3" xfId="7961"/>
    <cellStyle name="20% - Accent5 3 2 3 2" xfId="14155"/>
    <cellStyle name="20% - Accent5 3 2 3 3" xfId="20307"/>
    <cellStyle name="20% - Accent5 3 2 4" xfId="11089"/>
    <cellStyle name="20% - Accent5 3 2 5" xfId="17241"/>
    <cellStyle name="20% - Accent5 3 2 6" xfId="4785"/>
    <cellStyle name="20% - Accent5 3 3" xfId="5624"/>
    <cellStyle name="20% - Accent5 3 3 2" xfId="8727"/>
    <cellStyle name="20% - Accent5 3 3 2 2" xfId="14920"/>
    <cellStyle name="20% - Accent5 3 3 2 3" xfId="21072"/>
    <cellStyle name="20% - Accent5 3 3 3" xfId="11854"/>
    <cellStyle name="20% - Accent5 3 3 4" xfId="18006"/>
    <cellStyle name="20% - Accent5 3 4" xfId="7192"/>
    <cellStyle name="20% - Accent5 3 4 2" xfId="13386"/>
    <cellStyle name="20% - Accent5 3 4 3" xfId="19538"/>
    <cellStyle name="20% - Accent5 3 5" xfId="10320"/>
    <cellStyle name="20% - Accent5 3 6" xfId="16472"/>
    <cellStyle name="20% - Accent5 3 7" xfId="1349"/>
    <cellStyle name="20% - Accent5 3 8" xfId="22919"/>
    <cellStyle name="20% - Accent5 4" xfId="560"/>
    <cellStyle name="20% - Accent5 4 2" xfId="972"/>
    <cellStyle name="20% - Accent5 4 2 2" xfId="6411"/>
    <cellStyle name="20% - Accent5 4 2 2 2" xfId="9497"/>
    <cellStyle name="20% - Accent5 4 2 2 2 2" xfId="15690"/>
    <cellStyle name="20% - Accent5 4 2 2 2 3" xfId="21842"/>
    <cellStyle name="20% - Accent5 4 2 2 3" xfId="12624"/>
    <cellStyle name="20% - Accent5 4 2 2 4" xfId="18776"/>
    <cellStyle name="20% - Accent5 4 2 3" xfId="7962"/>
    <cellStyle name="20% - Accent5 4 2 3 2" xfId="14156"/>
    <cellStyle name="20% - Accent5 4 2 3 3" xfId="20308"/>
    <cellStyle name="20% - Accent5 4 2 4" xfId="11090"/>
    <cellStyle name="20% - Accent5 4 2 5" xfId="17242"/>
    <cellStyle name="20% - Accent5 4 2 6" xfId="4786"/>
    <cellStyle name="20% - Accent5 4 3" xfId="5625"/>
    <cellStyle name="20% - Accent5 4 3 2" xfId="8728"/>
    <cellStyle name="20% - Accent5 4 3 2 2" xfId="14921"/>
    <cellStyle name="20% - Accent5 4 3 2 3" xfId="21073"/>
    <cellStyle name="20% - Accent5 4 3 3" xfId="11855"/>
    <cellStyle name="20% - Accent5 4 3 4" xfId="18007"/>
    <cellStyle name="20% - Accent5 4 4" xfId="7193"/>
    <cellStyle name="20% - Accent5 4 4 2" xfId="13387"/>
    <cellStyle name="20% - Accent5 4 4 3" xfId="19539"/>
    <cellStyle name="20% - Accent5 4 5" xfId="10321"/>
    <cellStyle name="20% - Accent5 4 6" xfId="16473"/>
    <cellStyle name="20% - Accent5 4 7" xfId="1350"/>
    <cellStyle name="20% - Accent5 4 8" xfId="22935"/>
    <cellStyle name="20% - Accent5 5" xfId="587"/>
    <cellStyle name="20% - Accent5 5 2" xfId="988"/>
    <cellStyle name="20% - Accent5 5 3" xfId="1351"/>
    <cellStyle name="20% - Accent5 5 4" xfId="22596"/>
    <cellStyle name="20% - Accent5 5 5" xfId="22951"/>
    <cellStyle name="20% - Accent5 6" xfId="613"/>
    <cellStyle name="20% - Accent5 6 2" xfId="1004"/>
    <cellStyle name="20% - Accent5 6 3" xfId="22757"/>
    <cellStyle name="20% - Accent5 6 4" xfId="22967"/>
    <cellStyle name="20% - Accent5 7" xfId="637"/>
    <cellStyle name="20% - Accent5 7 2" xfId="1020"/>
    <cellStyle name="20% - Accent5 7 3" xfId="22772"/>
    <cellStyle name="20% - Accent5 7 4" xfId="22983"/>
    <cellStyle name="20% - Accent5 8" xfId="662"/>
    <cellStyle name="20% - Accent5 8 2" xfId="1036"/>
    <cellStyle name="20% - Accent5 8 3" xfId="22801"/>
    <cellStyle name="20% - Accent5 8 4" xfId="22999"/>
    <cellStyle name="20% - Accent5 9" xfId="702"/>
    <cellStyle name="20% - Accent5 9 2" xfId="1052"/>
    <cellStyle name="20% - Accent5 9 3" xfId="22696"/>
    <cellStyle name="20% - Accent5 9 4" xfId="23015"/>
    <cellStyle name="20% - Accent6" xfId="189" builtinId="50" customBuiltin="1"/>
    <cellStyle name="20% - Accent6 10" xfId="734"/>
    <cellStyle name="20% - Accent6 10 2" xfId="1070"/>
    <cellStyle name="20% - Accent6 10 3" xfId="22691"/>
    <cellStyle name="20% - Accent6 10 4" xfId="23033"/>
    <cellStyle name="20% - Accent6 11" xfId="760"/>
    <cellStyle name="20% - Accent6 11 2" xfId="1086"/>
    <cellStyle name="20% - Accent6 11 3" xfId="22666"/>
    <cellStyle name="20% - Accent6 11 4" xfId="23049"/>
    <cellStyle name="20% - Accent6 12" xfId="785"/>
    <cellStyle name="20% - Accent6 12 2" xfId="1102"/>
    <cellStyle name="20% - Accent6 12 3" xfId="22688"/>
    <cellStyle name="20% - Accent6 12 4" xfId="23065"/>
    <cellStyle name="20% - Accent6 13" xfId="809"/>
    <cellStyle name="20% - Accent6 13 2" xfId="1118"/>
    <cellStyle name="20% - Accent6 13 3" xfId="22730"/>
    <cellStyle name="20% - Accent6 13 4" xfId="23081"/>
    <cellStyle name="20% - Accent6 14" xfId="826"/>
    <cellStyle name="20% - Accent6 14 2" xfId="1134"/>
    <cellStyle name="20% - Accent6 14 3" xfId="22611"/>
    <cellStyle name="20% - Accent6 14 4" xfId="23097"/>
    <cellStyle name="20% - Accent6 15" xfId="842"/>
    <cellStyle name="20% - Accent6 15 2" xfId="1150"/>
    <cellStyle name="20% - Accent6 15 3" xfId="22591"/>
    <cellStyle name="20% - Accent6 15 4" xfId="23113"/>
    <cellStyle name="20% - Accent6 16" xfId="866"/>
    <cellStyle name="20% - Accent6 17" xfId="22829"/>
    <cellStyle name="20% - Accent6 2" xfId="507"/>
    <cellStyle name="20% - Accent6 2 2" xfId="942"/>
    <cellStyle name="20% - Accent6 2 2 2" xfId="6412"/>
    <cellStyle name="20% - Accent6 2 2 2 2" xfId="9498"/>
    <cellStyle name="20% - Accent6 2 2 2 2 2" xfId="15691"/>
    <cellStyle name="20% - Accent6 2 2 2 2 3" xfId="21843"/>
    <cellStyle name="20% - Accent6 2 2 2 3" xfId="12625"/>
    <cellStyle name="20% - Accent6 2 2 2 4" xfId="18777"/>
    <cellStyle name="20% - Accent6 2 2 3" xfId="7963"/>
    <cellStyle name="20% - Accent6 2 2 3 2" xfId="14157"/>
    <cellStyle name="20% - Accent6 2 2 3 3" xfId="20309"/>
    <cellStyle name="20% - Accent6 2 2 4" xfId="11091"/>
    <cellStyle name="20% - Accent6 2 2 5" xfId="17243"/>
    <cellStyle name="20% - Accent6 2 2 6" xfId="4787"/>
    <cellStyle name="20% - Accent6 2 3" xfId="5626"/>
    <cellStyle name="20% - Accent6 2 3 2" xfId="8729"/>
    <cellStyle name="20% - Accent6 2 3 2 2" xfId="14922"/>
    <cellStyle name="20% - Accent6 2 3 2 3" xfId="21074"/>
    <cellStyle name="20% - Accent6 2 3 3" xfId="11856"/>
    <cellStyle name="20% - Accent6 2 3 4" xfId="18008"/>
    <cellStyle name="20% - Accent6 2 4" xfId="7194"/>
    <cellStyle name="20% - Accent6 2 4 2" xfId="13388"/>
    <cellStyle name="20% - Accent6 2 4 3" xfId="19540"/>
    <cellStyle name="20% - Accent6 2 5" xfId="10322"/>
    <cellStyle name="20% - Accent6 2 6" xfId="16474"/>
    <cellStyle name="20% - Accent6 2 7" xfId="1352"/>
    <cellStyle name="20% - Accent6 2 8" xfId="22905"/>
    <cellStyle name="20% - Accent6 3" xfId="537"/>
    <cellStyle name="20% - Accent6 3 2" xfId="958"/>
    <cellStyle name="20% - Accent6 3 2 2" xfId="6413"/>
    <cellStyle name="20% - Accent6 3 2 2 2" xfId="9499"/>
    <cellStyle name="20% - Accent6 3 2 2 2 2" xfId="15692"/>
    <cellStyle name="20% - Accent6 3 2 2 2 3" xfId="21844"/>
    <cellStyle name="20% - Accent6 3 2 2 3" xfId="12626"/>
    <cellStyle name="20% - Accent6 3 2 2 4" xfId="18778"/>
    <cellStyle name="20% - Accent6 3 2 3" xfId="7964"/>
    <cellStyle name="20% - Accent6 3 2 3 2" xfId="14158"/>
    <cellStyle name="20% - Accent6 3 2 3 3" xfId="20310"/>
    <cellStyle name="20% - Accent6 3 2 4" xfId="11092"/>
    <cellStyle name="20% - Accent6 3 2 5" xfId="17244"/>
    <cellStyle name="20% - Accent6 3 2 6" xfId="4788"/>
    <cellStyle name="20% - Accent6 3 3" xfId="5627"/>
    <cellStyle name="20% - Accent6 3 3 2" xfId="8730"/>
    <cellStyle name="20% - Accent6 3 3 2 2" xfId="14923"/>
    <cellStyle name="20% - Accent6 3 3 2 3" xfId="21075"/>
    <cellStyle name="20% - Accent6 3 3 3" xfId="11857"/>
    <cellStyle name="20% - Accent6 3 3 4" xfId="18009"/>
    <cellStyle name="20% - Accent6 3 4" xfId="7195"/>
    <cellStyle name="20% - Accent6 3 4 2" xfId="13389"/>
    <cellStyle name="20% - Accent6 3 4 3" xfId="19541"/>
    <cellStyle name="20% - Accent6 3 5" xfId="10323"/>
    <cellStyle name="20% - Accent6 3 6" xfId="16475"/>
    <cellStyle name="20% - Accent6 3 7" xfId="1353"/>
    <cellStyle name="20% - Accent6 3 8" xfId="22921"/>
    <cellStyle name="20% - Accent6 4" xfId="564"/>
    <cellStyle name="20% - Accent6 4 2" xfId="974"/>
    <cellStyle name="20% - Accent6 4 2 2" xfId="6414"/>
    <cellStyle name="20% - Accent6 4 2 2 2" xfId="9500"/>
    <cellStyle name="20% - Accent6 4 2 2 2 2" xfId="15693"/>
    <cellStyle name="20% - Accent6 4 2 2 2 3" xfId="21845"/>
    <cellStyle name="20% - Accent6 4 2 2 3" xfId="12627"/>
    <cellStyle name="20% - Accent6 4 2 2 4" xfId="18779"/>
    <cellStyle name="20% - Accent6 4 2 3" xfId="7965"/>
    <cellStyle name="20% - Accent6 4 2 3 2" xfId="14159"/>
    <cellStyle name="20% - Accent6 4 2 3 3" xfId="20311"/>
    <cellStyle name="20% - Accent6 4 2 4" xfId="11093"/>
    <cellStyle name="20% - Accent6 4 2 5" xfId="17245"/>
    <cellStyle name="20% - Accent6 4 2 6" xfId="4789"/>
    <cellStyle name="20% - Accent6 4 3" xfId="5628"/>
    <cellStyle name="20% - Accent6 4 3 2" xfId="8731"/>
    <cellStyle name="20% - Accent6 4 3 2 2" xfId="14924"/>
    <cellStyle name="20% - Accent6 4 3 2 3" xfId="21076"/>
    <cellStyle name="20% - Accent6 4 3 3" xfId="11858"/>
    <cellStyle name="20% - Accent6 4 3 4" xfId="18010"/>
    <cellStyle name="20% - Accent6 4 4" xfId="7196"/>
    <cellStyle name="20% - Accent6 4 4 2" xfId="13390"/>
    <cellStyle name="20% - Accent6 4 4 3" xfId="19542"/>
    <cellStyle name="20% - Accent6 4 5" xfId="10324"/>
    <cellStyle name="20% - Accent6 4 6" xfId="16476"/>
    <cellStyle name="20% - Accent6 4 7" xfId="1354"/>
    <cellStyle name="20% - Accent6 4 8" xfId="22937"/>
    <cellStyle name="20% - Accent6 5" xfId="590"/>
    <cellStyle name="20% - Accent6 5 2" xfId="990"/>
    <cellStyle name="20% - Accent6 5 3" xfId="1355"/>
    <cellStyle name="20% - Accent6 5 4" xfId="22590"/>
    <cellStyle name="20% - Accent6 5 5" xfId="22953"/>
    <cellStyle name="20% - Accent6 6" xfId="617"/>
    <cellStyle name="20% - Accent6 6 2" xfId="1006"/>
    <cellStyle name="20% - Accent6 6 3" xfId="22740"/>
    <cellStyle name="20% - Accent6 6 4" xfId="22969"/>
    <cellStyle name="20% - Accent6 7" xfId="641"/>
    <cellStyle name="20% - Accent6 7 2" xfId="1022"/>
    <cellStyle name="20% - Accent6 7 3" xfId="22665"/>
    <cellStyle name="20% - Accent6 7 4" xfId="22985"/>
    <cellStyle name="20% - Accent6 8" xfId="666"/>
    <cellStyle name="20% - Accent6 8 2" xfId="1038"/>
    <cellStyle name="20% - Accent6 8 3" xfId="22662"/>
    <cellStyle name="20% - Accent6 8 4" xfId="23001"/>
    <cellStyle name="20% - Accent6 9" xfId="706"/>
    <cellStyle name="20% - Accent6 9 2" xfId="1054"/>
    <cellStyle name="20% - Accent6 9 3" xfId="22617"/>
    <cellStyle name="20% - Accent6 9 4" xfId="23017"/>
    <cellStyle name="40% - Accent1" xfId="170" builtinId="31" customBuiltin="1"/>
    <cellStyle name="40% - Accent1 10" xfId="716"/>
    <cellStyle name="40% - Accent1 10 2" xfId="1061"/>
    <cellStyle name="40% - Accent1 10 3" xfId="22627"/>
    <cellStyle name="40% - Accent1 10 4" xfId="23024"/>
    <cellStyle name="40% - Accent1 11" xfId="744"/>
    <cellStyle name="40% - Accent1 11 2" xfId="1077"/>
    <cellStyle name="40% - Accent1 11 3" xfId="22809"/>
    <cellStyle name="40% - Accent1 11 4" xfId="23040"/>
    <cellStyle name="40% - Accent1 12" xfId="770"/>
    <cellStyle name="40% - Accent1 12 2" xfId="1093"/>
    <cellStyle name="40% - Accent1 12 3" xfId="22758"/>
    <cellStyle name="40% - Accent1 12 4" xfId="23056"/>
    <cellStyle name="40% - Accent1 13" xfId="795"/>
    <cellStyle name="40% - Accent1 13 2" xfId="1109"/>
    <cellStyle name="40% - Accent1 13 3" xfId="22714"/>
    <cellStyle name="40% - Accent1 13 4" xfId="23072"/>
    <cellStyle name="40% - Accent1 14" xfId="817"/>
    <cellStyle name="40% - Accent1 14 2" xfId="1125"/>
    <cellStyle name="40% - Accent1 14 3" xfId="22786"/>
    <cellStyle name="40% - Accent1 14 4" xfId="23088"/>
    <cellStyle name="40% - Accent1 15" xfId="833"/>
    <cellStyle name="40% - Accent1 15 2" xfId="1141"/>
    <cellStyle name="40% - Accent1 15 3" xfId="22677"/>
    <cellStyle name="40% - Accent1 15 4" xfId="23104"/>
    <cellStyle name="40% - Accent1 16" xfId="857"/>
    <cellStyle name="40% - Accent1 17" xfId="22820"/>
    <cellStyle name="40% - Accent1 2" xfId="488"/>
    <cellStyle name="40% - Accent1 2 2" xfId="933"/>
    <cellStyle name="40% - Accent1 2 2 2" xfId="6415"/>
    <cellStyle name="40% - Accent1 2 2 2 2" xfId="9501"/>
    <cellStyle name="40% - Accent1 2 2 2 2 2" xfId="15694"/>
    <cellStyle name="40% - Accent1 2 2 2 2 3" xfId="21846"/>
    <cellStyle name="40% - Accent1 2 2 2 3" xfId="12628"/>
    <cellStyle name="40% - Accent1 2 2 2 4" xfId="18780"/>
    <cellStyle name="40% - Accent1 2 2 3" xfId="7966"/>
    <cellStyle name="40% - Accent1 2 2 3 2" xfId="14160"/>
    <cellStyle name="40% - Accent1 2 2 3 3" xfId="20312"/>
    <cellStyle name="40% - Accent1 2 2 4" xfId="11094"/>
    <cellStyle name="40% - Accent1 2 2 5" xfId="17246"/>
    <cellStyle name="40% - Accent1 2 2 6" xfId="4790"/>
    <cellStyle name="40% - Accent1 2 3" xfId="5629"/>
    <cellStyle name="40% - Accent1 2 3 2" xfId="8732"/>
    <cellStyle name="40% - Accent1 2 3 2 2" xfId="14925"/>
    <cellStyle name="40% - Accent1 2 3 2 3" xfId="21077"/>
    <cellStyle name="40% - Accent1 2 3 3" xfId="11859"/>
    <cellStyle name="40% - Accent1 2 3 4" xfId="18011"/>
    <cellStyle name="40% - Accent1 2 4" xfId="7197"/>
    <cellStyle name="40% - Accent1 2 4 2" xfId="13391"/>
    <cellStyle name="40% - Accent1 2 4 3" xfId="19543"/>
    <cellStyle name="40% - Accent1 2 5" xfId="10325"/>
    <cellStyle name="40% - Accent1 2 6" xfId="16477"/>
    <cellStyle name="40% - Accent1 2 7" xfId="1356"/>
    <cellStyle name="40% - Accent1 2 8" xfId="22896"/>
    <cellStyle name="40% - Accent1 3" xfId="519"/>
    <cellStyle name="40% - Accent1 3 2" xfId="949"/>
    <cellStyle name="40% - Accent1 3 2 2" xfId="6416"/>
    <cellStyle name="40% - Accent1 3 2 2 2" xfId="9502"/>
    <cellStyle name="40% - Accent1 3 2 2 2 2" xfId="15695"/>
    <cellStyle name="40% - Accent1 3 2 2 2 3" xfId="21847"/>
    <cellStyle name="40% - Accent1 3 2 2 3" xfId="12629"/>
    <cellStyle name="40% - Accent1 3 2 2 4" xfId="18781"/>
    <cellStyle name="40% - Accent1 3 2 3" xfId="7967"/>
    <cellStyle name="40% - Accent1 3 2 3 2" xfId="14161"/>
    <cellStyle name="40% - Accent1 3 2 3 3" xfId="20313"/>
    <cellStyle name="40% - Accent1 3 2 4" xfId="11095"/>
    <cellStyle name="40% - Accent1 3 2 5" xfId="17247"/>
    <cellStyle name="40% - Accent1 3 2 6" xfId="4791"/>
    <cellStyle name="40% - Accent1 3 3" xfId="5630"/>
    <cellStyle name="40% - Accent1 3 3 2" xfId="8733"/>
    <cellStyle name="40% - Accent1 3 3 2 2" xfId="14926"/>
    <cellStyle name="40% - Accent1 3 3 2 3" xfId="21078"/>
    <cellStyle name="40% - Accent1 3 3 3" xfId="11860"/>
    <cellStyle name="40% - Accent1 3 3 4" xfId="18012"/>
    <cellStyle name="40% - Accent1 3 4" xfId="7198"/>
    <cellStyle name="40% - Accent1 3 4 2" xfId="13392"/>
    <cellStyle name="40% - Accent1 3 4 3" xfId="19544"/>
    <cellStyle name="40% - Accent1 3 5" xfId="10326"/>
    <cellStyle name="40% - Accent1 3 6" xfId="16478"/>
    <cellStyle name="40% - Accent1 3 7" xfId="1357"/>
    <cellStyle name="40% - Accent1 3 8" xfId="22912"/>
    <cellStyle name="40% - Accent1 4" xfId="547"/>
    <cellStyle name="40% - Accent1 4 2" xfId="965"/>
    <cellStyle name="40% - Accent1 4 2 2" xfId="6417"/>
    <cellStyle name="40% - Accent1 4 2 2 2" xfId="9503"/>
    <cellStyle name="40% - Accent1 4 2 2 2 2" xfId="15696"/>
    <cellStyle name="40% - Accent1 4 2 2 2 3" xfId="21848"/>
    <cellStyle name="40% - Accent1 4 2 2 3" xfId="12630"/>
    <cellStyle name="40% - Accent1 4 2 2 4" xfId="18782"/>
    <cellStyle name="40% - Accent1 4 2 3" xfId="7968"/>
    <cellStyle name="40% - Accent1 4 2 3 2" xfId="14162"/>
    <cellStyle name="40% - Accent1 4 2 3 3" xfId="20314"/>
    <cellStyle name="40% - Accent1 4 2 4" xfId="11096"/>
    <cellStyle name="40% - Accent1 4 2 5" xfId="17248"/>
    <cellStyle name="40% - Accent1 4 2 6" xfId="4792"/>
    <cellStyle name="40% - Accent1 4 3" xfId="5631"/>
    <cellStyle name="40% - Accent1 4 3 2" xfId="8734"/>
    <cellStyle name="40% - Accent1 4 3 2 2" xfId="14927"/>
    <cellStyle name="40% - Accent1 4 3 2 3" xfId="21079"/>
    <cellStyle name="40% - Accent1 4 3 3" xfId="11861"/>
    <cellStyle name="40% - Accent1 4 3 4" xfId="18013"/>
    <cellStyle name="40% - Accent1 4 4" xfId="7199"/>
    <cellStyle name="40% - Accent1 4 4 2" xfId="13393"/>
    <cellStyle name="40% - Accent1 4 4 3" xfId="19545"/>
    <cellStyle name="40% - Accent1 4 5" xfId="10327"/>
    <cellStyle name="40% - Accent1 4 6" xfId="16479"/>
    <cellStyle name="40% - Accent1 4 7" xfId="1358"/>
    <cellStyle name="40% - Accent1 4 8" xfId="22928"/>
    <cellStyle name="40% - Accent1 5" xfId="574"/>
    <cellStyle name="40% - Accent1 5 2" xfId="981"/>
    <cellStyle name="40% - Accent1 5 2 2" xfId="6418"/>
    <cellStyle name="40% - Accent1 5 2 2 2" xfId="9504"/>
    <cellStyle name="40% - Accent1 5 2 2 2 2" xfId="15697"/>
    <cellStyle name="40% - Accent1 5 2 2 2 3" xfId="21849"/>
    <cellStyle name="40% - Accent1 5 2 2 3" xfId="12631"/>
    <cellStyle name="40% - Accent1 5 2 2 4" xfId="18783"/>
    <cellStyle name="40% - Accent1 5 2 3" xfId="7969"/>
    <cellStyle name="40% - Accent1 5 2 3 2" xfId="14163"/>
    <cellStyle name="40% - Accent1 5 2 3 3" xfId="20315"/>
    <cellStyle name="40% - Accent1 5 2 4" xfId="11097"/>
    <cellStyle name="40% - Accent1 5 2 5" xfId="17249"/>
    <cellStyle name="40% - Accent1 5 2 6" xfId="4793"/>
    <cellStyle name="40% - Accent1 5 3" xfId="5632"/>
    <cellStyle name="40% - Accent1 5 3 2" xfId="8735"/>
    <cellStyle name="40% - Accent1 5 3 2 2" xfId="14928"/>
    <cellStyle name="40% - Accent1 5 3 2 3" xfId="21080"/>
    <cellStyle name="40% - Accent1 5 3 3" xfId="11862"/>
    <cellStyle name="40% - Accent1 5 3 4" xfId="18014"/>
    <cellStyle name="40% - Accent1 5 4" xfId="7200"/>
    <cellStyle name="40% - Accent1 5 4 2" xfId="13394"/>
    <cellStyle name="40% - Accent1 5 4 3" xfId="19546"/>
    <cellStyle name="40% - Accent1 5 5" xfId="10328"/>
    <cellStyle name="40% - Accent1 5 6" xfId="16480"/>
    <cellStyle name="40% - Accent1 5 7" xfId="1359"/>
    <cellStyle name="40% - Accent1 5 8" xfId="22594"/>
    <cellStyle name="40% - Accent1 5 9" xfId="22944"/>
    <cellStyle name="40% - Accent1 6" xfId="601"/>
    <cellStyle name="40% - Accent1 6 2" xfId="997"/>
    <cellStyle name="40% - Accent1 6 3" xfId="1360"/>
    <cellStyle name="40% - Accent1 6 4" xfId="22612"/>
    <cellStyle name="40% - Accent1 6 5" xfId="22960"/>
    <cellStyle name="40% - Accent1 7" xfId="625"/>
    <cellStyle name="40% - Accent1 7 2" xfId="1013"/>
    <cellStyle name="40% - Accent1 7 3" xfId="22704"/>
    <cellStyle name="40% - Accent1 7 4" xfId="22976"/>
    <cellStyle name="40% - Accent1 8" xfId="649"/>
    <cellStyle name="40% - Accent1 8 2" xfId="1029"/>
    <cellStyle name="40% - Accent1 8 3" xfId="22719"/>
    <cellStyle name="40% - Accent1 8 4" xfId="22992"/>
    <cellStyle name="40% - Accent1 9" xfId="687"/>
    <cellStyle name="40% - Accent1 9 2" xfId="1045"/>
    <cellStyle name="40% - Accent1 9 3" xfId="22606"/>
    <cellStyle name="40% - Accent1 9 4" xfId="23008"/>
    <cellStyle name="40% - Accent2" xfId="174" builtinId="35" customBuiltin="1"/>
    <cellStyle name="40% - Accent2 10" xfId="719"/>
    <cellStyle name="40% - Accent2 10 2" xfId="1063"/>
    <cellStyle name="40% - Accent2 10 3" xfId="22802"/>
    <cellStyle name="40% - Accent2 10 4" xfId="23026"/>
    <cellStyle name="40% - Accent2 11" xfId="747"/>
    <cellStyle name="40% - Accent2 11 2" xfId="1079"/>
    <cellStyle name="40% - Accent2 11 3" xfId="1219"/>
    <cellStyle name="40% - Accent2 11 4" xfId="23042"/>
    <cellStyle name="40% - Accent2 12" xfId="773"/>
    <cellStyle name="40% - Accent2 12 2" xfId="1095"/>
    <cellStyle name="40% - Accent2 12 3" xfId="22622"/>
    <cellStyle name="40% - Accent2 12 4" xfId="23058"/>
    <cellStyle name="40% - Accent2 13" xfId="797"/>
    <cellStyle name="40% - Accent2 13 2" xfId="1111"/>
    <cellStyle name="40% - Accent2 13 3" xfId="22603"/>
    <cellStyle name="40% - Accent2 13 4" xfId="23074"/>
    <cellStyle name="40% - Accent2 14" xfId="819"/>
    <cellStyle name="40% - Accent2 14 2" xfId="1127"/>
    <cellStyle name="40% - Accent2 14 3" xfId="22750"/>
    <cellStyle name="40% - Accent2 14 4" xfId="23090"/>
    <cellStyle name="40% - Accent2 15" xfId="835"/>
    <cellStyle name="40% - Accent2 15 2" xfId="1143"/>
    <cellStyle name="40% - Accent2 15 3" xfId="22732"/>
    <cellStyle name="40% - Accent2 15 4" xfId="23106"/>
    <cellStyle name="40% - Accent2 16" xfId="859"/>
    <cellStyle name="40% - Accent2 17" xfId="22822"/>
    <cellStyle name="40% - Accent2 2" xfId="492"/>
    <cellStyle name="40% - Accent2 2 2" xfId="935"/>
    <cellStyle name="40% - Accent2 2 2 2" xfId="6419"/>
    <cellStyle name="40% - Accent2 2 2 2 2" xfId="9505"/>
    <cellStyle name="40% - Accent2 2 2 2 2 2" xfId="15698"/>
    <cellStyle name="40% - Accent2 2 2 2 2 3" xfId="21850"/>
    <cellStyle name="40% - Accent2 2 2 2 3" xfId="12632"/>
    <cellStyle name="40% - Accent2 2 2 2 4" xfId="18784"/>
    <cellStyle name="40% - Accent2 2 2 3" xfId="7970"/>
    <cellStyle name="40% - Accent2 2 2 3 2" xfId="14164"/>
    <cellStyle name="40% - Accent2 2 2 3 3" xfId="20316"/>
    <cellStyle name="40% - Accent2 2 2 4" xfId="11098"/>
    <cellStyle name="40% - Accent2 2 2 5" xfId="17250"/>
    <cellStyle name="40% - Accent2 2 2 6" xfId="4794"/>
    <cellStyle name="40% - Accent2 2 3" xfId="5633"/>
    <cellStyle name="40% - Accent2 2 3 2" xfId="8736"/>
    <cellStyle name="40% - Accent2 2 3 2 2" xfId="14929"/>
    <cellStyle name="40% - Accent2 2 3 2 3" xfId="21081"/>
    <cellStyle name="40% - Accent2 2 3 3" xfId="11863"/>
    <cellStyle name="40% - Accent2 2 3 4" xfId="18015"/>
    <cellStyle name="40% - Accent2 2 4" xfId="7201"/>
    <cellStyle name="40% - Accent2 2 4 2" xfId="13395"/>
    <cellStyle name="40% - Accent2 2 4 3" xfId="19547"/>
    <cellStyle name="40% - Accent2 2 5" xfId="10329"/>
    <cellStyle name="40% - Accent2 2 6" xfId="16481"/>
    <cellStyle name="40% - Accent2 2 7" xfId="1361"/>
    <cellStyle name="40% - Accent2 2 8" xfId="22898"/>
    <cellStyle name="40% - Accent2 3" xfId="522"/>
    <cellStyle name="40% - Accent2 3 2" xfId="951"/>
    <cellStyle name="40% - Accent2 3 2 2" xfId="6420"/>
    <cellStyle name="40% - Accent2 3 2 2 2" xfId="9506"/>
    <cellStyle name="40% - Accent2 3 2 2 2 2" xfId="15699"/>
    <cellStyle name="40% - Accent2 3 2 2 2 3" xfId="21851"/>
    <cellStyle name="40% - Accent2 3 2 2 3" xfId="12633"/>
    <cellStyle name="40% - Accent2 3 2 2 4" xfId="18785"/>
    <cellStyle name="40% - Accent2 3 2 3" xfId="7971"/>
    <cellStyle name="40% - Accent2 3 2 3 2" xfId="14165"/>
    <cellStyle name="40% - Accent2 3 2 3 3" xfId="20317"/>
    <cellStyle name="40% - Accent2 3 2 4" xfId="11099"/>
    <cellStyle name="40% - Accent2 3 2 5" xfId="17251"/>
    <cellStyle name="40% - Accent2 3 2 6" xfId="4795"/>
    <cellStyle name="40% - Accent2 3 3" xfId="5634"/>
    <cellStyle name="40% - Accent2 3 3 2" xfId="8737"/>
    <cellStyle name="40% - Accent2 3 3 2 2" xfId="14930"/>
    <cellStyle name="40% - Accent2 3 3 2 3" xfId="21082"/>
    <cellStyle name="40% - Accent2 3 3 3" xfId="11864"/>
    <cellStyle name="40% - Accent2 3 3 4" xfId="18016"/>
    <cellStyle name="40% - Accent2 3 4" xfId="7202"/>
    <cellStyle name="40% - Accent2 3 4 2" xfId="13396"/>
    <cellStyle name="40% - Accent2 3 4 3" xfId="19548"/>
    <cellStyle name="40% - Accent2 3 5" xfId="10330"/>
    <cellStyle name="40% - Accent2 3 6" xfId="16482"/>
    <cellStyle name="40% - Accent2 3 7" xfId="1362"/>
    <cellStyle name="40% - Accent2 3 8" xfId="22914"/>
    <cellStyle name="40% - Accent2 4" xfId="550"/>
    <cellStyle name="40% - Accent2 4 2" xfId="967"/>
    <cellStyle name="40% - Accent2 4 2 2" xfId="6421"/>
    <cellStyle name="40% - Accent2 4 2 2 2" xfId="9507"/>
    <cellStyle name="40% - Accent2 4 2 2 2 2" xfId="15700"/>
    <cellStyle name="40% - Accent2 4 2 2 2 3" xfId="21852"/>
    <cellStyle name="40% - Accent2 4 2 2 3" xfId="12634"/>
    <cellStyle name="40% - Accent2 4 2 2 4" xfId="18786"/>
    <cellStyle name="40% - Accent2 4 2 3" xfId="7972"/>
    <cellStyle name="40% - Accent2 4 2 3 2" xfId="14166"/>
    <cellStyle name="40% - Accent2 4 2 3 3" xfId="20318"/>
    <cellStyle name="40% - Accent2 4 2 4" xfId="11100"/>
    <cellStyle name="40% - Accent2 4 2 5" xfId="17252"/>
    <cellStyle name="40% - Accent2 4 2 6" xfId="4796"/>
    <cellStyle name="40% - Accent2 4 3" xfId="5635"/>
    <cellStyle name="40% - Accent2 4 3 2" xfId="8738"/>
    <cellStyle name="40% - Accent2 4 3 2 2" xfId="14931"/>
    <cellStyle name="40% - Accent2 4 3 2 3" xfId="21083"/>
    <cellStyle name="40% - Accent2 4 3 3" xfId="11865"/>
    <cellStyle name="40% - Accent2 4 3 4" xfId="18017"/>
    <cellStyle name="40% - Accent2 4 4" xfId="7203"/>
    <cellStyle name="40% - Accent2 4 4 2" xfId="13397"/>
    <cellStyle name="40% - Accent2 4 4 3" xfId="19549"/>
    <cellStyle name="40% - Accent2 4 5" xfId="10331"/>
    <cellStyle name="40% - Accent2 4 6" xfId="16483"/>
    <cellStyle name="40% - Accent2 4 7" xfId="1363"/>
    <cellStyle name="40% - Accent2 4 8" xfId="22930"/>
    <cellStyle name="40% - Accent2 5" xfId="577"/>
    <cellStyle name="40% - Accent2 5 2" xfId="983"/>
    <cellStyle name="40% - Accent2 5 3" xfId="1364"/>
    <cellStyle name="40% - Accent2 5 4" xfId="22682"/>
    <cellStyle name="40% - Accent2 5 5" xfId="22946"/>
    <cellStyle name="40% - Accent2 6" xfId="604"/>
    <cellStyle name="40% - Accent2 6 2" xfId="999"/>
    <cellStyle name="40% - Accent2 6 3" xfId="22718"/>
    <cellStyle name="40% - Accent2 6 4" xfId="22962"/>
    <cellStyle name="40% - Accent2 7" xfId="628"/>
    <cellStyle name="40% - Accent2 7 2" xfId="1015"/>
    <cellStyle name="40% - Accent2 7 3" xfId="22722"/>
    <cellStyle name="40% - Accent2 7 4" xfId="22978"/>
    <cellStyle name="40% - Accent2 8" xfId="652"/>
    <cellStyle name="40% - Accent2 8 2" xfId="1031"/>
    <cellStyle name="40% - Accent2 8 3" xfId="22784"/>
    <cellStyle name="40% - Accent2 8 4" xfId="22994"/>
    <cellStyle name="40% - Accent2 9" xfId="691"/>
    <cellStyle name="40% - Accent2 9 2" xfId="1047"/>
    <cellStyle name="40% - Accent2 9 3" xfId="22619"/>
    <cellStyle name="40% - Accent2 9 4" xfId="23010"/>
    <cellStyle name="40% - Accent3" xfId="178" builtinId="39" customBuiltin="1"/>
    <cellStyle name="40% - Accent3 10" xfId="723"/>
    <cellStyle name="40% - Accent3 10 2" xfId="1065"/>
    <cellStyle name="40% - Accent3 10 3" xfId="22626"/>
    <cellStyle name="40% - Accent3 10 4" xfId="23028"/>
    <cellStyle name="40% - Accent3 11" xfId="750"/>
    <cellStyle name="40% - Accent3 11 2" xfId="1081"/>
    <cellStyle name="40% - Accent3 11 3" xfId="22724"/>
    <cellStyle name="40% - Accent3 11 4" xfId="23044"/>
    <cellStyle name="40% - Accent3 12" xfId="776"/>
    <cellStyle name="40% - Accent3 12 2" xfId="1097"/>
    <cellStyle name="40% - Accent3 12 3" xfId="22712"/>
    <cellStyle name="40% - Accent3 12 4" xfId="23060"/>
    <cellStyle name="40% - Accent3 13" xfId="800"/>
    <cellStyle name="40% - Accent3 13 2" xfId="1113"/>
    <cellStyle name="40% - Accent3 13 3" xfId="22787"/>
    <cellStyle name="40% - Accent3 13 4" xfId="23076"/>
    <cellStyle name="40% - Accent3 14" xfId="821"/>
    <cellStyle name="40% - Accent3 14 2" xfId="1129"/>
    <cellStyle name="40% - Accent3 14 3" xfId="22658"/>
    <cellStyle name="40% - Accent3 14 4" xfId="23092"/>
    <cellStyle name="40% - Accent3 15" xfId="837"/>
    <cellStyle name="40% - Accent3 15 2" xfId="1145"/>
    <cellStyle name="40% - Accent3 15 3" xfId="22668"/>
    <cellStyle name="40% - Accent3 15 4" xfId="23108"/>
    <cellStyle name="40% - Accent3 16" xfId="861"/>
    <cellStyle name="40% - Accent3 17" xfId="22824"/>
    <cellStyle name="40% - Accent3 2" xfId="496"/>
    <cellStyle name="40% - Accent3 2 2" xfId="937"/>
    <cellStyle name="40% - Accent3 2 2 2" xfId="6422"/>
    <cellStyle name="40% - Accent3 2 2 2 2" xfId="9508"/>
    <cellStyle name="40% - Accent3 2 2 2 2 2" xfId="15701"/>
    <cellStyle name="40% - Accent3 2 2 2 2 3" xfId="21853"/>
    <cellStyle name="40% - Accent3 2 2 2 3" xfId="12635"/>
    <cellStyle name="40% - Accent3 2 2 2 4" xfId="18787"/>
    <cellStyle name="40% - Accent3 2 2 3" xfId="7973"/>
    <cellStyle name="40% - Accent3 2 2 3 2" xfId="14167"/>
    <cellStyle name="40% - Accent3 2 2 3 3" xfId="20319"/>
    <cellStyle name="40% - Accent3 2 2 4" xfId="11101"/>
    <cellStyle name="40% - Accent3 2 2 5" xfId="17253"/>
    <cellStyle name="40% - Accent3 2 2 6" xfId="4797"/>
    <cellStyle name="40% - Accent3 2 3" xfId="5636"/>
    <cellStyle name="40% - Accent3 2 3 2" xfId="8739"/>
    <cellStyle name="40% - Accent3 2 3 2 2" xfId="14932"/>
    <cellStyle name="40% - Accent3 2 3 2 3" xfId="21084"/>
    <cellStyle name="40% - Accent3 2 3 3" xfId="11866"/>
    <cellStyle name="40% - Accent3 2 3 4" xfId="18018"/>
    <cellStyle name="40% - Accent3 2 4" xfId="7204"/>
    <cellStyle name="40% - Accent3 2 4 2" xfId="13398"/>
    <cellStyle name="40% - Accent3 2 4 3" xfId="19550"/>
    <cellStyle name="40% - Accent3 2 5" xfId="10332"/>
    <cellStyle name="40% - Accent3 2 6" xfId="16484"/>
    <cellStyle name="40% - Accent3 2 7" xfId="1365"/>
    <cellStyle name="40% - Accent3 2 8" xfId="22900"/>
    <cellStyle name="40% - Accent3 3" xfId="526"/>
    <cellStyle name="40% - Accent3 3 2" xfId="953"/>
    <cellStyle name="40% - Accent3 3 2 2" xfId="6423"/>
    <cellStyle name="40% - Accent3 3 2 2 2" xfId="9509"/>
    <cellStyle name="40% - Accent3 3 2 2 2 2" xfId="15702"/>
    <cellStyle name="40% - Accent3 3 2 2 2 3" xfId="21854"/>
    <cellStyle name="40% - Accent3 3 2 2 3" xfId="12636"/>
    <cellStyle name="40% - Accent3 3 2 2 4" xfId="18788"/>
    <cellStyle name="40% - Accent3 3 2 3" xfId="7974"/>
    <cellStyle name="40% - Accent3 3 2 3 2" xfId="14168"/>
    <cellStyle name="40% - Accent3 3 2 3 3" xfId="20320"/>
    <cellStyle name="40% - Accent3 3 2 4" xfId="11102"/>
    <cellStyle name="40% - Accent3 3 2 5" xfId="17254"/>
    <cellStyle name="40% - Accent3 3 2 6" xfId="4798"/>
    <cellStyle name="40% - Accent3 3 3" xfId="5637"/>
    <cellStyle name="40% - Accent3 3 3 2" xfId="8740"/>
    <cellStyle name="40% - Accent3 3 3 2 2" xfId="14933"/>
    <cellStyle name="40% - Accent3 3 3 2 3" xfId="21085"/>
    <cellStyle name="40% - Accent3 3 3 3" xfId="11867"/>
    <cellStyle name="40% - Accent3 3 3 4" xfId="18019"/>
    <cellStyle name="40% - Accent3 3 4" xfId="7205"/>
    <cellStyle name="40% - Accent3 3 4 2" xfId="13399"/>
    <cellStyle name="40% - Accent3 3 4 3" xfId="19551"/>
    <cellStyle name="40% - Accent3 3 5" xfId="10333"/>
    <cellStyle name="40% - Accent3 3 6" xfId="16485"/>
    <cellStyle name="40% - Accent3 3 7" xfId="1366"/>
    <cellStyle name="40% - Accent3 3 8" xfId="22916"/>
    <cellStyle name="40% - Accent3 4" xfId="553"/>
    <cellStyle name="40% - Accent3 4 2" xfId="969"/>
    <cellStyle name="40% - Accent3 4 2 2" xfId="6424"/>
    <cellStyle name="40% - Accent3 4 2 2 2" xfId="9510"/>
    <cellStyle name="40% - Accent3 4 2 2 2 2" xfId="15703"/>
    <cellStyle name="40% - Accent3 4 2 2 2 3" xfId="21855"/>
    <cellStyle name="40% - Accent3 4 2 2 3" xfId="12637"/>
    <cellStyle name="40% - Accent3 4 2 2 4" xfId="18789"/>
    <cellStyle name="40% - Accent3 4 2 3" xfId="7975"/>
    <cellStyle name="40% - Accent3 4 2 3 2" xfId="14169"/>
    <cellStyle name="40% - Accent3 4 2 3 3" xfId="20321"/>
    <cellStyle name="40% - Accent3 4 2 4" xfId="11103"/>
    <cellStyle name="40% - Accent3 4 2 5" xfId="17255"/>
    <cellStyle name="40% - Accent3 4 2 6" xfId="4799"/>
    <cellStyle name="40% - Accent3 4 3" xfId="5638"/>
    <cellStyle name="40% - Accent3 4 3 2" xfId="8741"/>
    <cellStyle name="40% - Accent3 4 3 2 2" xfId="14934"/>
    <cellStyle name="40% - Accent3 4 3 2 3" xfId="21086"/>
    <cellStyle name="40% - Accent3 4 3 3" xfId="11868"/>
    <cellStyle name="40% - Accent3 4 3 4" xfId="18020"/>
    <cellStyle name="40% - Accent3 4 4" xfId="7206"/>
    <cellStyle name="40% - Accent3 4 4 2" xfId="13400"/>
    <cellStyle name="40% - Accent3 4 4 3" xfId="19552"/>
    <cellStyle name="40% - Accent3 4 5" xfId="10334"/>
    <cellStyle name="40% - Accent3 4 6" xfId="16486"/>
    <cellStyle name="40% - Accent3 4 7" xfId="1367"/>
    <cellStyle name="40% - Accent3 4 8" xfId="22932"/>
    <cellStyle name="40% - Accent3 5" xfId="581"/>
    <cellStyle name="40% - Accent3 5 2" xfId="985"/>
    <cellStyle name="40% - Accent3 5 2 2" xfId="6425"/>
    <cellStyle name="40% - Accent3 5 2 2 2" xfId="9511"/>
    <cellStyle name="40% - Accent3 5 2 2 2 2" xfId="15704"/>
    <cellStyle name="40% - Accent3 5 2 2 2 3" xfId="21856"/>
    <cellStyle name="40% - Accent3 5 2 2 3" xfId="12638"/>
    <cellStyle name="40% - Accent3 5 2 2 4" xfId="18790"/>
    <cellStyle name="40% - Accent3 5 2 3" xfId="7976"/>
    <cellStyle name="40% - Accent3 5 2 3 2" xfId="14170"/>
    <cellStyle name="40% - Accent3 5 2 3 3" xfId="20322"/>
    <cellStyle name="40% - Accent3 5 2 4" xfId="11104"/>
    <cellStyle name="40% - Accent3 5 2 5" xfId="17256"/>
    <cellStyle name="40% - Accent3 5 2 6" xfId="4800"/>
    <cellStyle name="40% - Accent3 5 3" xfId="5639"/>
    <cellStyle name="40% - Accent3 5 3 2" xfId="8742"/>
    <cellStyle name="40% - Accent3 5 3 2 2" xfId="14935"/>
    <cellStyle name="40% - Accent3 5 3 2 3" xfId="21087"/>
    <cellStyle name="40% - Accent3 5 3 3" xfId="11869"/>
    <cellStyle name="40% - Accent3 5 3 4" xfId="18021"/>
    <cellStyle name="40% - Accent3 5 4" xfId="7207"/>
    <cellStyle name="40% - Accent3 5 4 2" xfId="13401"/>
    <cellStyle name="40% - Accent3 5 4 3" xfId="19553"/>
    <cellStyle name="40% - Accent3 5 5" xfId="10335"/>
    <cellStyle name="40% - Accent3 5 6" xfId="16487"/>
    <cellStyle name="40% - Accent3 5 7" xfId="1368"/>
    <cellStyle name="40% - Accent3 5 8" xfId="22630"/>
    <cellStyle name="40% - Accent3 5 9" xfId="22948"/>
    <cellStyle name="40% - Accent3 6" xfId="607"/>
    <cellStyle name="40% - Accent3 6 2" xfId="1001"/>
    <cellStyle name="40% - Accent3 6 3" xfId="1369"/>
    <cellStyle name="40% - Accent3 6 4" xfId="22805"/>
    <cellStyle name="40% - Accent3 6 5" xfId="22964"/>
    <cellStyle name="40% - Accent3 7" xfId="631"/>
    <cellStyle name="40% - Accent3 7 2" xfId="1017"/>
    <cellStyle name="40% - Accent3 7 3" xfId="22599"/>
    <cellStyle name="40% - Accent3 7 4" xfId="22980"/>
    <cellStyle name="40% - Accent3 8" xfId="656"/>
    <cellStyle name="40% - Accent3 8 2" xfId="1033"/>
    <cellStyle name="40% - Accent3 8 3" xfId="22721"/>
    <cellStyle name="40% - Accent3 8 4" xfId="22996"/>
    <cellStyle name="40% - Accent3 9" xfId="695"/>
    <cellStyle name="40% - Accent3 9 2" xfId="1049"/>
    <cellStyle name="40% - Accent3 9 3" xfId="22717"/>
    <cellStyle name="40% - Accent3 9 4" xfId="23012"/>
    <cellStyle name="40% - Accent4" xfId="182" builtinId="43" customBuiltin="1"/>
    <cellStyle name="40% - Accent4 10" xfId="727"/>
    <cellStyle name="40% - Accent4 10 2" xfId="1067"/>
    <cellStyle name="40% - Accent4 10 3" xfId="22649"/>
    <cellStyle name="40% - Accent4 10 4" xfId="23030"/>
    <cellStyle name="40% - Accent4 11" xfId="754"/>
    <cellStyle name="40% - Accent4 11 2" xfId="1083"/>
    <cellStyle name="40% - Accent4 11 3" xfId="22602"/>
    <cellStyle name="40% - Accent4 11 4" xfId="23046"/>
    <cellStyle name="40% - Accent4 12" xfId="780"/>
    <cellStyle name="40% - Accent4 12 2" xfId="1099"/>
    <cellStyle name="40% - Accent4 12 3" xfId="22661"/>
    <cellStyle name="40% - Accent4 12 4" xfId="23062"/>
    <cellStyle name="40% - Accent4 13" xfId="804"/>
    <cellStyle name="40% - Accent4 13 2" xfId="1115"/>
    <cellStyle name="40% - Accent4 13 3" xfId="22683"/>
    <cellStyle name="40% - Accent4 13 4" xfId="23078"/>
    <cellStyle name="40% - Accent4 14" xfId="823"/>
    <cellStyle name="40% - Accent4 14 2" xfId="1131"/>
    <cellStyle name="40% - Accent4 14 3" xfId="22771"/>
    <cellStyle name="40% - Accent4 14 4" xfId="23094"/>
    <cellStyle name="40% - Accent4 15" xfId="839"/>
    <cellStyle name="40% - Accent4 15 2" xfId="1147"/>
    <cellStyle name="40% - Accent4 15 3" xfId="22643"/>
    <cellStyle name="40% - Accent4 15 4" xfId="23110"/>
    <cellStyle name="40% - Accent4 16" xfId="863"/>
    <cellStyle name="40% - Accent4 17" xfId="22826"/>
    <cellStyle name="40% - Accent4 2" xfId="500"/>
    <cellStyle name="40% - Accent4 2 2" xfId="939"/>
    <cellStyle name="40% - Accent4 2 2 2" xfId="6426"/>
    <cellStyle name="40% - Accent4 2 2 2 2" xfId="9512"/>
    <cellStyle name="40% - Accent4 2 2 2 2 2" xfId="15705"/>
    <cellStyle name="40% - Accent4 2 2 2 2 3" xfId="21857"/>
    <cellStyle name="40% - Accent4 2 2 2 3" xfId="12639"/>
    <cellStyle name="40% - Accent4 2 2 2 4" xfId="18791"/>
    <cellStyle name="40% - Accent4 2 2 3" xfId="7977"/>
    <cellStyle name="40% - Accent4 2 2 3 2" xfId="14171"/>
    <cellStyle name="40% - Accent4 2 2 3 3" xfId="20323"/>
    <cellStyle name="40% - Accent4 2 2 4" xfId="11105"/>
    <cellStyle name="40% - Accent4 2 2 5" xfId="17257"/>
    <cellStyle name="40% - Accent4 2 2 6" xfId="4801"/>
    <cellStyle name="40% - Accent4 2 3" xfId="5640"/>
    <cellStyle name="40% - Accent4 2 3 2" xfId="8743"/>
    <cellStyle name="40% - Accent4 2 3 2 2" xfId="14936"/>
    <cellStyle name="40% - Accent4 2 3 2 3" xfId="21088"/>
    <cellStyle name="40% - Accent4 2 3 3" xfId="11870"/>
    <cellStyle name="40% - Accent4 2 3 4" xfId="18022"/>
    <cellStyle name="40% - Accent4 2 4" xfId="7208"/>
    <cellStyle name="40% - Accent4 2 4 2" xfId="13402"/>
    <cellStyle name="40% - Accent4 2 4 3" xfId="19554"/>
    <cellStyle name="40% - Accent4 2 5" xfId="10336"/>
    <cellStyle name="40% - Accent4 2 6" xfId="16488"/>
    <cellStyle name="40% - Accent4 2 7" xfId="1370"/>
    <cellStyle name="40% - Accent4 2 8" xfId="22902"/>
    <cellStyle name="40% - Accent4 3" xfId="530"/>
    <cellStyle name="40% - Accent4 3 2" xfId="955"/>
    <cellStyle name="40% - Accent4 3 2 2" xfId="6427"/>
    <cellStyle name="40% - Accent4 3 2 2 2" xfId="9513"/>
    <cellStyle name="40% - Accent4 3 2 2 2 2" xfId="15706"/>
    <cellStyle name="40% - Accent4 3 2 2 2 3" xfId="21858"/>
    <cellStyle name="40% - Accent4 3 2 2 3" xfId="12640"/>
    <cellStyle name="40% - Accent4 3 2 2 4" xfId="18792"/>
    <cellStyle name="40% - Accent4 3 2 3" xfId="7978"/>
    <cellStyle name="40% - Accent4 3 2 3 2" xfId="14172"/>
    <cellStyle name="40% - Accent4 3 2 3 3" xfId="20324"/>
    <cellStyle name="40% - Accent4 3 2 4" xfId="11106"/>
    <cellStyle name="40% - Accent4 3 2 5" xfId="17258"/>
    <cellStyle name="40% - Accent4 3 2 6" xfId="4802"/>
    <cellStyle name="40% - Accent4 3 3" xfId="5641"/>
    <cellStyle name="40% - Accent4 3 3 2" xfId="8744"/>
    <cellStyle name="40% - Accent4 3 3 2 2" xfId="14937"/>
    <cellStyle name="40% - Accent4 3 3 2 3" xfId="21089"/>
    <cellStyle name="40% - Accent4 3 3 3" xfId="11871"/>
    <cellStyle name="40% - Accent4 3 3 4" xfId="18023"/>
    <cellStyle name="40% - Accent4 3 4" xfId="7209"/>
    <cellStyle name="40% - Accent4 3 4 2" xfId="13403"/>
    <cellStyle name="40% - Accent4 3 4 3" xfId="19555"/>
    <cellStyle name="40% - Accent4 3 5" xfId="10337"/>
    <cellStyle name="40% - Accent4 3 6" xfId="16489"/>
    <cellStyle name="40% - Accent4 3 7" xfId="1371"/>
    <cellStyle name="40% - Accent4 3 8" xfId="22918"/>
    <cellStyle name="40% - Accent4 4" xfId="557"/>
    <cellStyle name="40% - Accent4 4 2" xfId="971"/>
    <cellStyle name="40% - Accent4 4 2 2" xfId="6428"/>
    <cellStyle name="40% - Accent4 4 2 2 2" xfId="9514"/>
    <cellStyle name="40% - Accent4 4 2 2 2 2" xfId="15707"/>
    <cellStyle name="40% - Accent4 4 2 2 2 3" xfId="21859"/>
    <cellStyle name="40% - Accent4 4 2 2 3" xfId="12641"/>
    <cellStyle name="40% - Accent4 4 2 2 4" xfId="18793"/>
    <cellStyle name="40% - Accent4 4 2 3" xfId="7979"/>
    <cellStyle name="40% - Accent4 4 2 3 2" xfId="14173"/>
    <cellStyle name="40% - Accent4 4 2 3 3" xfId="20325"/>
    <cellStyle name="40% - Accent4 4 2 4" xfId="11107"/>
    <cellStyle name="40% - Accent4 4 2 5" xfId="17259"/>
    <cellStyle name="40% - Accent4 4 2 6" xfId="4803"/>
    <cellStyle name="40% - Accent4 4 3" xfId="5642"/>
    <cellStyle name="40% - Accent4 4 3 2" xfId="8745"/>
    <cellStyle name="40% - Accent4 4 3 2 2" xfId="14938"/>
    <cellStyle name="40% - Accent4 4 3 2 3" xfId="21090"/>
    <cellStyle name="40% - Accent4 4 3 3" xfId="11872"/>
    <cellStyle name="40% - Accent4 4 3 4" xfId="18024"/>
    <cellStyle name="40% - Accent4 4 4" xfId="7210"/>
    <cellStyle name="40% - Accent4 4 4 2" xfId="13404"/>
    <cellStyle name="40% - Accent4 4 4 3" xfId="19556"/>
    <cellStyle name="40% - Accent4 4 5" xfId="10338"/>
    <cellStyle name="40% - Accent4 4 6" xfId="16490"/>
    <cellStyle name="40% - Accent4 4 7" xfId="1372"/>
    <cellStyle name="40% - Accent4 4 8" xfId="22934"/>
    <cellStyle name="40% - Accent4 5" xfId="585"/>
    <cellStyle name="40% - Accent4 5 2" xfId="987"/>
    <cellStyle name="40% - Accent4 5 2 2" xfId="6429"/>
    <cellStyle name="40% - Accent4 5 2 2 2" xfId="9515"/>
    <cellStyle name="40% - Accent4 5 2 2 2 2" xfId="15708"/>
    <cellStyle name="40% - Accent4 5 2 2 2 3" xfId="21860"/>
    <cellStyle name="40% - Accent4 5 2 2 3" xfId="12642"/>
    <cellStyle name="40% - Accent4 5 2 2 4" xfId="18794"/>
    <cellStyle name="40% - Accent4 5 2 3" xfId="7980"/>
    <cellStyle name="40% - Accent4 5 2 3 2" xfId="14174"/>
    <cellStyle name="40% - Accent4 5 2 3 3" xfId="20326"/>
    <cellStyle name="40% - Accent4 5 2 4" xfId="11108"/>
    <cellStyle name="40% - Accent4 5 2 5" xfId="17260"/>
    <cellStyle name="40% - Accent4 5 2 6" xfId="4804"/>
    <cellStyle name="40% - Accent4 5 3" xfId="5643"/>
    <cellStyle name="40% - Accent4 5 3 2" xfId="8746"/>
    <cellStyle name="40% - Accent4 5 3 2 2" xfId="14939"/>
    <cellStyle name="40% - Accent4 5 3 2 3" xfId="21091"/>
    <cellStyle name="40% - Accent4 5 3 3" xfId="11873"/>
    <cellStyle name="40% - Accent4 5 3 4" xfId="18025"/>
    <cellStyle name="40% - Accent4 5 4" xfId="7211"/>
    <cellStyle name="40% - Accent4 5 4 2" xfId="13405"/>
    <cellStyle name="40% - Accent4 5 4 3" xfId="19557"/>
    <cellStyle name="40% - Accent4 5 5" xfId="10339"/>
    <cellStyle name="40% - Accent4 5 6" xfId="16491"/>
    <cellStyle name="40% - Accent4 5 7" xfId="1373"/>
    <cellStyle name="40% - Accent4 5 8" xfId="22756"/>
    <cellStyle name="40% - Accent4 5 9" xfId="22950"/>
    <cellStyle name="40% - Accent4 6" xfId="610"/>
    <cellStyle name="40% - Accent4 6 2" xfId="1003"/>
    <cellStyle name="40% - Accent4 6 3" xfId="1374"/>
    <cellStyle name="40% - Accent4 6 4" xfId="22693"/>
    <cellStyle name="40% - Accent4 6 5" xfId="22966"/>
    <cellStyle name="40% - Accent4 7" xfId="635"/>
    <cellStyle name="40% - Accent4 7 2" xfId="1019"/>
    <cellStyle name="40% - Accent4 7 3" xfId="22676"/>
    <cellStyle name="40% - Accent4 7 4" xfId="22982"/>
    <cellStyle name="40% - Accent4 8" xfId="660"/>
    <cellStyle name="40% - Accent4 8 2" xfId="1035"/>
    <cellStyle name="40% - Accent4 8 3" xfId="22614"/>
    <cellStyle name="40% - Accent4 8 4" xfId="22998"/>
    <cellStyle name="40% - Accent4 9" xfId="699"/>
    <cellStyle name="40% - Accent4 9 2" xfId="1051"/>
    <cellStyle name="40% - Accent4 9 3" xfId="22652"/>
    <cellStyle name="40% - Accent4 9 4" xfId="23014"/>
    <cellStyle name="40% - Accent5" xfId="186" builtinId="47" customBuiltin="1"/>
    <cellStyle name="40% - Accent5 10" xfId="731"/>
    <cellStyle name="40% - Accent5 10 2" xfId="1069"/>
    <cellStyle name="40% - Accent5 10 3" xfId="22797"/>
    <cellStyle name="40% - Accent5 10 4" xfId="23032"/>
    <cellStyle name="40% - Accent5 11" xfId="757"/>
    <cellStyle name="40% - Accent5 11 2" xfId="1085"/>
    <cellStyle name="40% - Accent5 11 3" xfId="22793"/>
    <cellStyle name="40% - Accent5 11 4" xfId="23048"/>
    <cellStyle name="40% - Accent5 12" xfId="783"/>
    <cellStyle name="40% - Accent5 12 2" xfId="1101"/>
    <cellStyle name="40% - Accent5 12 3" xfId="22780"/>
    <cellStyle name="40% - Accent5 12 4" xfId="23064"/>
    <cellStyle name="40% - Accent5 13" xfId="807"/>
    <cellStyle name="40% - Accent5 13 2" xfId="1117"/>
    <cellStyle name="40% - Accent5 13 3" xfId="22743"/>
    <cellStyle name="40% - Accent5 13 4" xfId="23080"/>
    <cellStyle name="40% - Accent5 14" xfId="825"/>
    <cellStyle name="40% - Accent5 14 2" xfId="1133"/>
    <cellStyle name="40% - Accent5 14 3" xfId="22609"/>
    <cellStyle name="40% - Accent5 14 4" xfId="23096"/>
    <cellStyle name="40% - Accent5 15" xfId="841"/>
    <cellStyle name="40% - Accent5 15 2" xfId="1149"/>
    <cellStyle name="40% - Accent5 15 3" xfId="22600"/>
    <cellStyle name="40% - Accent5 15 4" xfId="23112"/>
    <cellStyle name="40% - Accent5 16" xfId="865"/>
    <cellStyle name="40% - Accent5 17" xfId="22828"/>
    <cellStyle name="40% - Accent5 2" xfId="504"/>
    <cellStyle name="40% - Accent5 2 2" xfId="941"/>
    <cellStyle name="40% - Accent5 2 2 2" xfId="6430"/>
    <cellStyle name="40% - Accent5 2 2 2 2" xfId="9516"/>
    <cellStyle name="40% - Accent5 2 2 2 2 2" xfId="15709"/>
    <cellStyle name="40% - Accent5 2 2 2 2 3" xfId="21861"/>
    <cellStyle name="40% - Accent5 2 2 2 3" xfId="12643"/>
    <cellStyle name="40% - Accent5 2 2 2 4" xfId="18795"/>
    <cellStyle name="40% - Accent5 2 2 3" xfId="7981"/>
    <cellStyle name="40% - Accent5 2 2 3 2" xfId="14175"/>
    <cellStyle name="40% - Accent5 2 2 3 3" xfId="20327"/>
    <cellStyle name="40% - Accent5 2 2 4" xfId="11109"/>
    <cellStyle name="40% - Accent5 2 2 5" xfId="17261"/>
    <cellStyle name="40% - Accent5 2 2 6" xfId="4805"/>
    <cellStyle name="40% - Accent5 2 3" xfId="5644"/>
    <cellStyle name="40% - Accent5 2 3 2" xfId="8747"/>
    <cellStyle name="40% - Accent5 2 3 2 2" xfId="14940"/>
    <cellStyle name="40% - Accent5 2 3 2 3" xfId="21092"/>
    <cellStyle name="40% - Accent5 2 3 3" xfId="11874"/>
    <cellStyle name="40% - Accent5 2 3 4" xfId="18026"/>
    <cellStyle name="40% - Accent5 2 4" xfId="7212"/>
    <cellStyle name="40% - Accent5 2 4 2" xfId="13406"/>
    <cellStyle name="40% - Accent5 2 4 3" xfId="19558"/>
    <cellStyle name="40% - Accent5 2 5" xfId="10340"/>
    <cellStyle name="40% - Accent5 2 6" xfId="16492"/>
    <cellStyle name="40% - Accent5 2 7" xfId="1375"/>
    <cellStyle name="40% - Accent5 2 8" xfId="22904"/>
    <cellStyle name="40% - Accent5 3" xfId="534"/>
    <cellStyle name="40% - Accent5 3 2" xfId="957"/>
    <cellStyle name="40% - Accent5 3 2 2" xfId="6431"/>
    <cellStyle name="40% - Accent5 3 2 2 2" xfId="9517"/>
    <cellStyle name="40% - Accent5 3 2 2 2 2" xfId="15710"/>
    <cellStyle name="40% - Accent5 3 2 2 2 3" xfId="21862"/>
    <cellStyle name="40% - Accent5 3 2 2 3" xfId="12644"/>
    <cellStyle name="40% - Accent5 3 2 2 4" xfId="18796"/>
    <cellStyle name="40% - Accent5 3 2 3" xfId="7982"/>
    <cellStyle name="40% - Accent5 3 2 3 2" xfId="14176"/>
    <cellStyle name="40% - Accent5 3 2 3 3" xfId="20328"/>
    <cellStyle name="40% - Accent5 3 2 4" xfId="11110"/>
    <cellStyle name="40% - Accent5 3 2 5" xfId="17262"/>
    <cellStyle name="40% - Accent5 3 2 6" xfId="4806"/>
    <cellStyle name="40% - Accent5 3 3" xfId="5645"/>
    <cellStyle name="40% - Accent5 3 3 2" xfId="8748"/>
    <cellStyle name="40% - Accent5 3 3 2 2" xfId="14941"/>
    <cellStyle name="40% - Accent5 3 3 2 3" xfId="21093"/>
    <cellStyle name="40% - Accent5 3 3 3" xfId="11875"/>
    <cellStyle name="40% - Accent5 3 3 4" xfId="18027"/>
    <cellStyle name="40% - Accent5 3 4" xfId="7213"/>
    <cellStyle name="40% - Accent5 3 4 2" xfId="13407"/>
    <cellStyle name="40% - Accent5 3 4 3" xfId="19559"/>
    <cellStyle name="40% - Accent5 3 5" xfId="10341"/>
    <cellStyle name="40% - Accent5 3 6" xfId="16493"/>
    <cellStyle name="40% - Accent5 3 7" xfId="1376"/>
    <cellStyle name="40% - Accent5 3 8" xfId="22920"/>
    <cellStyle name="40% - Accent5 4" xfId="561"/>
    <cellStyle name="40% - Accent5 4 2" xfId="973"/>
    <cellStyle name="40% - Accent5 4 2 2" xfId="6432"/>
    <cellStyle name="40% - Accent5 4 2 2 2" xfId="9518"/>
    <cellStyle name="40% - Accent5 4 2 2 2 2" xfId="15711"/>
    <cellStyle name="40% - Accent5 4 2 2 2 3" xfId="21863"/>
    <cellStyle name="40% - Accent5 4 2 2 3" xfId="12645"/>
    <cellStyle name="40% - Accent5 4 2 2 4" xfId="18797"/>
    <cellStyle name="40% - Accent5 4 2 3" xfId="7983"/>
    <cellStyle name="40% - Accent5 4 2 3 2" xfId="14177"/>
    <cellStyle name="40% - Accent5 4 2 3 3" xfId="20329"/>
    <cellStyle name="40% - Accent5 4 2 4" xfId="11111"/>
    <cellStyle name="40% - Accent5 4 2 5" xfId="17263"/>
    <cellStyle name="40% - Accent5 4 2 6" xfId="4807"/>
    <cellStyle name="40% - Accent5 4 3" xfId="5646"/>
    <cellStyle name="40% - Accent5 4 3 2" xfId="8749"/>
    <cellStyle name="40% - Accent5 4 3 2 2" xfId="14942"/>
    <cellStyle name="40% - Accent5 4 3 2 3" xfId="21094"/>
    <cellStyle name="40% - Accent5 4 3 3" xfId="11876"/>
    <cellStyle name="40% - Accent5 4 3 4" xfId="18028"/>
    <cellStyle name="40% - Accent5 4 4" xfId="7214"/>
    <cellStyle name="40% - Accent5 4 4 2" xfId="13408"/>
    <cellStyle name="40% - Accent5 4 4 3" xfId="19560"/>
    <cellStyle name="40% - Accent5 4 5" xfId="10342"/>
    <cellStyle name="40% - Accent5 4 6" xfId="16494"/>
    <cellStyle name="40% - Accent5 4 7" xfId="1377"/>
    <cellStyle name="40% - Accent5 4 8" xfId="22936"/>
    <cellStyle name="40% - Accent5 5" xfId="588"/>
    <cellStyle name="40% - Accent5 5 2" xfId="989"/>
    <cellStyle name="40% - Accent5 5 3" xfId="1378"/>
    <cellStyle name="40% - Accent5 5 4" xfId="22690"/>
    <cellStyle name="40% - Accent5 5 5" xfId="22952"/>
    <cellStyle name="40% - Accent5 6" xfId="614"/>
    <cellStyle name="40% - Accent5 6 2" xfId="1005"/>
    <cellStyle name="40% - Accent5 6 3" xfId="22726"/>
    <cellStyle name="40% - Accent5 6 4" xfId="22968"/>
    <cellStyle name="40% - Accent5 7" xfId="638"/>
    <cellStyle name="40% - Accent5 7 2" xfId="1021"/>
    <cellStyle name="40% - Accent5 7 3" xfId="22744"/>
    <cellStyle name="40% - Accent5 7 4" xfId="22984"/>
    <cellStyle name="40% - Accent5 8" xfId="663"/>
    <cellStyle name="40% - Accent5 8 2" xfId="1037"/>
    <cellStyle name="40% - Accent5 8 3" xfId="1163"/>
    <cellStyle name="40% - Accent5 8 4" xfId="23000"/>
    <cellStyle name="40% - Accent5 9" xfId="703"/>
    <cellStyle name="40% - Accent5 9 2" xfId="1053"/>
    <cellStyle name="40% - Accent5 9 3" xfId="22642"/>
    <cellStyle name="40% - Accent5 9 4" xfId="23016"/>
    <cellStyle name="40% - Accent6" xfId="190" builtinId="51" customBuiltin="1"/>
    <cellStyle name="40% - Accent6 10" xfId="735"/>
    <cellStyle name="40% - Accent6 10 2" xfId="1071"/>
    <cellStyle name="40% - Accent6 10 3" xfId="22776"/>
    <cellStyle name="40% - Accent6 10 4" xfId="23034"/>
    <cellStyle name="40% - Accent6 11" xfId="761"/>
    <cellStyle name="40% - Accent6 11 2" xfId="1087"/>
    <cellStyle name="40% - Accent6 11 3" xfId="22713"/>
    <cellStyle name="40% - Accent6 11 4" xfId="23050"/>
    <cellStyle name="40% - Accent6 12" xfId="786"/>
    <cellStyle name="40% - Accent6 12 2" xfId="1103"/>
    <cellStyle name="40% - Accent6 12 3" xfId="22635"/>
    <cellStyle name="40% - Accent6 12 4" xfId="23066"/>
    <cellStyle name="40% - Accent6 13" xfId="810"/>
    <cellStyle name="40% - Accent6 13 2" xfId="1119"/>
    <cellStyle name="40% - Accent6 13 3" xfId="22747"/>
    <cellStyle name="40% - Accent6 13 4" xfId="23082"/>
    <cellStyle name="40% - Accent6 14" xfId="827"/>
    <cellStyle name="40% - Accent6 14 2" xfId="1135"/>
    <cellStyle name="40% - Accent6 14 3" xfId="22738"/>
    <cellStyle name="40% - Accent6 14 4" xfId="23098"/>
    <cellStyle name="40% - Accent6 15" xfId="843"/>
    <cellStyle name="40% - Accent6 15 2" xfId="1151"/>
    <cellStyle name="40% - Accent6 15 3" xfId="22808"/>
    <cellStyle name="40% - Accent6 15 4" xfId="23114"/>
    <cellStyle name="40% - Accent6 16" xfId="867"/>
    <cellStyle name="40% - Accent6 17" xfId="22830"/>
    <cellStyle name="40% - Accent6 2" xfId="508"/>
    <cellStyle name="40% - Accent6 2 2" xfId="943"/>
    <cellStyle name="40% - Accent6 2 2 2" xfId="6433"/>
    <cellStyle name="40% - Accent6 2 2 2 2" xfId="9519"/>
    <cellStyle name="40% - Accent6 2 2 2 2 2" xfId="15712"/>
    <cellStyle name="40% - Accent6 2 2 2 2 3" xfId="21864"/>
    <cellStyle name="40% - Accent6 2 2 2 3" xfId="12646"/>
    <cellStyle name="40% - Accent6 2 2 2 4" xfId="18798"/>
    <cellStyle name="40% - Accent6 2 2 3" xfId="7984"/>
    <cellStyle name="40% - Accent6 2 2 3 2" xfId="14178"/>
    <cellStyle name="40% - Accent6 2 2 3 3" xfId="20330"/>
    <cellStyle name="40% - Accent6 2 2 4" xfId="11112"/>
    <cellStyle name="40% - Accent6 2 2 5" xfId="17264"/>
    <cellStyle name="40% - Accent6 2 2 6" xfId="4808"/>
    <cellStyle name="40% - Accent6 2 3" xfId="5647"/>
    <cellStyle name="40% - Accent6 2 3 2" xfId="8750"/>
    <cellStyle name="40% - Accent6 2 3 2 2" xfId="14943"/>
    <cellStyle name="40% - Accent6 2 3 2 3" xfId="21095"/>
    <cellStyle name="40% - Accent6 2 3 3" xfId="11877"/>
    <cellStyle name="40% - Accent6 2 3 4" xfId="18029"/>
    <cellStyle name="40% - Accent6 2 4" xfId="7215"/>
    <cellStyle name="40% - Accent6 2 4 2" xfId="13409"/>
    <cellStyle name="40% - Accent6 2 4 3" xfId="19561"/>
    <cellStyle name="40% - Accent6 2 5" xfId="10343"/>
    <cellStyle name="40% - Accent6 2 6" xfId="16495"/>
    <cellStyle name="40% - Accent6 2 7" xfId="1379"/>
    <cellStyle name="40% - Accent6 2 8" xfId="22906"/>
    <cellStyle name="40% - Accent6 3" xfId="538"/>
    <cellStyle name="40% - Accent6 3 2" xfId="959"/>
    <cellStyle name="40% - Accent6 3 2 2" xfId="6434"/>
    <cellStyle name="40% - Accent6 3 2 2 2" xfId="9520"/>
    <cellStyle name="40% - Accent6 3 2 2 2 2" xfId="15713"/>
    <cellStyle name="40% - Accent6 3 2 2 2 3" xfId="21865"/>
    <cellStyle name="40% - Accent6 3 2 2 3" xfId="12647"/>
    <cellStyle name="40% - Accent6 3 2 2 4" xfId="18799"/>
    <cellStyle name="40% - Accent6 3 2 3" xfId="7985"/>
    <cellStyle name="40% - Accent6 3 2 3 2" xfId="14179"/>
    <cellStyle name="40% - Accent6 3 2 3 3" xfId="20331"/>
    <cellStyle name="40% - Accent6 3 2 4" xfId="11113"/>
    <cellStyle name="40% - Accent6 3 2 5" xfId="17265"/>
    <cellStyle name="40% - Accent6 3 2 6" xfId="4809"/>
    <cellStyle name="40% - Accent6 3 3" xfId="5648"/>
    <cellStyle name="40% - Accent6 3 3 2" xfId="8751"/>
    <cellStyle name="40% - Accent6 3 3 2 2" xfId="14944"/>
    <cellStyle name="40% - Accent6 3 3 2 3" xfId="21096"/>
    <cellStyle name="40% - Accent6 3 3 3" xfId="11878"/>
    <cellStyle name="40% - Accent6 3 3 4" xfId="18030"/>
    <cellStyle name="40% - Accent6 3 4" xfId="7216"/>
    <cellStyle name="40% - Accent6 3 4 2" xfId="13410"/>
    <cellStyle name="40% - Accent6 3 4 3" xfId="19562"/>
    <cellStyle name="40% - Accent6 3 5" xfId="10344"/>
    <cellStyle name="40% - Accent6 3 6" xfId="16496"/>
    <cellStyle name="40% - Accent6 3 7" xfId="1380"/>
    <cellStyle name="40% - Accent6 3 8" xfId="22922"/>
    <cellStyle name="40% - Accent6 4" xfId="565"/>
    <cellStyle name="40% - Accent6 4 2" xfId="975"/>
    <cellStyle name="40% - Accent6 4 2 2" xfId="6435"/>
    <cellStyle name="40% - Accent6 4 2 2 2" xfId="9521"/>
    <cellStyle name="40% - Accent6 4 2 2 2 2" xfId="15714"/>
    <cellStyle name="40% - Accent6 4 2 2 2 3" xfId="21866"/>
    <cellStyle name="40% - Accent6 4 2 2 3" xfId="12648"/>
    <cellStyle name="40% - Accent6 4 2 2 4" xfId="18800"/>
    <cellStyle name="40% - Accent6 4 2 3" xfId="7986"/>
    <cellStyle name="40% - Accent6 4 2 3 2" xfId="14180"/>
    <cellStyle name="40% - Accent6 4 2 3 3" xfId="20332"/>
    <cellStyle name="40% - Accent6 4 2 4" xfId="11114"/>
    <cellStyle name="40% - Accent6 4 2 5" xfId="17266"/>
    <cellStyle name="40% - Accent6 4 2 6" xfId="4810"/>
    <cellStyle name="40% - Accent6 4 3" xfId="5649"/>
    <cellStyle name="40% - Accent6 4 3 2" xfId="8752"/>
    <cellStyle name="40% - Accent6 4 3 2 2" xfId="14945"/>
    <cellStyle name="40% - Accent6 4 3 2 3" xfId="21097"/>
    <cellStyle name="40% - Accent6 4 3 3" xfId="11879"/>
    <cellStyle name="40% - Accent6 4 3 4" xfId="18031"/>
    <cellStyle name="40% - Accent6 4 4" xfId="7217"/>
    <cellStyle name="40% - Accent6 4 4 2" xfId="13411"/>
    <cellStyle name="40% - Accent6 4 4 3" xfId="19563"/>
    <cellStyle name="40% - Accent6 4 5" xfId="10345"/>
    <cellStyle name="40% - Accent6 4 6" xfId="16497"/>
    <cellStyle name="40% - Accent6 4 7" xfId="1381"/>
    <cellStyle name="40% - Accent6 4 8" xfId="22938"/>
    <cellStyle name="40% - Accent6 5" xfId="591"/>
    <cellStyle name="40% - Accent6 5 2" xfId="991"/>
    <cellStyle name="40% - Accent6 5 2 2" xfId="6436"/>
    <cellStyle name="40% - Accent6 5 2 2 2" xfId="9522"/>
    <cellStyle name="40% - Accent6 5 2 2 2 2" xfId="15715"/>
    <cellStyle name="40% - Accent6 5 2 2 2 3" xfId="21867"/>
    <cellStyle name="40% - Accent6 5 2 2 3" xfId="12649"/>
    <cellStyle name="40% - Accent6 5 2 2 4" xfId="18801"/>
    <cellStyle name="40% - Accent6 5 2 3" xfId="7987"/>
    <cellStyle name="40% - Accent6 5 2 3 2" xfId="14181"/>
    <cellStyle name="40% - Accent6 5 2 3 3" xfId="20333"/>
    <cellStyle name="40% - Accent6 5 2 4" xfId="11115"/>
    <cellStyle name="40% - Accent6 5 2 5" xfId="17267"/>
    <cellStyle name="40% - Accent6 5 2 6" xfId="4811"/>
    <cellStyle name="40% - Accent6 5 3" xfId="5650"/>
    <cellStyle name="40% - Accent6 5 3 2" xfId="8753"/>
    <cellStyle name="40% - Accent6 5 3 2 2" xfId="14946"/>
    <cellStyle name="40% - Accent6 5 3 2 3" xfId="21098"/>
    <cellStyle name="40% - Accent6 5 3 3" xfId="11880"/>
    <cellStyle name="40% - Accent6 5 3 4" xfId="18032"/>
    <cellStyle name="40% - Accent6 5 4" xfId="7218"/>
    <cellStyle name="40% - Accent6 5 4 2" xfId="13412"/>
    <cellStyle name="40% - Accent6 5 4 3" xfId="19564"/>
    <cellStyle name="40% - Accent6 5 5" xfId="10346"/>
    <cellStyle name="40% - Accent6 5 6" xfId="16498"/>
    <cellStyle name="40% - Accent6 5 7" xfId="1382"/>
    <cellStyle name="40% - Accent6 5 8" xfId="22720"/>
    <cellStyle name="40% - Accent6 5 9" xfId="22954"/>
    <cellStyle name="40% - Accent6 6" xfId="618"/>
    <cellStyle name="40% - Accent6 6 2" xfId="1007"/>
    <cellStyle name="40% - Accent6 6 3" xfId="1383"/>
    <cellStyle name="40% - Accent6 6 4" xfId="22616"/>
    <cellStyle name="40% - Accent6 6 5" xfId="22970"/>
    <cellStyle name="40% - Accent6 7" xfId="642"/>
    <cellStyle name="40% - Accent6 7 2" xfId="1023"/>
    <cellStyle name="40% - Accent6 7 3" xfId="22785"/>
    <cellStyle name="40% - Accent6 7 4" xfId="22986"/>
    <cellStyle name="40% - Accent6 8" xfId="667"/>
    <cellStyle name="40% - Accent6 8 2" xfId="1039"/>
    <cellStyle name="40% - Accent6 8 3" xfId="22648"/>
    <cellStyle name="40% - Accent6 8 4" xfId="23002"/>
    <cellStyle name="40% - Accent6 9" xfId="707"/>
    <cellStyle name="40% - Accent6 9 2" xfId="1055"/>
    <cellStyle name="40% - Accent6 9 3" xfId="22593"/>
    <cellStyle name="40% - Accent6 9 4" xfId="23018"/>
    <cellStyle name="60% - Accent1" xfId="171" builtinId="32" customBuiltin="1"/>
    <cellStyle name="60% - Accent1 2" xfId="1384"/>
    <cellStyle name="60% - Accent1 3" xfId="1385"/>
    <cellStyle name="60% - Accent1 4" xfId="1386"/>
    <cellStyle name="60% - Accent1 5" xfId="1387"/>
    <cellStyle name="60% - Accent1 6" xfId="1388"/>
    <cellStyle name="60% - Accent2" xfId="175" builtinId="36" customBuiltin="1"/>
    <cellStyle name="60% - Accent2 2" xfId="1389"/>
    <cellStyle name="60% - Accent2 3" xfId="1390"/>
    <cellStyle name="60% - Accent2 4" xfId="1391"/>
    <cellStyle name="60% - Accent2 5" xfId="1392"/>
    <cellStyle name="60% - Accent3" xfId="179" builtinId="40" customBuiltin="1"/>
    <cellStyle name="60% - Accent3 2" xfId="1393"/>
    <cellStyle name="60% - Accent3 3" xfId="1394"/>
    <cellStyle name="60% - Accent3 4" xfId="1395"/>
    <cellStyle name="60% - Accent3 5" xfId="1396"/>
    <cellStyle name="60% - Accent3 6" xfId="1397"/>
    <cellStyle name="60% - Accent4" xfId="183" builtinId="44" customBuiltin="1"/>
    <cellStyle name="60% - Accent4 2" xfId="1398"/>
    <cellStyle name="60% - Accent4 3" xfId="1399"/>
    <cellStyle name="60% - Accent4 4" xfId="1400"/>
    <cellStyle name="60% - Accent4 5" xfId="1401"/>
    <cellStyle name="60% - Accent4 6" xfId="1402"/>
    <cellStyle name="60% - Accent5" xfId="187" builtinId="48" customBuiltin="1"/>
    <cellStyle name="60% - Accent5 2" xfId="1403"/>
    <cellStyle name="60% - Accent5 3" xfId="1404"/>
    <cellStyle name="60% - Accent5 4" xfId="1405"/>
    <cellStyle name="60% - Accent5 5" xfId="1406"/>
    <cellStyle name="60% - Accent6" xfId="191" builtinId="52" customBuiltin="1"/>
    <cellStyle name="60% - Accent6 2" xfId="1407"/>
    <cellStyle name="60% - Accent6 3" xfId="1408"/>
    <cellStyle name="60% - Accent6 4" xfId="1409"/>
    <cellStyle name="60% - Accent6 5" xfId="1410"/>
    <cellStyle name="60% - Accent6 6" xfId="1411"/>
    <cellStyle name="Accent1" xfId="168" builtinId="29" customBuiltin="1"/>
    <cellStyle name="Accent1 2" xfId="1412"/>
    <cellStyle name="Accent1 3" xfId="1413"/>
    <cellStyle name="Accent1 4" xfId="1414"/>
    <cellStyle name="Accent1 5" xfId="1415"/>
    <cellStyle name="Accent1 6" xfId="1416"/>
    <cellStyle name="Accent2" xfId="172" builtinId="33" customBuiltin="1"/>
    <cellStyle name="Accent2 2" xfId="1417"/>
    <cellStyle name="Accent2 3" xfId="1418"/>
    <cellStyle name="Accent2 4" xfId="1419"/>
    <cellStyle name="Accent2 5" xfId="1420"/>
    <cellStyle name="Accent2 6" xfId="1421"/>
    <cellStyle name="Accent3" xfId="176" builtinId="37" customBuiltin="1"/>
    <cellStyle name="Accent3 2" xfId="1422"/>
    <cellStyle name="Accent3 3" xfId="1423"/>
    <cellStyle name="Accent3 4" xfId="1424"/>
    <cellStyle name="Accent3 5" xfId="1425"/>
    <cellStyle name="Accent3 6" xfId="1426"/>
    <cellStyle name="Accent4" xfId="180" builtinId="41" customBuiltin="1"/>
    <cellStyle name="Accent4 2" xfId="1427"/>
    <cellStyle name="Accent4 3" xfId="1428"/>
    <cellStyle name="Accent4 4" xfId="1429"/>
    <cellStyle name="Accent4 5" xfId="1430"/>
    <cellStyle name="Accent4 6" xfId="1431"/>
    <cellStyle name="Accent5" xfId="184" builtinId="45" customBuiltin="1"/>
    <cellStyle name="Accent5 2" xfId="1432"/>
    <cellStyle name="Accent5 3" xfId="1433"/>
    <cellStyle name="Accent5 4" xfId="1434"/>
    <cellStyle name="Accent5 5" xfId="1435"/>
    <cellStyle name="Accent6" xfId="188" builtinId="49" customBuiltin="1"/>
    <cellStyle name="Accent6 2" xfId="1436"/>
    <cellStyle name="Accent6 3" xfId="1437"/>
    <cellStyle name="Accent6 4" xfId="1438"/>
    <cellStyle name="Accent6 5" xfId="1439"/>
    <cellStyle name="alarm" xfId="1440"/>
    <cellStyle name="assumption" xfId="1441"/>
    <cellStyle name="assumption 2" xfId="1442"/>
    <cellStyle name="Bad" xfId="158" builtinId="27" customBuiltin="1"/>
    <cellStyle name="Bad 2" xfId="1443"/>
    <cellStyle name="Bad 3" xfId="1444"/>
    <cellStyle name="Bad 4" xfId="1445"/>
    <cellStyle name="Bad 5" xfId="1446"/>
    <cellStyle name="Bad 6" xfId="1447"/>
    <cellStyle name="Blank" xfId="1448"/>
    <cellStyle name="Calculation" xfId="162" builtinId="22" customBuiltin="1"/>
    <cellStyle name="Calculation 2" xfId="1449"/>
    <cellStyle name="Calculation 3" xfId="1450"/>
    <cellStyle name="Calculation 4" xfId="1451"/>
    <cellStyle name="Calculation 5" xfId="1452"/>
    <cellStyle name="Calculation 6" xfId="1453"/>
    <cellStyle name="Calculation 6 2" xfId="5515"/>
    <cellStyle name="Calculation 6 2 2" xfId="7137"/>
    <cellStyle name="Calculation 6 3" xfId="5557"/>
    <cellStyle name="Calculation 6 3 2" xfId="6269"/>
    <cellStyle name="Calculation 6 4" xfId="5528"/>
    <cellStyle name="Calculation 6 4 2" xfId="6206"/>
    <cellStyle name="Calculation 6 5" xfId="5509"/>
    <cellStyle name="Calculation 6 5 2" xfId="6203"/>
    <cellStyle name="Calculation 6 6" xfId="7140"/>
    <cellStyle name="Centered Heading" xfId="1454"/>
    <cellStyle name="Centered Heading 2" xfId="1455"/>
    <cellStyle name="Centered Heading 3" xfId="1456"/>
    <cellStyle name="Check Cell" xfId="164" builtinId="23" customBuiltin="1"/>
    <cellStyle name="Check Cell 2" xfId="1457"/>
    <cellStyle name="Check Cell 3" xfId="1458"/>
    <cellStyle name="Check Cell 4" xfId="1459"/>
    <cellStyle name="Check Cell 5" xfId="1460"/>
    <cellStyle name="Column Header" xfId="1461"/>
    <cellStyle name="ColumnAttributeAbovePrompt" xfId="1193"/>
    <cellStyle name="ColumnAttributePrompt" xfId="1194"/>
    <cellStyle name="ColumnAttributeValue" xfId="1195"/>
    <cellStyle name="ColumnHeadingPrompt" xfId="1196"/>
    <cellStyle name="ColumnHeadingValue" xfId="1197"/>
    <cellStyle name="Comma" xfId="1" builtinId="3"/>
    <cellStyle name="Comma [0] 2" xfId="2"/>
    <cellStyle name="Comma [0] 2 2" xfId="4629"/>
    <cellStyle name="Comma [0] 2 3" xfId="1322"/>
    <cellStyle name="Comma [0] 3" xfId="1198"/>
    <cellStyle name="Comma [0] 4" xfId="1291"/>
    <cellStyle name="Comma [0] 5" xfId="4626"/>
    <cellStyle name="Comma [0] 6" xfId="4734"/>
    <cellStyle name="Comma [0] 7" xfId="7147"/>
    <cellStyle name="Comma [0] 8" xfId="10275"/>
    <cellStyle name="Comma [0] 9" xfId="1184"/>
    <cellStyle name="Comma 0" xfId="1462"/>
    <cellStyle name="Comma 0.0" xfId="1463"/>
    <cellStyle name="Comma 0.00" xfId="1464"/>
    <cellStyle name="Comma 0.000" xfId="1465"/>
    <cellStyle name="Comma 10" xfId="135"/>
    <cellStyle name="Comma 10 2" xfId="877"/>
    <cellStyle name="Comma 10 2 2" xfId="1468"/>
    <cellStyle name="Comma 10 2 3" xfId="1469"/>
    <cellStyle name="Comma 10 2 4" xfId="1467"/>
    <cellStyle name="Comma 10 3" xfId="1470"/>
    <cellStyle name="Comma 10 4" xfId="4715"/>
    <cellStyle name="Comma 10 5" xfId="1466"/>
    <cellStyle name="Comma 10 6" xfId="1302"/>
    <cellStyle name="Comma 10 7" xfId="22695"/>
    <cellStyle name="Comma 10 8" xfId="22840"/>
    <cellStyle name="Comma 10 9" xfId="226"/>
    <cellStyle name="Comma 100" xfId="1471"/>
    <cellStyle name="Comma 101" xfId="1472"/>
    <cellStyle name="Comma 102" xfId="1473"/>
    <cellStyle name="Comma 103" xfId="1474"/>
    <cellStyle name="Comma 104" xfId="1475"/>
    <cellStyle name="Comma 105" xfId="1476"/>
    <cellStyle name="Comma 106" xfId="1477"/>
    <cellStyle name="Comma 107" xfId="1478"/>
    <cellStyle name="Comma 108" xfId="1479"/>
    <cellStyle name="Comma 109" xfId="1480"/>
    <cellStyle name="Comma 11" xfId="150"/>
    <cellStyle name="Comma 11 10" xfId="228"/>
    <cellStyle name="Comma 11 2" xfId="879"/>
    <cellStyle name="Comma 11 2 2" xfId="1482"/>
    <cellStyle name="Comma 11 3" xfId="1483"/>
    <cellStyle name="Comma 11 3 2" xfId="1484"/>
    <cellStyle name="Comma 11 3 3" xfId="1485"/>
    <cellStyle name="Comma 11 4" xfId="1486"/>
    <cellStyle name="Comma 11 5" xfId="4711"/>
    <cellStyle name="Comma 11 6" xfId="1481"/>
    <cellStyle name="Comma 11 7" xfId="1298"/>
    <cellStyle name="Comma 11 8" xfId="22813"/>
    <cellStyle name="Comma 11 9" xfId="22842"/>
    <cellStyle name="Comma 110" xfId="1487"/>
    <cellStyle name="Comma 111" xfId="1488"/>
    <cellStyle name="Comma 112" xfId="1489"/>
    <cellStyle name="Comma 113" xfId="1490"/>
    <cellStyle name="Comma 114" xfId="1491"/>
    <cellStyle name="Comma 115" xfId="1492"/>
    <cellStyle name="Comma 116" xfId="1493"/>
    <cellStyle name="Comma 117" xfId="1494"/>
    <cellStyle name="Comma 118" xfId="1495"/>
    <cellStyle name="Comma 119" xfId="1496"/>
    <cellStyle name="Comma 12" xfId="129"/>
    <cellStyle name="Comma 12 2" xfId="881"/>
    <cellStyle name="Comma 12 2 2" xfId="1499"/>
    <cellStyle name="Comma 12 2 3" xfId="1500"/>
    <cellStyle name="Comma 12 2 4" xfId="1498"/>
    <cellStyle name="Comma 12 3" xfId="1501"/>
    <cellStyle name="Comma 12 4" xfId="1497"/>
    <cellStyle name="Comma 12 5" xfId="22746"/>
    <cellStyle name="Comma 12 6" xfId="22844"/>
    <cellStyle name="Comma 12 7" xfId="230"/>
    <cellStyle name="Comma 120" xfId="1502"/>
    <cellStyle name="Comma 121" xfId="1503"/>
    <cellStyle name="Comma 122" xfId="1504"/>
    <cellStyle name="Comma 123" xfId="1505"/>
    <cellStyle name="Comma 124" xfId="1506"/>
    <cellStyle name="Comma 125" xfId="1507"/>
    <cellStyle name="Comma 126" xfId="1508"/>
    <cellStyle name="Comma 127" xfId="1509"/>
    <cellStyle name="Comma 128" xfId="1510"/>
    <cellStyle name="Comma 129" xfId="1511"/>
    <cellStyle name="Comma 13" xfId="134"/>
    <cellStyle name="Comma 13 2" xfId="882"/>
    <cellStyle name="Comma 13 2 2" xfId="1514"/>
    <cellStyle name="Comma 13 2 3" xfId="1515"/>
    <cellStyle name="Comma 13 2 4" xfId="1513"/>
    <cellStyle name="Comma 13 3" xfId="1512"/>
    <cellStyle name="Comma 13 4" xfId="22741"/>
    <cellStyle name="Comma 13 5" xfId="22845"/>
    <cellStyle name="Comma 13 6" xfId="231"/>
    <cellStyle name="Comma 130" xfId="1516"/>
    <cellStyle name="Comma 131" xfId="1517"/>
    <cellStyle name="Comma 132" xfId="1518"/>
    <cellStyle name="Comma 133" xfId="1519"/>
    <cellStyle name="Comma 134" xfId="1520"/>
    <cellStyle name="Comma 135" xfId="1521"/>
    <cellStyle name="Comma 136" xfId="1522"/>
    <cellStyle name="Comma 137" xfId="1523"/>
    <cellStyle name="Comma 138" xfId="1524"/>
    <cellStyle name="Comma 139" xfId="1525"/>
    <cellStyle name="Comma 14" xfId="124"/>
    <cellStyle name="Comma 14 2" xfId="880"/>
    <cellStyle name="Comma 14 3" xfId="1526"/>
    <cellStyle name="Comma 14 4" xfId="22769"/>
    <cellStyle name="Comma 14 5" xfId="22843"/>
    <cellStyle name="Comma 14 6" xfId="229"/>
    <cellStyle name="Comma 140" xfId="1527"/>
    <cellStyle name="Comma 141" xfId="1528"/>
    <cellStyle name="Comma 141 2" xfId="1529"/>
    <cellStyle name="Comma 141 2 2" xfId="1530"/>
    <cellStyle name="Comma 141 2 2 2" xfId="1531"/>
    <cellStyle name="Comma 141 2 3" xfId="1532"/>
    <cellStyle name="Comma 141 3" xfId="1533"/>
    <cellStyle name="Comma 141 3 2" xfId="1534"/>
    <cellStyle name="Comma 141 4" xfId="1535"/>
    <cellStyle name="Comma 141 4 2" xfId="1536"/>
    <cellStyle name="Comma 141 5" xfId="1537"/>
    <cellStyle name="Comma 142" xfId="1538"/>
    <cellStyle name="Comma 142 2" xfId="1539"/>
    <cellStyle name="Comma 142 2 2" xfId="1540"/>
    <cellStyle name="Comma 142 2 2 2" xfId="1541"/>
    <cellStyle name="Comma 142 2 3" xfId="1542"/>
    <cellStyle name="Comma 142 3" xfId="1543"/>
    <cellStyle name="Comma 142 3 2" xfId="1544"/>
    <cellStyle name="Comma 142 4" xfId="1545"/>
    <cellStyle name="Comma 142 4 2" xfId="1546"/>
    <cellStyle name="Comma 142 5" xfId="1547"/>
    <cellStyle name="Comma 143" xfId="1548"/>
    <cellStyle name="Comma 143 2" xfId="4812"/>
    <cellStyle name="Comma 143 2 2" xfId="6437"/>
    <cellStyle name="Comma 143 2 2 2" xfId="9523"/>
    <cellStyle name="Comma 143 2 2 2 2" xfId="15716"/>
    <cellStyle name="Comma 143 2 2 2 3" xfId="21868"/>
    <cellStyle name="Comma 143 2 2 3" xfId="12650"/>
    <cellStyle name="Comma 143 2 2 4" xfId="18802"/>
    <cellStyle name="Comma 143 2 3" xfId="7988"/>
    <cellStyle name="Comma 143 2 3 2" xfId="14182"/>
    <cellStyle name="Comma 143 2 3 3" xfId="20334"/>
    <cellStyle name="Comma 143 2 4" xfId="11116"/>
    <cellStyle name="Comma 143 2 5" xfId="17268"/>
    <cellStyle name="Comma 143 3" xfId="5651"/>
    <cellStyle name="Comma 143 3 2" xfId="8754"/>
    <cellStyle name="Comma 143 3 2 2" xfId="14947"/>
    <cellStyle name="Comma 143 3 2 3" xfId="21099"/>
    <cellStyle name="Comma 143 3 3" xfId="11881"/>
    <cellStyle name="Comma 143 3 4" xfId="18033"/>
    <cellStyle name="Comma 143 4" xfId="7219"/>
    <cellStyle name="Comma 143 4 2" xfId="13413"/>
    <cellStyle name="Comma 143 4 3" xfId="19565"/>
    <cellStyle name="Comma 143 5" xfId="10347"/>
    <cellStyle name="Comma 143 6" xfId="16499"/>
    <cellStyle name="Comma 144" xfId="1549"/>
    <cellStyle name="Comma 144 2" xfId="4813"/>
    <cellStyle name="Comma 144 2 2" xfId="6438"/>
    <cellStyle name="Comma 144 2 2 2" xfId="9524"/>
    <cellStyle name="Comma 144 2 2 2 2" xfId="15717"/>
    <cellStyle name="Comma 144 2 2 2 3" xfId="21869"/>
    <cellStyle name="Comma 144 2 2 3" xfId="12651"/>
    <cellStyle name="Comma 144 2 2 4" xfId="18803"/>
    <cellStyle name="Comma 144 2 3" xfId="7989"/>
    <cellStyle name="Comma 144 2 3 2" xfId="14183"/>
    <cellStyle name="Comma 144 2 3 3" xfId="20335"/>
    <cellStyle name="Comma 144 2 4" xfId="11117"/>
    <cellStyle name="Comma 144 2 5" xfId="17269"/>
    <cellStyle name="Comma 144 3" xfId="5652"/>
    <cellStyle name="Comma 144 3 2" xfId="8755"/>
    <cellStyle name="Comma 144 3 2 2" xfId="14948"/>
    <cellStyle name="Comma 144 3 2 3" xfId="21100"/>
    <cellStyle name="Comma 144 3 3" xfId="11882"/>
    <cellStyle name="Comma 144 3 4" xfId="18034"/>
    <cellStyle name="Comma 144 4" xfId="7220"/>
    <cellStyle name="Comma 144 4 2" xfId="13414"/>
    <cellStyle name="Comma 144 4 3" xfId="19566"/>
    <cellStyle name="Comma 144 5" xfId="10348"/>
    <cellStyle name="Comma 144 6" xfId="16500"/>
    <cellStyle name="Comma 145" xfId="1550"/>
    <cellStyle name="Comma 145 2" xfId="4814"/>
    <cellStyle name="Comma 145 2 2" xfId="6439"/>
    <cellStyle name="Comma 145 2 2 2" xfId="9525"/>
    <cellStyle name="Comma 145 2 2 2 2" xfId="15718"/>
    <cellStyle name="Comma 145 2 2 2 3" xfId="21870"/>
    <cellStyle name="Comma 145 2 2 3" xfId="12652"/>
    <cellStyle name="Comma 145 2 2 4" xfId="18804"/>
    <cellStyle name="Comma 145 2 3" xfId="7990"/>
    <cellStyle name="Comma 145 2 3 2" xfId="14184"/>
    <cellStyle name="Comma 145 2 3 3" xfId="20336"/>
    <cellStyle name="Comma 145 2 4" xfId="11118"/>
    <cellStyle name="Comma 145 2 5" xfId="17270"/>
    <cellStyle name="Comma 145 3" xfId="5653"/>
    <cellStyle name="Comma 145 3 2" xfId="8756"/>
    <cellStyle name="Comma 145 3 2 2" xfId="14949"/>
    <cellStyle name="Comma 145 3 2 3" xfId="21101"/>
    <cellStyle name="Comma 145 3 3" xfId="11883"/>
    <cellStyle name="Comma 145 3 4" xfId="18035"/>
    <cellStyle name="Comma 145 4" xfId="7221"/>
    <cellStyle name="Comma 145 4 2" xfId="13415"/>
    <cellStyle name="Comma 145 4 3" xfId="19567"/>
    <cellStyle name="Comma 145 5" xfId="10349"/>
    <cellStyle name="Comma 145 6" xfId="16501"/>
    <cellStyle name="Comma 146" xfId="1551"/>
    <cellStyle name="Comma 146 2" xfId="4815"/>
    <cellStyle name="Comma 146 2 2" xfId="6440"/>
    <cellStyle name="Comma 146 2 2 2" xfId="9526"/>
    <cellStyle name="Comma 146 2 2 2 2" xfId="15719"/>
    <cellStyle name="Comma 146 2 2 2 3" xfId="21871"/>
    <cellStyle name="Comma 146 2 2 3" xfId="12653"/>
    <cellStyle name="Comma 146 2 2 4" xfId="18805"/>
    <cellStyle name="Comma 146 2 3" xfId="7991"/>
    <cellStyle name="Comma 146 2 3 2" xfId="14185"/>
    <cellStyle name="Comma 146 2 3 3" xfId="20337"/>
    <cellStyle name="Comma 146 2 4" xfId="11119"/>
    <cellStyle name="Comma 146 2 5" xfId="17271"/>
    <cellStyle name="Comma 146 3" xfId="5654"/>
    <cellStyle name="Comma 146 3 2" xfId="8757"/>
    <cellStyle name="Comma 146 3 2 2" xfId="14950"/>
    <cellStyle name="Comma 146 3 2 3" xfId="21102"/>
    <cellStyle name="Comma 146 3 3" xfId="11884"/>
    <cellStyle name="Comma 146 3 4" xfId="18036"/>
    <cellStyle name="Comma 146 4" xfId="7222"/>
    <cellStyle name="Comma 146 4 2" xfId="13416"/>
    <cellStyle name="Comma 146 4 3" xfId="19568"/>
    <cellStyle name="Comma 146 5" xfId="10350"/>
    <cellStyle name="Comma 146 6" xfId="16502"/>
    <cellStyle name="Comma 147" xfId="1552"/>
    <cellStyle name="Comma 147 2" xfId="4816"/>
    <cellStyle name="Comma 147 2 2" xfId="6441"/>
    <cellStyle name="Comma 147 2 2 2" xfId="9527"/>
    <cellStyle name="Comma 147 2 2 2 2" xfId="15720"/>
    <cellStyle name="Comma 147 2 2 2 3" xfId="21872"/>
    <cellStyle name="Comma 147 2 2 3" xfId="12654"/>
    <cellStyle name="Comma 147 2 2 4" xfId="18806"/>
    <cellStyle name="Comma 147 2 3" xfId="7992"/>
    <cellStyle name="Comma 147 2 3 2" xfId="14186"/>
    <cellStyle name="Comma 147 2 3 3" xfId="20338"/>
    <cellStyle name="Comma 147 2 4" xfId="11120"/>
    <cellStyle name="Comma 147 2 5" xfId="17272"/>
    <cellStyle name="Comma 147 3" xfId="5655"/>
    <cellStyle name="Comma 147 3 2" xfId="8758"/>
    <cellStyle name="Comma 147 3 2 2" xfId="14951"/>
    <cellStyle name="Comma 147 3 2 3" xfId="21103"/>
    <cellStyle name="Comma 147 3 3" xfId="11885"/>
    <cellStyle name="Comma 147 3 4" xfId="18037"/>
    <cellStyle name="Comma 147 4" xfId="7223"/>
    <cellStyle name="Comma 147 4 2" xfId="13417"/>
    <cellStyle name="Comma 147 4 3" xfId="19569"/>
    <cellStyle name="Comma 147 5" xfId="10351"/>
    <cellStyle name="Comma 147 6" xfId="16503"/>
    <cellStyle name="Comma 148" xfId="1553"/>
    <cellStyle name="Comma 148 2" xfId="4817"/>
    <cellStyle name="Comma 148 2 2" xfId="6442"/>
    <cellStyle name="Comma 148 2 2 2" xfId="9528"/>
    <cellStyle name="Comma 148 2 2 2 2" xfId="15721"/>
    <cellStyle name="Comma 148 2 2 2 3" xfId="21873"/>
    <cellStyle name="Comma 148 2 2 3" xfId="12655"/>
    <cellStyle name="Comma 148 2 2 4" xfId="18807"/>
    <cellStyle name="Comma 148 2 3" xfId="7993"/>
    <cellStyle name="Comma 148 2 3 2" xfId="14187"/>
    <cellStyle name="Comma 148 2 3 3" xfId="20339"/>
    <cellStyle name="Comma 148 2 4" xfId="11121"/>
    <cellStyle name="Comma 148 2 5" xfId="17273"/>
    <cellStyle name="Comma 148 3" xfId="5656"/>
    <cellStyle name="Comma 148 3 2" xfId="8759"/>
    <cellStyle name="Comma 148 3 2 2" xfId="14952"/>
    <cellStyle name="Comma 148 3 2 3" xfId="21104"/>
    <cellStyle name="Comma 148 3 3" xfId="11886"/>
    <cellStyle name="Comma 148 3 4" xfId="18038"/>
    <cellStyle name="Comma 148 4" xfId="7224"/>
    <cellStyle name="Comma 148 4 2" xfId="13418"/>
    <cellStyle name="Comma 148 4 3" xfId="19570"/>
    <cellStyle name="Comma 148 5" xfId="10352"/>
    <cellStyle name="Comma 148 6" xfId="16504"/>
    <cellStyle name="Comma 149" xfId="1554"/>
    <cellStyle name="Comma 149 2" xfId="4818"/>
    <cellStyle name="Comma 149 2 2" xfId="6443"/>
    <cellStyle name="Comma 149 2 2 2" xfId="9529"/>
    <cellStyle name="Comma 149 2 2 2 2" xfId="15722"/>
    <cellStyle name="Comma 149 2 2 2 3" xfId="21874"/>
    <cellStyle name="Comma 149 2 2 3" xfId="12656"/>
    <cellStyle name="Comma 149 2 2 4" xfId="18808"/>
    <cellStyle name="Comma 149 2 3" xfId="7994"/>
    <cellStyle name="Comma 149 2 3 2" xfId="14188"/>
    <cellStyle name="Comma 149 2 3 3" xfId="20340"/>
    <cellStyle name="Comma 149 2 4" xfId="11122"/>
    <cellStyle name="Comma 149 2 5" xfId="17274"/>
    <cellStyle name="Comma 149 3" xfId="5657"/>
    <cellStyle name="Comma 149 3 2" xfId="8760"/>
    <cellStyle name="Comma 149 3 2 2" xfId="14953"/>
    <cellStyle name="Comma 149 3 2 3" xfId="21105"/>
    <cellStyle name="Comma 149 3 3" xfId="11887"/>
    <cellStyle name="Comma 149 3 4" xfId="18039"/>
    <cellStyle name="Comma 149 4" xfId="7225"/>
    <cellStyle name="Comma 149 4 2" xfId="13419"/>
    <cellStyle name="Comma 149 4 3" xfId="19571"/>
    <cellStyle name="Comma 149 5" xfId="10353"/>
    <cellStyle name="Comma 149 6" xfId="16505"/>
    <cellStyle name="Comma 15" xfId="232"/>
    <cellStyle name="Comma 15 2" xfId="883"/>
    <cellStyle name="Comma 15 2 2" xfId="1556"/>
    <cellStyle name="Comma 15 3" xfId="1555"/>
    <cellStyle name="Comma 15 4" xfId="22621"/>
    <cellStyle name="Comma 15 5" xfId="22846"/>
    <cellStyle name="Comma 150" xfId="1557"/>
    <cellStyle name="Comma 150 2" xfId="4819"/>
    <cellStyle name="Comma 150 2 2" xfId="6444"/>
    <cellStyle name="Comma 150 2 2 2" xfId="9530"/>
    <cellStyle name="Comma 150 2 2 2 2" xfId="15723"/>
    <cellStyle name="Comma 150 2 2 2 3" xfId="21875"/>
    <cellStyle name="Comma 150 2 2 3" xfId="12657"/>
    <cellStyle name="Comma 150 2 2 4" xfId="18809"/>
    <cellStyle name="Comma 150 2 3" xfId="7995"/>
    <cellStyle name="Comma 150 2 3 2" xfId="14189"/>
    <cellStyle name="Comma 150 2 3 3" xfId="20341"/>
    <cellStyle name="Comma 150 2 4" xfId="11123"/>
    <cellStyle name="Comma 150 2 5" xfId="17275"/>
    <cellStyle name="Comma 150 3" xfId="5658"/>
    <cellStyle name="Comma 150 3 2" xfId="8761"/>
    <cellStyle name="Comma 150 3 2 2" xfId="14954"/>
    <cellStyle name="Comma 150 3 2 3" xfId="21106"/>
    <cellStyle name="Comma 150 3 3" xfId="11888"/>
    <cellStyle name="Comma 150 3 4" xfId="18040"/>
    <cellStyle name="Comma 150 4" xfId="7226"/>
    <cellStyle name="Comma 150 4 2" xfId="13420"/>
    <cellStyle name="Comma 150 4 3" xfId="19572"/>
    <cellStyle name="Comma 150 5" xfId="10354"/>
    <cellStyle name="Comma 150 6" xfId="16506"/>
    <cellStyle name="Comma 151" xfId="1558"/>
    <cellStyle name="Comma 151 2" xfId="4820"/>
    <cellStyle name="Comma 151 2 2" xfId="6445"/>
    <cellStyle name="Comma 151 2 2 2" xfId="9531"/>
    <cellStyle name="Comma 151 2 2 2 2" xfId="15724"/>
    <cellStyle name="Comma 151 2 2 2 3" xfId="21876"/>
    <cellStyle name="Comma 151 2 2 3" xfId="12658"/>
    <cellStyle name="Comma 151 2 2 4" xfId="18810"/>
    <cellStyle name="Comma 151 2 3" xfId="7996"/>
    <cellStyle name="Comma 151 2 3 2" xfId="14190"/>
    <cellStyle name="Comma 151 2 3 3" xfId="20342"/>
    <cellStyle name="Comma 151 2 4" xfId="11124"/>
    <cellStyle name="Comma 151 2 5" xfId="17276"/>
    <cellStyle name="Comma 151 3" xfId="5659"/>
    <cellStyle name="Comma 151 3 2" xfId="8762"/>
    <cellStyle name="Comma 151 3 2 2" xfId="14955"/>
    <cellStyle name="Comma 151 3 2 3" xfId="21107"/>
    <cellStyle name="Comma 151 3 3" xfId="11889"/>
    <cellStyle name="Comma 151 3 4" xfId="18041"/>
    <cellStyle name="Comma 151 4" xfId="7227"/>
    <cellStyle name="Comma 151 4 2" xfId="13421"/>
    <cellStyle name="Comma 151 4 3" xfId="19573"/>
    <cellStyle name="Comma 151 5" xfId="10355"/>
    <cellStyle name="Comma 151 6" xfId="16507"/>
    <cellStyle name="Comma 152" xfId="1559"/>
    <cellStyle name="Comma 152 2" xfId="4821"/>
    <cellStyle name="Comma 152 2 2" xfId="6446"/>
    <cellStyle name="Comma 152 2 2 2" xfId="9532"/>
    <cellStyle name="Comma 152 2 2 2 2" xfId="15725"/>
    <cellStyle name="Comma 152 2 2 2 3" xfId="21877"/>
    <cellStyle name="Comma 152 2 2 3" xfId="12659"/>
    <cellStyle name="Comma 152 2 2 4" xfId="18811"/>
    <cellStyle name="Comma 152 2 3" xfId="7997"/>
    <cellStyle name="Comma 152 2 3 2" xfId="14191"/>
    <cellStyle name="Comma 152 2 3 3" xfId="20343"/>
    <cellStyle name="Comma 152 2 4" xfId="11125"/>
    <cellStyle name="Comma 152 2 5" xfId="17277"/>
    <cellStyle name="Comma 152 3" xfId="5660"/>
    <cellStyle name="Comma 152 3 2" xfId="8763"/>
    <cellStyle name="Comma 152 3 2 2" xfId="14956"/>
    <cellStyle name="Comma 152 3 2 3" xfId="21108"/>
    <cellStyle name="Comma 152 3 3" xfId="11890"/>
    <cellStyle name="Comma 152 3 4" xfId="18042"/>
    <cellStyle name="Comma 152 4" xfId="7228"/>
    <cellStyle name="Comma 152 4 2" xfId="13422"/>
    <cellStyle name="Comma 152 4 3" xfId="19574"/>
    <cellStyle name="Comma 152 5" xfId="10356"/>
    <cellStyle name="Comma 152 6" xfId="16508"/>
    <cellStyle name="Comma 153" xfId="1560"/>
    <cellStyle name="Comma 153 2" xfId="4822"/>
    <cellStyle name="Comma 153 2 2" xfId="6447"/>
    <cellStyle name="Comma 153 2 2 2" xfId="9533"/>
    <cellStyle name="Comma 153 2 2 2 2" xfId="15726"/>
    <cellStyle name="Comma 153 2 2 2 3" xfId="21878"/>
    <cellStyle name="Comma 153 2 2 3" xfId="12660"/>
    <cellStyle name="Comma 153 2 2 4" xfId="18812"/>
    <cellStyle name="Comma 153 2 3" xfId="7998"/>
    <cellStyle name="Comma 153 2 3 2" xfId="14192"/>
    <cellStyle name="Comma 153 2 3 3" xfId="20344"/>
    <cellStyle name="Comma 153 2 4" xfId="11126"/>
    <cellStyle name="Comma 153 2 5" xfId="17278"/>
    <cellStyle name="Comma 153 3" xfId="5661"/>
    <cellStyle name="Comma 153 3 2" xfId="8764"/>
    <cellStyle name="Comma 153 3 2 2" xfId="14957"/>
    <cellStyle name="Comma 153 3 2 3" xfId="21109"/>
    <cellStyle name="Comma 153 3 3" xfId="11891"/>
    <cellStyle name="Comma 153 3 4" xfId="18043"/>
    <cellStyle name="Comma 153 4" xfId="7229"/>
    <cellStyle name="Comma 153 4 2" xfId="13423"/>
    <cellStyle name="Comma 153 4 3" xfId="19575"/>
    <cellStyle name="Comma 153 5" xfId="10357"/>
    <cellStyle name="Comma 153 6" xfId="16509"/>
    <cellStyle name="Comma 154" xfId="1561"/>
    <cellStyle name="Comma 154 2" xfId="1562"/>
    <cellStyle name="Comma 155" xfId="1563"/>
    <cellStyle name="Comma 155 2" xfId="1564"/>
    <cellStyle name="Comma 156" xfId="1565"/>
    <cellStyle name="Comma 156 2" xfId="1566"/>
    <cellStyle name="Comma 157" xfId="1567"/>
    <cellStyle name="Comma 158" xfId="1568"/>
    <cellStyle name="Comma 159" xfId="1569"/>
    <cellStyle name="Comma 16" xfId="233"/>
    <cellStyle name="Comma 16 2" xfId="884"/>
    <cellStyle name="Comma 16 3" xfId="1570"/>
    <cellStyle name="Comma 16 4" xfId="22815"/>
    <cellStyle name="Comma 16 5" xfId="22847"/>
    <cellStyle name="Comma 160" xfId="1571"/>
    <cellStyle name="Comma 161" xfId="1572"/>
    <cellStyle name="Comma 162" xfId="1573"/>
    <cellStyle name="Comma 163" xfId="1574"/>
    <cellStyle name="Comma 164" xfId="1575"/>
    <cellStyle name="Comma 165" xfId="1576"/>
    <cellStyle name="Comma 166" xfId="1577"/>
    <cellStyle name="Comma 167" xfId="1578"/>
    <cellStyle name="Comma 168" xfId="1579"/>
    <cellStyle name="Comma 169" xfId="1580"/>
    <cellStyle name="Comma 17" xfId="234"/>
    <cellStyle name="Comma 17 2" xfId="885"/>
    <cellStyle name="Comma 17 3" xfId="1581"/>
    <cellStyle name="Comma 17 4" xfId="22615"/>
    <cellStyle name="Comma 17 5" xfId="22848"/>
    <cellStyle name="Comma 170" xfId="1582"/>
    <cellStyle name="Comma 171" xfId="1583"/>
    <cellStyle name="Comma 172" xfId="1584"/>
    <cellStyle name="Comma 173" xfId="1585"/>
    <cellStyle name="Comma 174" xfId="1586"/>
    <cellStyle name="Comma 175" xfId="1587"/>
    <cellStyle name="Comma 176" xfId="1588"/>
    <cellStyle name="Comma 177" xfId="1589"/>
    <cellStyle name="Comma 178" xfId="1590"/>
    <cellStyle name="Comma 179" xfId="1591"/>
    <cellStyle name="Comma 18" xfId="236"/>
    <cellStyle name="Comma 18 2" xfId="887"/>
    <cellStyle name="Comma 18 3" xfId="1592"/>
    <cellStyle name="Comma 18 4" xfId="22761"/>
    <cellStyle name="Comma 18 5" xfId="22850"/>
    <cellStyle name="Comma 180" xfId="1593"/>
    <cellStyle name="Comma 181" xfId="1594"/>
    <cellStyle name="Comma 182" xfId="1595"/>
    <cellStyle name="Comma 182 2" xfId="4823"/>
    <cellStyle name="Comma 182 2 2" xfId="6448"/>
    <cellStyle name="Comma 182 2 2 2" xfId="9534"/>
    <cellStyle name="Comma 182 2 2 2 2" xfId="15727"/>
    <cellStyle name="Comma 182 2 2 2 3" xfId="21879"/>
    <cellStyle name="Comma 182 2 2 3" xfId="12661"/>
    <cellStyle name="Comma 182 2 2 4" xfId="18813"/>
    <cellStyle name="Comma 182 2 3" xfId="7999"/>
    <cellStyle name="Comma 182 2 3 2" xfId="14193"/>
    <cellStyle name="Comma 182 2 3 3" xfId="20345"/>
    <cellStyle name="Comma 182 2 4" xfId="11127"/>
    <cellStyle name="Comma 182 2 5" xfId="17279"/>
    <cellStyle name="Comma 182 3" xfId="5662"/>
    <cellStyle name="Comma 182 3 2" xfId="8765"/>
    <cellStyle name="Comma 182 3 2 2" xfId="14958"/>
    <cellStyle name="Comma 182 3 2 3" xfId="21110"/>
    <cellStyle name="Comma 182 3 3" xfId="11892"/>
    <cellStyle name="Comma 182 3 4" xfId="18044"/>
    <cellStyle name="Comma 182 4" xfId="7230"/>
    <cellStyle name="Comma 182 4 2" xfId="13424"/>
    <cellStyle name="Comma 182 4 3" xfId="19576"/>
    <cellStyle name="Comma 182 5" xfId="10358"/>
    <cellStyle name="Comma 182 6" xfId="16510"/>
    <cellStyle name="Comma 183" xfId="1596"/>
    <cellStyle name="Comma 184" xfId="1321"/>
    <cellStyle name="Comma 185" xfId="4625"/>
    <cellStyle name="Comma 186" xfId="1318"/>
    <cellStyle name="Comma 186 2" xfId="4765"/>
    <cellStyle name="Comma 186 2 2" xfId="6390"/>
    <cellStyle name="Comma 186 2 2 2" xfId="9476"/>
    <cellStyle name="Comma 186 2 2 2 2" xfId="15669"/>
    <cellStyle name="Comma 186 2 2 2 3" xfId="21821"/>
    <cellStyle name="Comma 186 2 2 3" xfId="12603"/>
    <cellStyle name="Comma 186 2 2 4" xfId="18755"/>
    <cellStyle name="Comma 186 2 3" xfId="7941"/>
    <cellStyle name="Comma 186 2 3 2" xfId="14135"/>
    <cellStyle name="Comma 186 2 3 3" xfId="20287"/>
    <cellStyle name="Comma 186 2 4" xfId="11069"/>
    <cellStyle name="Comma 186 2 5" xfId="17221"/>
    <cellStyle name="Comma 186 3" xfId="5604"/>
    <cellStyle name="Comma 186 3 2" xfId="8707"/>
    <cellStyle name="Comma 186 3 2 2" xfId="14900"/>
    <cellStyle name="Comma 186 3 2 3" xfId="21052"/>
    <cellStyle name="Comma 186 3 3" xfId="11834"/>
    <cellStyle name="Comma 186 3 4" xfId="17986"/>
    <cellStyle name="Comma 186 4" xfId="7172"/>
    <cellStyle name="Comma 186 4 2" xfId="13366"/>
    <cellStyle name="Comma 186 4 3" xfId="19518"/>
    <cellStyle name="Comma 186 5" xfId="10300"/>
    <cellStyle name="Comma 186 6" xfId="16452"/>
    <cellStyle name="Comma 187" xfId="4729"/>
    <cellStyle name="Comma 187 2" xfId="4735"/>
    <cellStyle name="Comma 187 3" xfId="6361"/>
    <cellStyle name="Comma 187 3 2" xfId="9447"/>
    <cellStyle name="Comma 187 3 2 2" xfId="15640"/>
    <cellStyle name="Comma 187 3 2 3" xfId="21792"/>
    <cellStyle name="Comma 187 3 3" xfId="12574"/>
    <cellStyle name="Comma 187 3 4" xfId="18726"/>
    <cellStyle name="Comma 187 4" xfId="7912"/>
    <cellStyle name="Comma 187 4 2" xfId="14106"/>
    <cellStyle name="Comma 187 4 3" xfId="20258"/>
    <cellStyle name="Comma 187 5" xfId="11040"/>
    <cellStyle name="Comma 187 6" xfId="17192"/>
    <cellStyle name="Comma 188" xfId="5506"/>
    <cellStyle name="Comma 189" xfId="5572"/>
    <cellStyle name="Comma 19" xfId="237"/>
    <cellStyle name="Comma 19 2" xfId="888"/>
    <cellStyle name="Comma 19 3" xfId="1597"/>
    <cellStyle name="Comma 19 4" xfId="22654"/>
    <cellStyle name="Comma 19 5" xfId="22851"/>
    <cellStyle name="Comma 190" xfId="5514"/>
    <cellStyle name="Comma 191" xfId="5563"/>
    <cellStyle name="Comma 192" xfId="5507"/>
    <cellStyle name="Comma 193" xfId="5569"/>
    <cellStyle name="Comma 194" xfId="5516"/>
    <cellStyle name="Comma 195" xfId="5561"/>
    <cellStyle name="Comma 196" xfId="5529"/>
    <cellStyle name="Comma 197" xfId="5548"/>
    <cellStyle name="Comma 198" xfId="5531"/>
    <cellStyle name="Comma 199" xfId="5542"/>
    <cellStyle name="Comma 2" xfId="3"/>
    <cellStyle name="Comma 2 10" xfId="309"/>
    <cellStyle name="Comma 2 10 2" xfId="4630"/>
    <cellStyle name="Comma 2 10 3" xfId="1599"/>
    <cellStyle name="Comma 2 10 4" xfId="1199"/>
    <cellStyle name="Comma 2 11" xfId="356"/>
    <cellStyle name="Comma 2 11 2" xfId="4631"/>
    <cellStyle name="Comma 2 11 3" xfId="1600"/>
    <cellStyle name="Comma 2 11 4" xfId="1200"/>
    <cellStyle name="Comma 2 12" xfId="371"/>
    <cellStyle name="Comma 2 12 2" xfId="4632"/>
    <cellStyle name="Comma 2 12 3" xfId="1601"/>
    <cellStyle name="Comma 2 12 4" xfId="1201"/>
    <cellStyle name="Comma 2 13" xfId="386"/>
    <cellStyle name="Comma 2 13 2" xfId="4633"/>
    <cellStyle name="Comma 2 13 3" xfId="1602"/>
    <cellStyle name="Comma 2 13 4" xfId="1202"/>
    <cellStyle name="Comma 2 14" xfId="401"/>
    <cellStyle name="Comma 2 14 2" xfId="4634"/>
    <cellStyle name="Comma 2 14 3" xfId="1603"/>
    <cellStyle name="Comma 2 14 4" xfId="1203"/>
    <cellStyle name="Comma 2 15" xfId="413"/>
    <cellStyle name="Comma 2 15 2" xfId="4635"/>
    <cellStyle name="Comma 2 15 3" xfId="1604"/>
    <cellStyle name="Comma 2 15 4" xfId="1204"/>
    <cellStyle name="Comma 2 16" xfId="419"/>
    <cellStyle name="Comma 2 16 2" xfId="4636"/>
    <cellStyle name="Comma 2 16 3" xfId="1605"/>
    <cellStyle name="Comma 2 16 4" xfId="1205"/>
    <cellStyle name="Comma 2 17" xfId="454"/>
    <cellStyle name="Comma 2 17 2" xfId="4637"/>
    <cellStyle name="Comma 2 17 3" xfId="1606"/>
    <cellStyle name="Comma 2 17 4" xfId="1206"/>
    <cellStyle name="Comma 2 18" xfId="482"/>
    <cellStyle name="Comma 2 18 2" xfId="4638"/>
    <cellStyle name="Comma 2 18 3" xfId="1607"/>
    <cellStyle name="Comma 2 18 4" xfId="1207"/>
    <cellStyle name="Comma 2 19" xfId="451"/>
    <cellStyle name="Comma 2 19 2" xfId="4639"/>
    <cellStyle name="Comma 2 19 3" xfId="1608"/>
    <cellStyle name="Comma 2 19 4" xfId="1208"/>
    <cellStyle name="Comma 2 2" xfId="4"/>
    <cellStyle name="Comma 2 2 10" xfId="1609"/>
    <cellStyle name="Comma 2 2 10 2" xfId="4825"/>
    <cellStyle name="Comma 2 2 10 2 2" xfId="6450"/>
    <cellStyle name="Comma 2 2 10 2 2 2" xfId="9536"/>
    <cellStyle name="Comma 2 2 10 2 2 2 2" xfId="15729"/>
    <cellStyle name="Comma 2 2 10 2 2 2 3" xfId="21881"/>
    <cellStyle name="Comma 2 2 10 2 2 3" xfId="12663"/>
    <cellStyle name="Comma 2 2 10 2 2 4" xfId="18815"/>
    <cellStyle name="Comma 2 2 10 2 3" xfId="8001"/>
    <cellStyle name="Comma 2 2 10 2 3 2" xfId="14195"/>
    <cellStyle name="Comma 2 2 10 2 3 3" xfId="20347"/>
    <cellStyle name="Comma 2 2 10 2 4" xfId="11129"/>
    <cellStyle name="Comma 2 2 10 2 5" xfId="17281"/>
    <cellStyle name="Comma 2 2 10 3" xfId="5664"/>
    <cellStyle name="Comma 2 2 10 3 2" xfId="8767"/>
    <cellStyle name="Comma 2 2 10 3 2 2" xfId="14960"/>
    <cellStyle name="Comma 2 2 10 3 2 3" xfId="21112"/>
    <cellStyle name="Comma 2 2 10 3 3" xfId="11894"/>
    <cellStyle name="Comma 2 2 10 3 4" xfId="18046"/>
    <cellStyle name="Comma 2 2 10 4" xfId="7232"/>
    <cellStyle name="Comma 2 2 10 4 2" xfId="13426"/>
    <cellStyle name="Comma 2 2 10 4 3" xfId="19578"/>
    <cellStyle name="Comma 2 2 10 5" xfId="10360"/>
    <cellStyle name="Comma 2 2 10 6" xfId="16512"/>
    <cellStyle name="Comma 2 2 11" xfId="1610"/>
    <cellStyle name="Comma 2 2 11 2" xfId="4826"/>
    <cellStyle name="Comma 2 2 11 2 2" xfId="6451"/>
    <cellStyle name="Comma 2 2 11 2 2 2" xfId="9537"/>
    <cellStyle name="Comma 2 2 11 2 2 2 2" xfId="15730"/>
    <cellStyle name="Comma 2 2 11 2 2 2 3" xfId="21882"/>
    <cellStyle name="Comma 2 2 11 2 2 3" xfId="12664"/>
    <cellStyle name="Comma 2 2 11 2 2 4" xfId="18816"/>
    <cellStyle name="Comma 2 2 11 2 3" xfId="8002"/>
    <cellStyle name="Comma 2 2 11 2 3 2" xfId="14196"/>
    <cellStyle name="Comma 2 2 11 2 3 3" xfId="20348"/>
    <cellStyle name="Comma 2 2 11 2 4" xfId="11130"/>
    <cellStyle name="Comma 2 2 11 2 5" xfId="17282"/>
    <cellStyle name="Comma 2 2 11 3" xfId="5665"/>
    <cellStyle name="Comma 2 2 11 3 2" xfId="8768"/>
    <cellStyle name="Comma 2 2 11 3 2 2" xfId="14961"/>
    <cellStyle name="Comma 2 2 11 3 2 3" xfId="21113"/>
    <cellStyle name="Comma 2 2 11 3 3" xfId="11895"/>
    <cellStyle name="Comma 2 2 11 3 4" xfId="18047"/>
    <cellStyle name="Comma 2 2 11 4" xfId="7233"/>
    <cellStyle name="Comma 2 2 11 4 2" xfId="13427"/>
    <cellStyle name="Comma 2 2 11 4 3" xfId="19579"/>
    <cellStyle name="Comma 2 2 11 5" xfId="10361"/>
    <cellStyle name="Comma 2 2 11 6" xfId="16513"/>
    <cellStyle name="Comma 2 2 12" xfId="1611"/>
    <cellStyle name="Comma 2 2 12 2" xfId="4827"/>
    <cellStyle name="Comma 2 2 12 2 2" xfId="6452"/>
    <cellStyle name="Comma 2 2 12 2 2 2" xfId="9538"/>
    <cellStyle name="Comma 2 2 12 2 2 2 2" xfId="15731"/>
    <cellStyle name="Comma 2 2 12 2 2 2 3" xfId="21883"/>
    <cellStyle name="Comma 2 2 12 2 2 3" xfId="12665"/>
    <cellStyle name="Comma 2 2 12 2 2 4" xfId="18817"/>
    <cellStyle name="Comma 2 2 12 2 3" xfId="8003"/>
    <cellStyle name="Comma 2 2 12 2 3 2" xfId="14197"/>
    <cellStyle name="Comma 2 2 12 2 3 3" xfId="20349"/>
    <cellStyle name="Comma 2 2 12 2 4" xfId="11131"/>
    <cellStyle name="Comma 2 2 12 2 5" xfId="17283"/>
    <cellStyle name="Comma 2 2 12 3" xfId="5666"/>
    <cellStyle name="Comma 2 2 12 3 2" xfId="8769"/>
    <cellStyle name="Comma 2 2 12 3 2 2" xfId="14962"/>
    <cellStyle name="Comma 2 2 12 3 2 3" xfId="21114"/>
    <cellStyle name="Comma 2 2 12 3 3" xfId="11896"/>
    <cellStyle name="Comma 2 2 12 3 4" xfId="18048"/>
    <cellStyle name="Comma 2 2 12 4" xfId="7234"/>
    <cellStyle name="Comma 2 2 12 4 2" xfId="13428"/>
    <cellStyle name="Comma 2 2 12 4 3" xfId="19580"/>
    <cellStyle name="Comma 2 2 12 5" xfId="10362"/>
    <cellStyle name="Comma 2 2 12 6" xfId="16514"/>
    <cellStyle name="Comma 2 2 13" xfId="1612"/>
    <cellStyle name="Comma 2 2 13 2" xfId="4828"/>
    <cellStyle name="Comma 2 2 13 2 2" xfId="6453"/>
    <cellStyle name="Comma 2 2 13 2 2 2" xfId="9539"/>
    <cellStyle name="Comma 2 2 13 2 2 2 2" xfId="15732"/>
    <cellStyle name="Comma 2 2 13 2 2 2 3" xfId="21884"/>
    <cellStyle name="Comma 2 2 13 2 2 3" xfId="12666"/>
    <cellStyle name="Comma 2 2 13 2 2 4" xfId="18818"/>
    <cellStyle name="Comma 2 2 13 2 3" xfId="8004"/>
    <cellStyle name="Comma 2 2 13 2 3 2" xfId="14198"/>
    <cellStyle name="Comma 2 2 13 2 3 3" xfId="20350"/>
    <cellStyle name="Comma 2 2 13 2 4" xfId="11132"/>
    <cellStyle name="Comma 2 2 13 2 5" xfId="17284"/>
    <cellStyle name="Comma 2 2 13 3" xfId="5667"/>
    <cellStyle name="Comma 2 2 13 3 2" xfId="8770"/>
    <cellStyle name="Comma 2 2 13 3 2 2" xfId="14963"/>
    <cellStyle name="Comma 2 2 13 3 2 3" xfId="21115"/>
    <cellStyle name="Comma 2 2 13 3 3" xfId="11897"/>
    <cellStyle name="Comma 2 2 13 3 4" xfId="18049"/>
    <cellStyle name="Comma 2 2 13 4" xfId="7235"/>
    <cellStyle name="Comma 2 2 13 4 2" xfId="13429"/>
    <cellStyle name="Comma 2 2 13 4 3" xfId="19581"/>
    <cellStyle name="Comma 2 2 13 5" xfId="10363"/>
    <cellStyle name="Comma 2 2 13 6" xfId="16515"/>
    <cellStyle name="Comma 2 2 14" xfId="1613"/>
    <cellStyle name="Comma 2 2 14 2" xfId="4829"/>
    <cellStyle name="Comma 2 2 14 2 2" xfId="6454"/>
    <cellStyle name="Comma 2 2 14 2 2 2" xfId="9540"/>
    <cellStyle name="Comma 2 2 14 2 2 2 2" xfId="15733"/>
    <cellStyle name="Comma 2 2 14 2 2 2 3" xfId="21885"/>
    <cellStyle name="Comma 2 2 14 2 2 3" xfId="12667"/>
    <cellStyle name="Comma 2 2 14 2 2 4" xfId="18819"/>
    <cellStyle name="Comma 2 2 14 2 3" xfId="8005"/>
    <cellStyle name="Comma 2 2 14 2 3 2" xfId="14199"/>
    <cellStyle name="Comma 2 2 14 2 3 3" xfId="20351"/>
    <cellStyle name="Comma 2 2 14 2 4" xfId="11133"/>
    <cellStyle name="Comma 2 2 14 2 5" xfId="17285"/>
    <cellStyle name="Comma 2 2 14 3" xfId="5668"/>
    <cellStyle name="Comma 2 2 14 3 2" xfId="8771"/>
    <cellStyle name="Comma 2 2 14 3 2 2" xfId="14964"/>
    <cellStyle name="Comma 2 2 14 3 2 3" xfId="21116"/>
    <cellStyle name="Comma 2 2 14 3 3" xfId="11898"/>
    <cellStyle name="Comma 2 2 14 3 4" xfId="18050"/>
    <cellStyle name="Comma 2 2 14 4" xfId="7236"/>
    <cellStyle name="Comma 2 2 14 4 2" xfId="13430"/>
    <cellStyle name="Comma 2 2 14 4 3" xfId="19582"/>
    <cellStyle name="Comma 2 2 14 5" xfId="10364"/>
    <cellStyle name="Comma 2 2 14 6" xfId="16516"/>
    <cellStyle name="Comma 2 2 15" xfId="1614"/>
    <cellStyle name="Comma 2 2 15 2" xfId="4830"/>
    <cellStyle name="Comma 2 2 15 2 2" xfId="6455"/>
    <cellStyle name="Comma 2 2 15 2 2 2" xfId="9541"/>
    <cellStyle name="Comma 2 2 15 2 2 2 2" xfId="15734"/>
    <cellStyle name="Comma 2 2 15 2 2 2 3" xfId="21886"/>
    <cellStyle name="Comma 2 2 15 2 2 3" xfId="12668"/>
    <cellStyle name="Comma 2 2 15 2 2 4" xfId="18820"/>
    <cellStyle name="Comma 2 2 15 2 3" xfId="8006"/>
    <cellStyle name="Comma 2 2 15 2 3 2" xfId="14200"/>
    <cellStyle name="Comma 2 2 15 2 3 3" xfId="20352"/>
    <cellStyle name="Comma 2 2 15 2 4" xfId="11134"/>
    <cellStyle name="Comma 2 2 15 2 5" xfId="17286"/>
    <cellStyle name="Comma 2 2 15 3" xfId="5669"/>
    <cellStyle name="Comma 2 2 15 3 2" xfId="8772"/>
    <cellStyle name="Comma 2 2 15 3 2 2" xfId="14965"/>
    <cellStyle name="Comma 2 2 15 3 2 3" xfId="21117"/>
    <cellStyle name="Comma 2 2 15 3 3" xfId="11899"/>
    <cellStyle name="Comma 2 2 15 3 4" xfId="18051"/>
    <cellStyle name="Comma 2 2 15 4" xfId="7237"/>
    <cellStyle name="Comma 2 2 15 4 2" xfId="13431"/>
    <cellStyle name="Comma 2 2 15 4 3" xfId="19583"/>
    <cellStyle name="Comma 2 2 15 5" xfId="10365"/>
    <cellStyle name="Comma 2 2 15 6" xfId="16517"/>
    <cellStyle name="Comma 2 2 16" xfId="1615"/>
    <cellStyle name="Comma 2 2 16 2" xfId="4831"/>
    <cellStyle name="Comma 2 2 16 2 2" xfId="6456"/>
    <cellStyle name="Comma 2 2 16 2 2 2" xfId="9542"/>
    <cellStyle name="Comma 2 2 16 2 2 2 2" xfId="15735"/>
    <cellStyle name="Comma 2 2 16 2 2 2 3" xfId="21887"/>
    <cellStyle name="Comma 2 2 16 2 2 3" xfId="12669"/>
    <cellStyle name="Comma 2 2 16 2 2 4" xfId="18821"/>
    <cellStyle name="Comma 2 2 16 2 3" xfId="8007"/>
    <cellStyle name="Comma 2 2 16 2 3 2" xfId="14201"/>
    <cellStyle name="Comma 2 2 16 2 3 3" xfId="20353"/>
    <cellStyle name="Comma 2 2 16 2 4" xfId="11135"/>
    <cellStyle name="Comma 2 2 16 2 5" xfId="17287"/>
    <cellStyle name="Comma 2 2 16 3" xfId="5670"/>
    <cellStyle name="Comma 2 2 16 3 2" xfId="8773"/>
    <cellStyle name="Comma 2 2 16 3 2 2" xfId="14966"/>
    <cellStyle name="Comma 2 2 16 3 2 3" xfId="21118"/>
    <cellStyle name="Comma 2 2 16 3 3" xfId="11900"/>
    <cellStyle name="Comma 2 2 16 3 4" xfId="18052"/>
    <cellStyle name="Comma 2 2 16 4" xfId="7238"/>
    <cellStyle name="Comma 2 2 16 4 2" xfId="13432"/>
    <cellStyle name="Comma 2 2 16 4 3" xfId="19584"/>
    <cellStyle name="Comma 2 2 16 5" xfId="10366"/>
    <cellStyle name="Comma 2 2 16 6" xfId="16518"/>
    <cellStyle name="Comma 2 2 17" xfId="1616"/>
    <cellStyle name="Comma 2 2 17 2" xfId="4832"/>
    <cellStyle name="Comma 2 2 17 2 2" xfId="6457"/>
    <cellStyle name="Comma 2 2 17 2 2 2" xfId="9543"/>
    <cellStyle name="Comma 2 2 17 2 2 2 2" xfId="15736"/>
    <cellStyle name="Comma 2 2 17 2 2 2 3" xfId="21888"/>
    <cellStyle name="Comma 2 2 17 2 2 3" xfId="12670"/>
    <cellStyle name="Comma 2 2 17 2 2 4" xfId="18822"/>
    <cellStyle name="Comma 2 2 17 2 3" xfId="8008"/>
    <cellStyle name="Comma 2 2 17 2 3 2" xfId="14202"/>
    <cellStyle name="Comma 2 2 17 2 3 3" xfId="20354"/>
    <cellStyle name="Comma 2 2 17 2 4" xfId="11136"/>
    <cellStyle name="Comma 2 2 17 2 5" xfId="17288"/>
    <cellStyle name="Comma 2 2 17 3" xfId="5671"/>
    <cellStyle name="Comma 2 2 17 3 2" xfId="8774"/>
    <cellStyle name="Comma 2 2 17 3 2 2" xfId="14967"/>
    <cellStyle name="Comma 2 2 17 3 2 3" xfId="21119"/>
    <cellStyle name="Comma 2 2 17 3 3" xfId="11901"/>
    <cellStyle name="Comma 2 2 17 3 4" xfId="18053"/>
    <cellStyle name="Comma 2 2 17 4" xfId="7239"/>
    <cellStyle name="Comma 2 2 17 4 2" xfId="13433"/>
    <cellStyle name="Comma 2 2 17 4 3" xfId="19585"/>
    <cellStyle name="Comma 2 2 17 5" xfId="10367"/>
    <cellStyle name="Comma 2 2 17 6" xfId="16519"/>
    <cellStyle name="Comma 2 2 18" xfId="1617"/>
    <cellStyle name="Comma 2 2 19" xfId="23132"/>
    <cellStyle name="Comma 2 2 2" xfId="1618"/>
    <cellStyle name="Comma 2 2 2 2" xfId="1619"/>
    <cellStyle name="Comma 2 2 2 2 10" xfId="16520"/>
    <cellStyle name="Comma 2 2 2 2 2" xfId="1620"/>
    <cellStyle name="Comma 2 2 2 2 2 2" xfId="4834"/>
    <cellStyle name="Comma 2 2 2 2 2 2 2" xfId="6459"/>
    <cellStyle name="Comma 2 2 2 2 2 2 2 2" xfId="9545"/>
    <cellStyle name="Comma 2 2 2 2 2 2 2 2 2" xfId="15738"/>
    <cellStyle name="Comma 2 2 2 2 2 2 2 2 3" xfId="21890"/>
    <cellStyle name="Comma 2 2 2 2 2 2 2 3" xfId="12672"/>
    <cellStyle name="Comma 2 2 2 2 2 2 2 4" xfId="18824"/>
    <cellStyle name="Comma 2 2 2 2 2 2 3" xfId="8010"/>
    <cellStyle name="Comma 2 2 2 2 2 2 3 2" xfId="14204"/>
    <cellStyle name="Comma 2 2 2 2 2 2 3 3" xfId="20356"/>
    <cellStyle name="Comma 2 2 2 2 2 2 4" xfId="11138"/>
    <cellStyle name="Comma 2 2 2 2 2 2 5" xfId="17290"/>
    <cellStyle name="Comma 2 2 2 2 2 3" xfId="5673"/>
    <cellStyle name="Comma 2 2 2 2 2 3 2" xfId="8776"/>
    <cellStyle name="Comma 2 2 2 2 2 3 2 2" xfId="14969"/>
    <cellStyle name="Comma 2 2 2 2 2 3 2 3" xfId="21121"/>
    <cellStyle name="Comma 2 2 2 2 2 3 3" xfId="11903"/>
    <cellStyle name="Comma 2 2 2 2 2 3 4" xfId="18055"/>
    <cellStyle name="Comma 2 2 2 2 2 4" xfId="7241"/>
    <cellStyle name="Comma 2 2 2 2 2 4 2" xfId="13435"/>
    <cellStyle name="Comma 2 2 2 2 2 4 3" xfId="19587"/>
    <cellStyle name="Comma 2 2 2 2 2 5" xfId="10369"/>
    <cellStyle name="Comma 2 2 2 2 2 6" xfId="16521"/>
    <cellStyle name="Comma 2 2 2 2 3" xfId="1621"/>
    <cellStyle name="Comma 2 2 2 2 3 2" xfId="4835"/>
    <cellStyle name="Comma 2 2 2 2 3 2 2" xfId="6460"/>
    <cellStyle name="Comma 2 2 2 2 3 2 2 2" xfId="9546"/>
    <cellStyle name="Comma 2 2 2 2 3 2 2 2 2" xfId="15739"/>
    <cellStyle name="Comma 2 2 2 2 3 2 2 2 3" xfId="21891"/>
    <cellStyle name="Comma 2 2 2 2 3 2 2 3" xfId="12673"/>
    <cellStyle name="Comma 2 2 2 2 3 2 2 4" xfId="18825"/>
    <cellStyle name="Comma 2 2 2 2 3 2 3" xfId="8011"/>
    <cellStyle name="Comma 2 2 2 2 3 2 3 2" xfId="14205"/>
    <cellStyle name="Comma 2 2 2 2 3 2 3 3" xfId="20357"/>
    <cellStyle name="Comma 2 2 2 2 3 2 4" xfId="11139"/>
    <cellStyle name="Comma 2 2 2 2 3 2 5" xfId="17291"/>
    <cellStyle name="Comma 2 2 2 2 3 3" xfId="5674"/>
    <cellStyle name="Comma 2 2 2 2 3 3 2" xfId="8777"/>
    <cellStyle name="Comma 2 2 2 2 3 3 2 2" xfId="14970"/>
    <cellStyle name="Comma 2 2 2 2 3 3 2 3" xfId="21122"/>
    <cellStyle name="Comma 2 2 2 2 3 3 3" xfId="11904"/>
    <cellStyle name="Comma 2 2 2 2 3 3 4" xfId="18056"/>
    <cellStyle name="Comma 2 2 2 2 3 4" xfId="7242"/>
    <cellStyle name="Comma 2 2 2 2 3 4 2" xfId="13436"/>
    <cellStyle name="Comma 2 2 2 2 3 4 3" xfId="19588"/>
    <cellStyle name="Comma 2 2 2 2 3 5" xfId="10370"/>
    <cellStyle name="Comma 2 2 2 2 3 6" xfId="16522"/>
    <cellStyle name="Comma 2 2 2 2 4" xfId="1622"/>
    <cellStyle name="Comma 2 2 2 2 4 2" xfId="4836"/>
    <cellStyle name="Comma 2 2 2 2 4 2 2" xfId="6461"/>
    <cellStyle name="Comma 2 2 2 2 4 2 2 2" xfId="9547"/>
    <cellStyle name="Comma 2 2 2 2 4 2 2 2 2" xfId="15740"/>
    <cellStyle name="Comma 2 2 2 2 4 2 2 2 3" xfId="21892"/>
    <cellStyle name="Comma 2 2 2 2 4 2 2 3" xfId="12674"/>
    <cellStyle name="Comma 2 2 2 2 4 2 2 4" xfId="18826"/>
    <cellStyle name="Comma 2 2 2 2 4 2 3" xfId="8012"/>
    <cellStyle name="Comma 2 2 2 2 4 2 3 2" xfId="14206"/>
    <cellStyle name="Comma 2 2 2 2 4 2 3 3" xfId="20358"/>
    <cellStyle name="Comma 2 2 2 2 4 2 4" xfId="11140"/>
    <cellStyle name="Comma 2 2 2 2 4 2 5" xfId="17292"/>
    <cellStyle name="Comma 2 2 2 2 4 3" xfId="5675"/>
    <cellStyle name="Comma 2 2 2 2 4 3 2" xfId="8778"/>
    <cellStyle name="Comma 2 2 2 2 4 3 2 2" xfId="14971"/>
    <cellStyle name="Comma 2 2 2 2 4 3 2 3" xfId="21123"/>
    <cellStyle name="Comma 2 2 2 2 4 3 3" xfId="11905"/>
    <cellStyle name="Comma 2 2 2 2 4 3 4" xfId="18057"/>
    <cellStyle name="Comma 2 2 2 2 4 4" xfId="7243"/>
    <cellStyle name="Comma 2 2 2 2 4 4 2" xfId="13437"/>
    <cellStyle name="Comma 2 2 2 2 4 4 3" xfId="19589"/>
    <cellStyle name="Comma 2 2 2 2 4 5" xfId="10371"/>
    <cellStyle name="Comma 2 2 2 2 4 6" xfId="16523"/>
    <cellStyle name="Comma 2 2 2 2 5" xfId="1623"/>
    <cellStyle name="Comma 2 2 2 2 5 2" xfId="4837"/>
    <cellStyle name="Comma 2 2 2 2 5 2 2" xfId="6462"/>
    <cellStyle name="Comma 2 2 2 2 5 2 2 2" xfId="9548"/>
    <cellStyle name="Comma 2 2 2 2 5 2 2 2 2" xfId="15741"/>
    <cellStyle name="Comma 2 2 2 2 5 2 2 2 3" xfId="21893"/>
    <cellStyle name="Comma 2 2 2 2 5 2 2 3" xfId="12675"/>
    <cellStyle name="Comma 2 2 2 2 5 2 2 4" xfId="18827"/>
    <cellStyle name="Comma 2 2 2 2 5 2 3" xfId="8013"/>
    <cellStyle name="Comma 2 2 2 2 5 2 3 2" xfId="14207"/>
    <cellStyle name="Comma 2 2 2 2 5 2 3 3" xfId="20359"/>
    <cellStyle name="Comma 2 2 2 2 5 2 4" xfId="11141"/>
    <cellStyle name="Comma 2 2 2 2 5 2 5" xfId="17293"/>
    <cellStyle name="Comma 2 2 2 2 5 3" xfId="5676"/>
    <cellStyle name="Comma 2 2 2 2 5 3 2" xfId="8779"/>
    <cellStyle name="Comma 2 2 2 2 5 3 2 2" xfId="14972"/>
    <cellStyle name="Comma 2 2 2 2 5 3 2 3" xfId="21124"/>
    <cellStyle name="Comma 2 2 2 2 5 3 3" xfId="11906"/>
    <cellStyle name="Comma 2 2 2 2 5 3 4" xfId="18058"/>
    <cellStyle name="Comma 2 2 2 2 5 4" xfId="7244"/>
    <cellStyle name="Comma 2 2 2 2 5 4 2" xfId="13438"/>
    <cellStyle name="Comma 2 2 2 2 5 4 3" xfId="19590"/>
    <cellStyle name="Comma 2 2 2 2 5 5" xfId="10372"/>
    <cellStyle name="Comma 2 2 2 2 5 6" xfId="16524"/>
    <cellStyle name="Comma 2 2 2 2 6" xfId="4833"/>
    <cellStyle name="Comma 2 2 2 2 6 2" xfId="6458"/>
    <cellStyle name="Comma 2 2 2 2 6 2 2" xfId="9544"/>
    <cellStyle name="Comma 2 2 2 2 6 2 2 2" xfId="15737"/>
    <cellStyle name="Comma 2 2 2 2 6 2 2 3" xfId="21889"/>
    <cellStyle name="Comma 2 2 2 2 6 2 3" xfId="12671"/>
    <cellStyle name="Comma 2 2 2 2 6 2 4" xfId="18823"/>
    <cellStyle name="Comma 2 2 2 2 6 3" xfId="8009"/>
    <cellStyle name="Comma 2 2 2 2 6 3 2" xfId="14203"/>
    <cellStyle name="Comma 2 2 2 2 6 3 3" xfId="20355"/>
    <cellStyle name="Comma 2 2 2 2 6 4" xfId="11137"/>
    <cellStyle name="Comma 2 2 2 2 6 5" xfId="17289"/>
    <cellStyle name="Comma 2 2 2 2 7" xfId="5672"/>
    <cellStyle name="Comma 2 2 2 2 7 2" xfId="8775"/>
    <cellStyle name="Comma 2 2 2 2 7 2 2" xfId="14968"/>
    <cellStyle name="Comma 2 2 2 2 7 2 3" xfId="21120"/>
    <cellStyle name="Comma 2 2 2 2 7 3" xfId="11902"/>
    <cellStyle name="Comma 2 2 2 2 7 4" xfId="18054"/>
    <cellStyle name="Comma 2 2 2 2 8" xfId="7240"/>
    <cellStyle name="Comma 2 2 2 2 8 2" xfId="13434"/>
    <cellStyle name="Comma 2 2 2 2 8 3" xfId="19586"/>
    <cellStyle name="Comma 2 2 2 2 9" xfId="10368"/>
    <cellStyle name="Comma 2 2 2 3" xfId="1624"/>
    <cellStyle name="Comma 2 2 2 3 2" xfId="4838"/>
    <cellStyle name="Comma 2 2 2 3 2 2" xfId="6463"/>
    <cellStyle name="Comma 2 2 2 3 2 2 2" xfId="9549"/>
    <cellStyle name="Comma 2 2 2 3 2 2 2 2" xfId="15742"/>
    <cellStyle name="Comma 2 2 2 3 2 2 2 3" xfId="21894"/>
    <cellStyle name="Comma 2 2 2 3 2 2 3" xfId="12676"/>
    <cellStyle name="Comma 2 2 2 3 2 2 4" xfId="18828"/>
    <cellStyle name="Comma 2 2 2 3 2 3" xfId="8014"/>
    <cellStyle name="Comma 2 2 2 3 2 3 2" xfId="14208"/>
    <cellStyle name="Comma 2 2 2 3 2 3 3" xfId="20360"/>
    <cellStyle name="Comma 2 2 2 3 2 4" xfId="11142"/>
    <cellStyle name="Comma 2 2 2 3 2 5" xfId="17294"/>
    <cellStyle name="Comma 2 2 2 3 3" xfId="5677"/>
    <cellStyle name="Comma 2 2 2 3 3 2" xfId="8780"/>
    <cellStyle name="Comma 2 2 2 3 3 2 2" xfId="14973"/>
    <cellStyle name="Comma 2 2 2 3 3 2 3" xfId="21125"/>
    <cellStyle name="Comma 2 2 2 3 3 3" xfId="11907"/>
    <cellStyle name="Comma 2 2 2 3 3 4" xfId="18059"/>
    <cellStyle name="Comma 2 2 2 3 4" xfId="7245"/>
    <cellStyle name="Comma 2 2 2 3 4 2" xfId="13439"/>
    <cellStyle name="Comma 2 2 2 3 4 3" xfId="19591"/>
    <cellStyle name="Comma 2 2 2 3 5" xfId="10373"/>
    <cellStyle name="Comma 2 2 2 3 6" xfId="16525"/>
    <cellStyle name="Comma 2 2 2 4" xfId="1625"/>
    <cellStyle name="Comma 2 2 2 4 2" xfId="4839"/>
    <cellStyle name="Comma 2 2 2 4 2 2" xfId="6464"/>
    <cellStyle name="Comma 2 2 2 4 2 2 2" xfId="9550"/>
    <cellStyle name="Comma 2 2 2 4 2 2 2 2" xfId="15743"/>
    <cellStyle name="Comma 2 2 2 4 2 2 2 3" xfId="21895"/>
    <cellStyle name="Comma 2 2 2 4 2 2 3" xfId="12677"/>
    <cellStyle name="Comma 2 2 2 4 2 2 4" xfId="18829"/>
    <cellStyle name="Comma 2 2 2 4 2 3" xfId="8015"/>
    <cellStyle name="Comma 2 2 2 4 2 3 2" xfId="14209"/>
    <cellStyle name="Comma 2 2 2 4 2 3 3" xfId="20361"/>
    <cellStyle name="Comma 2 2 2 4 2 4" xfId="11143"/>
    <cellStyle name="Comma 2 2 2 4 2 5" xfId="17295"/>
    <cellStyle name="Comma 2 2 2 4 3" xfId="5678"/>
    <cellStyle name="Comma 2 2 2 4 3 2" xfId="8781"/>
    <cellStyle name="Comma 2 2 2 4 3 2 2" xfId="14974"/>
    <cellStyle name="Comma 2 2 2 4 3 2 3" xfId="21126"/>
    <cellStyle name="Comma 2 2 2 4 3 3" xfId="11908"/>
    <cellStyle name="Comma 2 2 2 4 3 4" xfId="18060"/>
    <cellStyle name="Comma 2 2 2 4 4" xfId="7246"/>
    <cellStyle name="Comma 2 2 2 4 4 2" xfId="13440"/>
    <cellStyle name="Comma 2 2 2 4 4 3" xfId="19592"/>
    <cellStyle name="Comma 2 2 2 4 5" xfId="10374"/>
    <cellStyle name="Comma 2 2 2 4 6" xfId="16526"/>
    <cellStyle name="Comma 2 2 2 5" xfId="1626"/>
    <cellStyle name="Comma 2 2 2 5 2" xfId="4840"/>
    <cellStyle name="Comma 2 2 2 5 2 2" xfId="6465"/>
    <cellStyle name="Comma 2 2 2 5 2 2 2" xfId="9551"/>
    <cellStyle name="Comma 2 2 2 5 2 2 2 2" xfId="15744"/>
    <cellStyle name="Comma 2 2 2 5 2 2 2 3" xfId="21896"/>
    <cellStyle name="Comma 2 2 2 5 2 2 3" xfId="12678"/>
    <cellStyle name="Comma 2 2 2 5 2 2 4" xfId="18830"/>
    <cellStyle name="Comma 2 2 2 5 2 3" xfId="8016"/>
    <cellStyle name="Comma 2 2 2 5 2 3 2" xfId="14210"/>
    <cellStyle name="Comma 2 2 2 5 2 3 3" xfId="20362"/>
    <cellStyle name="Comma 2 2 2 5 2 4" xfId="11144"/>
    <cellStyle name="Comma 2 2 2 5 2 5" xfId="17296"/>
    <cellStyle name="Comma 2 2 2 5 3" xfId="5679"/>
    <cellStyle name="Comma 2 2 2 5 3 2" xfId="8782"/>
    <cellStyle name="Comma 2 2 2 5 3 2 2" xfId="14975"/>
    <cellStyle name="Comma 2 2 2 5 3 2 3" xfId="21127"/>
    <cellStyle name="Comma 2 2 2 5 3 3" xfId="11909"/>
    <cellStyle name="Comma 2 2 2 5 3 4" xfId="18061"/>
    <cellStyle name="Comma 2 2 2 5 4" xfId="7247"/>
    <cellStyle name="Comma 2 2 2 5 4 2" xfId="13441"/>
    <cellStyle name="Comma 2 2 2 5 4 3" xfId="19593"/>
    <cellStyle name="Comma 2 2 2 5 5" xfId="10375"/>
    <cellStyle name="Comma 2 2 2 5 6" xfId="16527"/>
    <cellStyle name="Comma 2 2 2 6" xfId="1627"/>
    <cellStyle name="Comma 2 2 2 6 2" xfId="4841"/>
    <cellStyle name="Comma 2 2 2 6 2 2" xfId="6466"/>
    <cellStyle name="Comma 2 2 2 6 2 2 2" xfId="9552"/>
    <cellStyle name="Comma 2 2 2 6 2 2 2 2" xfId="15745"/>
    <cellStyle name="Comma 2 2 2 6 2 2 2 3" xfId="21897"/>
    <cellStyle name="Comma 2 2 2 6 2 2 3" xfId="12679"/>
    <cellStyle name="Comma 2 2 2 6 2 2 4" xfId="18831"/>
    <cellStyle name="Comma 2 2 2 6 2 3" xfId="8017"/>
    <cellStyle name="Comma 2 2 2 6 2 3 2" xfId="14211"/>
    <cellStyle name="Comma 2 2 2 6 2 3 3" xfId="20363"/>
    <cellStyle name="Comma 2 2 2 6 2 4" xfId="11145"/>
    <cellStyle name="Comma 2 2 2 6 2 5" xfId="17297"/>
    <cellStyle name="Comma 2 2 2 6 3" xfId="5680"/>
    <cellStyle name="Comma 2 2 2 6 3 2" xfId="8783"/>
    <cellStyle name="Comma 2 2 2 6 3 2 2" xfId="14976"/>
    <cellStyle name="Comma 2 2 2 6 3 2 3" xfId="21128"/>
    <cellStyle name="Comma 2 2 2 6 3 3" xfId="11910"/>
    <cellStyle name="Comma 2 2 2 6 3 4" xfId="18062"/>
    <cellStyle name="Comma 2 2 2 6 4" xfId="7248"/>
    <cellStyle name="Comma 2 2 2 6 4 2" xfId="13442"/>
    <cellStyle name="Comma 2 2 2 6 4 3" xfId="19594"/>
    <cellStyle name="Comma 2 2 2 6 5" xfId="10376"/>
    <cellStyle name="Comma 2 2 2 6 6" xfId="16528"/>
    <cellStyle name="Comma 2 2 2 7" xfId="1628"/>
    <cellStyle name="Comma 2 2 2 8" xfId="1629"/>
    <cellStyle name="Comma 2 2 2 9" xfId="23133"/>
    <cellStyle name="Comma 2 2 3" xfId="1630"/>
    <cellStyle name="Comma 2 2 3 10" xfId="16529"/>
    <cellStyle name="Comma 2 2 3 11" xfId="23134"/>
    <cellStyle name="Comma 2 2 3 2" xfId="1631"/>
    <cellStyle name="Comma 2 2 3 2 2" xfId="1632"/>
    <cellStyle name="Comma 2 2 3 2 2 2" xfId="4843"/>
    <cellStyle name="Comma 2 2 3 2 2 2 2" xfId="6468"/>
    <cellStyle name="Comma 2 2 3 2 2 2 2 2" xfId="9554"/>
    <cellStyle name="Comma 2 2 3 2 2 2 2 2 2" xfId="15747"/>
    <cellStyle name="Comma 2 2 3 2 2 2 2 2 3" xfId="21899"/>
    <cellStyle name="Comma 2 2 3 2 2 2 2 3" xfId="12681"/>
    <cellStyle name="Comma 2 2 3 2 2 2 2 4" xfId="18833"/>
    <cellStyle name="Comma 2 2 3 2 2 2 3" xfId="8019"/>
    <cellStyle name="Comma 2 2 3 2 2 2 3 2" xfId="14213"/>
    <cellStyle name="Comma 2 2 3 2 2 2 3 3" xfId="20365"/>
    <cellStyle name="Comma 2 2 3 2 2 2 4" xfId="11147"/>
    <cellStyle name="Comma 2 2 3 2 2 2 5" xfId="17299"/>
    <cellStyle name="Comma 2 2 3 2 2 3" xfId="5682"/>
    <cellStyle name="Comma 2 2 3 2 2 3 2" xfId="8785"/>
    <cellStyle name="Comma 2 2 3 2 2 3 2 2" xfId="14978"/>
    <cellStyle name="Comma 2 2 3 2 2 3 2 3" xfId="21130"/>
    <cellStyle name="Comma 2 2 3 2 2 3 3" xfId="11912"/>
    <cellStyle name="Comma 2 2 3 2 2 3 4" xfId="18064"/>
    <cellStyle name="Comma 2 2 3 2 2 4" xfId="7250"/>
    <cellStyle name="Comma 2 2 3 2 2 4 2" xfId="13444"/>
    <cellStyle name="Comma 2 2 3 2 2 4 3" xfId="19596"/>
    <cellStyle name="Comma 2 2 3 2 2 5" xfId="10378"/>
    <cellStyle name="Comma 2 2 3 2 2 6" xfId="16530"/>
    <cellStyle name="Comma 2 2 3 2 3" xfId="1633"/>
    <cellStyle name="Comma 2 2 3 2 3 2" xfId="4844"/>
    <cellStyle name="Comma 2 2 3 2 3 2 2" xfId="6469"/>
    <cellStyle name="Comma 2 2 3 2 3 2 2 2" xfId="9555"/>
    <cellStyle name="Comma 2 2 3 2 3 2 2 2 2" xfId="15748"/>
    <cellStyle name="Comma 2 2 3 2 3 2 2 2 3" xfId="21900"/>
    <cellStyle name="Comma 2 2 3 2 3 2 2 3" xfId="12682"/>
    <cellStyle name="Comma 2 2 3 2 3 2 2 4" xfId="18834"/>
    <cellStyle name="Comma 2 2 3 2 3 2 3" xfId="8020"/>
    <cellStyle name="Comma 2 2 3 2 3 2 3 2" xfId="14214"/>
    <cellStyle name="Comma 2 2 3 2 3 2 3 3" xfId="20366"/>
    <cellStyle name="Comma 2 2 3 2 3 2 4" xfId="11148"/>
    <cellStyle name="Comma 2 2 3 2 3 2 5" xfId="17300"/>
    <cellStyle name="Comma 2 2 3 2 3 3" xfId="5683"/>
    <cellStyle name="Comma 2 2 3 2 3 3 2" xfId="8786"/>
    <cellStyle name="Comma 2 2 3 2 3 3 2 2" xfId="14979"/>
    <cellStyle name="Comma 2 2 3 2 3 3 2 3" xfId="21131"/>
    <cellStyle name="Comma 2 2 3 2 3 3 3" xfId="11913"/>
    <cellStyle name="Comma 2 2 3 2 3 3 4" xfId="18065"/>
    <cellStyle name="Comma 2 2 3 2 3 4" xfId="7251"/>
    <cellStyle name="Comma 2 2 3 2 3 4 2" xfId="13445"/>
    <cellStyle name="Comma 2 2 3 2 3 4 3" xfId="19597"/>
    <cellStyle name="Comma 2 2 3 2 3 5" xfId="10379"/>
    <cellStyle name="Comma 2 2 3 2 3 6" xfId="16531"/>
    <cellStyle name="Comma 2 2 3 2 4" xfId="1634"/>
    <cellStyle name="Comma 2 2 3 2 4 2" xfId="4845"/>
    <cellStyle name="Comma 2 2 3 2 4 2 2" xfId="6470"/>
    <cellStyle name="Comma 2 2 3 2 4 2 2 2" xfId="9556"/>
    <cellStyle name="Comma 2 2 3 2 4 2 2 2 2" xfId="15749"/>
    <cellStyle name="Comma 2 2 3 2 4 2 2 2 3" xfId="21901"/>
    <cellStyle name="Comma 2 2 3 2 4 2 2 3" xfId="12683"/>
    <cellStyle name="Comma 2 2 3 2 4 2 2 4" xfId="18835"/>
    <cellStyle name="Comma 2 2 3 2 4 2 3" xfId="8021"/>
    <cellStyle name="Comma 2 2 3 2 4 2 3 2" xfId="14215"/>
    <cellStyle name="Comma 2 2 3 2 4 2 3 3" xfId="20367"/>
    <cellStyle name="Comma 2 2 3 2 4 2 4" xfId="11149"/>
    <cellStyle name="Comma 2 2 3 2 4 2 5" xfId="17301"/>
    <cellStyle name="Comma 2 2 3 2 4 3" xfId="5684"/>
    <cellStyle name="Comma 2 2 3 2 4 3 2" xfId="8787"/>
    <cellStyle name="Comma 2 2 3 2 4 3 2 2" xfId="14980"/>
    <cellStyle name="Comma 2 2 3 2 4 3 2 3" xfId="21132"/>
    <cellStyle name="Comma 2 2 3 2 4 3 3" xfId="11914"/>
    <cellStyle name="Comma 2 2 3 2 4 3 4" xfId="18066"/>
    <cellStyle name="Comma 2 2 3 2 4 4" xfId="7252"/>
    <cellStyle name="Comma 2 2 3 2 4 4 2" xfId="13446"/>
    <cellStyle name="Comma 2 2 3 2 4 4 3" xfId="19598"/>
    <cellStyle name="Comma 2 2 3 2 4 5" xfId="10380"/>
    <cellStyle name="Comma 2 2 3 2 4 6" xfId="16532"/>
    <cellStyle name="Comma 2 2 3 2 5" xfId="1635"/>
    <cellStyle name="Comma 2 2 3 2 5 2" xfId="4846"/>
    <cellStyle name="Comma 2 2 3 2 5 2 2" xfId="6471"/>
    <cellStyle name="Comma 2 2 3 2 5 2 2 2" xfId="9557"/>
    <cellStyle name="Comma 2 2 3 2 5 2 2 2 2" xfId="15750"/>
    <cellStyle name="Comma 2 2 3 2 5 2 2 2 3" xfId="21902"/>
    <cellStyle name="Comma 2 2 3 2 5 2 2 3" xfId="12684"/>
    <cellStyle name="Comma 2 2 3 2 5 2 2 4" xfId="18836"/>
    <cellStyle name="Comma 2 2 3 2 5 2 3" xfId="8022"/>
    <cellStyle name="Comma 2 2 3 2 5 2 3 2" xfId="14216"/>
    <cellStyle name="Comma 2 2 3 2 5 2 3 3" xfId="20368"/>
    <cellStyle name="Comma 2 2 3 2 5 2 4" xfId="11150"/>
    <cellStyle name="Comma 2 2 3 2 5 2 5" xfId="17302"/>
    <cellStyle name="Comma 2 2 3 2 5 3" xfId="5685"/>
    <cellStyle name="Comma 2 2 3 2 5 3 2" xfId="8788"/>
    <cellStyle name="Comma 2 2 3 2 5 3 2 2" xfId="14981"/>
    <cellStyle name="Comma 2 2 3 2 5 3 2 3" xfId="21133"/>
    <cellStyle name="Comma 2 2 3 2 5 3 3" xfId="11915"/>
    <cellStyle name="Comma 2 2 3 2 5 3 4" xfId="18067"/>
    <cellStyle name="Comma 2 2 3 2 5 4" xfId="7253"/>
    <cellStyle name="Comma 2 2 3 2 5 4 2" xfId="13447"/>
    <cellStyle name="Comma 2 2 3 2 5 4 3" xfId="19599"/>
    <cellStyle name="Comma 2 2 3 2 5 5" xfId="10381"/>
    <cellStyle name="Comma 2 2 3 2 5 6" xfId="16533"/>
    <cellStyle name="Comma 2 2 3 3" xfId="1636"/>
    <cellStyle name="Comma 2 2 3 3 2" xfId="4847"/>
    <cellStyle name="Comma 2 2 3 3 2 2" xfId="6472"/>
    <cellStyle name="Comma 2 2 3 3 2 2 2" xfId="9558"/>
    <cellStyle name="Comma 2 2 3 3 2 2 2 2" xfId="15751"/>
    <cellStyle name="Comma 2 2 3 3 2 2 2 3" xfId="21903"/>
    <cellStyle name="Comma 2 2 3 3 2 2 3" xfId="12685"/>
    <cellStyle name="Comma 2 2 3 3 2 2 4" xfId="18837"/>
    <cellStyle name="Comma 2 2 3 3 2 3" xfId="8023"/>
    <cellStyle name="Comma 2 2 3 3 2 3 2" xfId="14217"/>
    <cellStyle name="Comma 2 2 3 3 2 3 3" xfId="20369"/>
    <cellStyle name="Comma 2 2 3 3 2 4" xfId="11151"/>
    <cellStyle name="Comma 2 2 3 3 2 5" xfId="17303"/>
    <cellStyle name="Comma 2 2 3 3 3" xfId="5686"/>
    <cellStyle name="Comma 2 2 3 3 3 2" xfId="8789"/>
    <cellStyle name="Comma 2 2 3 3 3 2 2" xfId="14982"/>
    <cellStyle name="Comma 2 2 3 3 3 2 3" xfId="21134"/>
    <cellStyle name="Comma 2 2 3 3 3 3" xfId="11916"/>
    <cellStyle name="Comma 2 2 3 3 3 4" xfId="18068"/>
    <cellStyle name="Comma 2 2 3 3 4" xfId="7254"/>
    <cellStyle name="Comma 2 2 3 3 4 2" xfId="13448"/>
    <cellStyle name="Comma 2 2 3 3 4 3" xfId="19600"/>
    <cellStyle name="Comma 2 2 3 3 5" xfId="10382"/>
    <cellStyle name="Comma 2 2 3 3 6" xfId="16534"/>
    <cellStyle name="Comma 2 2 3 4" xfId="1637"/>
    <cellStyle name="Comma 2 2 3 4 2" xfId="1638"/>
    <cellStyle name="Comma 2 2 3 5" xfId="1639"/>
    <cellStyle name="Comma 2 2 3 5 2" xfId="1640"/>
    <cellStyle name="Comma 2 2 3 6" xfId="4842"/>
    <cellStyle name="Comma 2 2 3 6 2" xfId="6467"/>
    <cellStyle name="Comma 2 2 3 6 2 2" xfId="9553"/>
    <cellStyle name="Comma 2 2 3 6 2 2 2" xfId="15746"/>
    <cellStyle name="Comma 2 2 3 6 2 2 3" xfId="21898"/>
    <cellStyle name="Comma 2 2 3 6 2 3" xfId="12680"/>
    <cellStyle name="Comma 2 2 3 6 2 4" xfId="18832"/>
    <cellStyle name="Comma 2 2 3 6 3" xfId="8018"/>
    <cellStyle name="Comma 2 2 3 6 3 2" xfId="14212"/>
    <cellStyle name="Comma 2 2 3 6 3 3" xfId="20364"/>
    <cellStyle name="Comma 2 2 3 6 4" xfId="11146"/>
    <cellStyle name="Comma 2 2 3 6 5" xfId="17298"/>
    <cellStyle name="Comma 2 2 3 7" xfId="5681"/>
    <cellStyle name="Comma 2 2 3 7 2" xfId="8784"/>
    <cellStyle name="Comma 2 2 3 7 2 2" xfId="14977"/>
    <cellStyle name="Comma 2 2 3 7 2 3" xfId="21129"/>
    <cellStyle name="Comma 2 2 3 7 3" xfId="11911"/>
    <cellStyle name="Comma 2 2 3 7 4" xfId="18063"/>
    <cellStyle name="Comma 2 2 3 8" xfId="7249"/>
    <cellStyle name="Comma 2 2 3 8 2" xfId="13443"/>
    <cellStyle name="Comma 2 2 3 8 3" xfId="19595"/>
    <cellStyle name="Comma 2 2 3 9" xfId="10377"/>
    <cellStyle name="Comma 2 2 4" xfId="1641"/>
    <cellStyle name="Comma 2 2 4 2" xfId="1642"/>
    <cellStyle name="Comma 2 2 4 2 2" xfId="4848"/>
    <cellStyle name="Comma 2 2 4 2 2 2" xfId="6473"/>
    <cellStyle name="Comma 2 2 4 2 2 2 2" xfId="9559"/>
    <cellStyle name="Comma 2 2 4 2 2 2 2 2" xfId="15752"/>
    <cellStyle name="Comma 2 2 4 2 2 2 2 3" xfId="21904"/>
    <cellStyle name="Comma 2 2 4 2 2 2 3" xfId="12686"/>
    <cellStyle name="Comma 2 2 4 2 2 2 4" xfId="18838"/>
    <cellStyle name="Comma 2 2 4 2 2 3" xfId="8024"/>
    <cellStyle name="Comma 2 2 4 2 2 3 2" xfId="14218"/>
    <cellStyle name="Comma 2 2 4 2 2 3 3" xfId="20370"/>
    <cellStyle name="Comma 2 2 4 2 2 4" xfId="11152"/>
    <cellStyle name="Comma 2 2 4 2 2 5" xfId="17304"/>
    <cellStyle name="Comma 2 2 4 2 3" xfId="5687"/>
    <cellStyle name="Comma 2 2 4 2 3 2" xfId="8790"/>
    <cellStyle name="Comma 2 2 4 2 3 2 2" xfId="14983"/>
    <cellStyle name="Comma 2 2 4 2 3 2 3" xfId="21135"/>
    <cellStyle name="Comma 2 2 4 2 3 3" xfId="11917"/>
    <cellStyle name="Comma 2 2 4 2 3 4" xfId="18069"/>
    <cellStyle name="Comma 2 2 4 2 4" xfId="7255"/>
    <cellStyle name="Comma 2 2 4 2 4 2" xfId="13449"/>
    <cellStyle name="Comma 2 2 4 2 4 3" xfId="19601"/>
    <cellStyle name="Comma 2 2 4 2 5" xfId="10383"/>
    <cellStyle name="Comma 2 2 4 2 6" xfId="16535"/>
    <cellStyle name="Comma 2 2 4 3" xfId="1643"/>
    <cellStyle name="Comma 2 2 4 4" xfId="1644"/>
    <cellStyle name="Comma 2 2 5" xfId="1645"/>
    <cellStyle name="Comma 2 2 5 2" xfId="4849"/>
    <cellStyle name="Comma 2 2 5 2 2" xfId="6474"/>
    <cellStyle name="Comma 2 2 5 2 2 2" xfId="9560"/>
    <cellStyle name="Comma 2 2 5 2 2 2 2" xfId="15753"/>
    <cellStyle name="Comma 2 2 5 2 2 2 3" xfId="21905"/>
    <cellStyle name="Comma 2 2 5 2 2 3" xfId="12687"/>
    <cellStyle name="Comma 2 2 5 2 2 4" xfId="18839"/>
    <cellStyle name="Comma 2 2 5 2 3" xfId="8025"/>
    <cellStyle name="Comma 2 2 5 2 3 2" xfId="14219"/>
    <cellStyle name="Comma 2 2 5 2 3 3" xfId="20371"/>
    <cellStyle name="Comma 2 2 5 2 4" xfId="11153"/>
    <cellStyle name="Comma 2 2 5 2 5" xfId="17305"/>
    <cellStyle name="Comma 2 2 5 3" xfId="5688"/>
    <cellStyle name="Comma 2 2 5 3 2" xfId="8791"/>
    <cellStyle name="Comma 2 2 5 3 2 2" xfId="14984"/>
    <cellStyle name="Comma 2 2 5 3 2 3" xfId="21136"/>
    <cellStyle name="Comma 2 2 5 3 3" xfId="11918"/>
    <cellStyle name="Comma 2 2 5 3 4" xfId="18070"/>
    <cellStyle name="Comma 2 2 5 4" xfId="7256"/>
    <cellStyle name="Comma 2 2 5 4 2" xfId="13450"/>
    <cellStyle name="Comma 2 2 5 4 3" xfId="19602"/>
    <cellStyle name="Comma 2 2 5 5" xfId="10384"/>
    <cellStyle name="Comma 2 2 5 6" xfId="16536"/>
    <cellStyle name="Comma 2 2 6" xfId="1646"/>
    <cellStyle name="Comma 2 2 6 2" xfId="4850"/>
    <cellStyle name="Comma 2 2 6 2 2" xfId="6475"/>
    <cellStyle name="Comma 2 2 6 2 2 2" xfId="9561"/>
    <cellStyle name="Comma 2 2 6 2 2 2 2" xfId="15754"/>
    <cellStyle name="Comma 2 2 6 2 2 2 3" xfId="21906"/>
    <cellStyle name="Comma 2 2 6 2 2 3" xfId="12688"/>
    <cellStyle name="Comma 2 2 6 2 2 4" xfId="18840"/>
    <cellStyle name="Comma 2 2 6 2 3" xfId="8026"/>
    <cellStyle name="Comma 2 2 6 2 3 2" xfId="14220"/>
    <cellStyle name="Comma 2 2 6 2 3 3" xfId="20372"/>
    <cellStyle name="Comma 2 2 6 2 4" xfId="11154"/>
    <cellStyle name="Comma 2 2 6 2 5" xfId="17306"/>
    <cellStyle name="Comma 2 2 6 3" xfId="5689"/>
    <cellStyle name="Comma 2 2 6 3 2" xfId="8792"/>
    <cellStyle name="Comma 2 2 6 3 2 2" xfId="14985"/>
    <cellStyle name="Comma 2 2 6 3 2 3" xfId="21137"/>
    <cellStyle name="Comma 2 2 6 3 3" xfId="11919"/>
    <cellStyle name="Comma 2 2 6 3 4" xfId="18071"/>
    <cellStyle name="Comma 2 2 6 4" xfId="7257"/>
    <cellStyle name="Comma 2 2 6 4 2" xfId="13451"/>
    <cellStyle name="Comma 2 2 6 4 3" xfId="19603"/>
    <cellStyle name="Comma 2 2 6 5" xfId="10385"/>
    <cellStyle name="Comma 2 2 6 6" xfId="16537"/>
    <cellStyle name="Comma 2 2 7" xfId="1647"/>
    <cellStyle name="Comma 2 2 7 2" xfId="4851"/>
    <cellStyle name="Comma 2 2 7 2 2" xfId="6476"/>
    <cellStyle name="Comma 2 2 7 2 2 2" xfId="9562"/>
    <cellStyle name="Comma 2 2 7 2 2 2 2" xfId="15755"/>
    <cellStyle name="Comma 2 2 7 2 2 2 3" xfId="21907"/>
    <cellStyle name="Comma 2 2 7 2 2 3" xfId="12689"/>
    <cellStyle name="Comma 2 2 7 2 2 4" xfId="18841"/>
    <cellStyle name="Comma 2 2 7 2 3" xfId="8027"/>
    <cellStyle name="Comma 2 2 7 2 3 2" xfId="14221"/>
    <cellStyle name="Comma 2 2 7 2 3 3" xfId="20373"/>
    <cellStyle name="Comma 2 2 7 2 4" xfId="11155"/>
    <cellStyle name="Comma 2 2 7 2 5" xfId="17307"/>
    <cellStyle name="Comma 2 2 7 3" xfId="5690"/>
    <cellStyle name="Comma 2 2 7 3 2" xfId="8793"/>
    <cellStyle name="Comma 2 2 7 3 2 2" xfId="14986"/>
    <cellStyle name="Comma 2 2 7 3 2 3" xfId="21138"/>
    <cellStyle name="Comma 2 2 7 3 3" xfId="11920"/>
    <cellStyle name="Comma 2 2 7 3 4" xfId="18072"/>
    <cellStyle name="Comma 2 2 7 4" xfId="7258"/>
    <cellStyle name="Comma 2 2 7 4 2" xfId="13452"/>
    <cellStyle name="Comma 2 2 7 4 3" xfId="19604"/>
    <cellStyle name="Comma 2 2 7 5" xfId="10386"/>
    <cellStyle name="Comma 2 2 7 6" xfId="16538"/>
    <cellStyle name="Comma 2 2 8" xfId="1648"/>
    <cellStyle name="Comma 2 2 8 2" xfId="4852"/>
    <cellStyle name="Comma 2 2 8 2 2" xfId="6477"/>
    <cellStyle name="Comma 2 2 8 2 2 2" xfId="9563"/>
    <cellStyle name="Comma 2 2 8 2 2 2 2" xfId="15756"/>
    <cellStyle name="Comma 2 2 8 2 2 2 3" xfId="21908"/>
    <cellStyle name="Comma 2 2 8 2 2 3" xfId="12690"/>
    <cellStyle name="Comma 2 2 8 2 2 4" xfId="18842"/>
    <cellStyle name="Comma 2 2 8 2 3" xfId="8028"/>
    <cellStyle name="Comma 2 2 8 2 3 2" xfId="14222"/>
    <cellStyle name="Comma 2 2 8 2 3 3" xfId="20374"/>
    <cellStyle name="Comma 2 2 8 2 4" xfId="11156"/>
    <cellStyle name="Comma 2 2 8 2 5" xfId="17308"/>
    <cellStyle name="Comma 2 2 8 3" xfId="5691"/>
    <cellStyle name="Comma 2 2 8 3 2" xfId="8794"/>
    <cellStyle name="Comma 2 2 8 3 2 2" xfId="14987"/>
    <cellStyle name="Comma 2 2 8 3 2 3" xfId="21139"/>
    <cellStyle name="Comma 2 2 8 3 3" xfId="11921"/>
    <cellStyle name="Comma 2 2 8 3 4" xfId="18073"/>
    <cellStyle name="Comma 2 2 8 4" xfId="7259"/>
    <cellStyle name="Comma 2 2 8 4 2" xfId="13453"/>
    <cellStyle name="Comma 2 2 8 4 3" xfId="19605"/>
    <cellStyle name="Comma 2 2 8 5" xfId="10387"/>
    <cellStyle name="Comma 2 2 8 6" xfId="16539"/>
    <cellStyle name="Comma 2 2 9" xfId="1649"/>
    <cellStyle name="Comma 2 2 9 2" xfId="4853"/>
    <cellStyle name="Comma 2 2 9 2 2" xfId="6478"/>
    <cellStyle name="Comma 2 2 9 2 2 2" xfId="9564"/>
    <cellStyle name="Comma 2 2 9 2 2 2 2" xfId="15757"/>
    <cellStyle name="Comma 2 2 9 2 2 2 3" xfId="21909"/>
    <cellStyle name="Comma 2 2 9 2 2 3" xfId="12691"/>
    <cellStyle name="Comma 2 2 9 2 2 4" xfId="18843"/>
    <cellStyle name="Comma 2 2 9 2 3" xfId="8029"/>
    <cellStyle name="Comma 2 2 9 2 3 2" xfId="14223"/>
    <cellStyle name="Comma 2 2 9 2 3 3" xfId="20375"/>
    <cellStyle name="Comma 2 2 9 2 4" xfId="11157"/>
    <cellStyle name="Comma 2 2 9 2 5" xfId="17309"/>
    <cellStyle name="Comma 2 2 9 3" xfId="5692"/>
    <cellStyle name="Comma 2 2 9 3 2" xfId="8795"/>
    <cellStyle name="Comma 2 2 9 3 2 2" xfId="14988"/>
    <cellStyle name="Comma 2 2 9 3 2 3" xfId="21140"/>
    <cellStyle name="Comma 2 2 9 3 3" xfId="11922"/>
    <cellStyle name="Comma 2 2 9 3 4" xfId="18074"/>
    <cellStyle name="Comma 2 2 9 4" xfId="7260"/>
    <cellStyle name="Comma 2 2 9 4 2" xfId="13454"/>
    <cellStyle name="Comma 2 2 9 4 3" xfId="19606"/>
    <cellStyle name="Comma 2 2 9 5" xfId="10388"/>
    <cellStyle name="Comma 2 2 9 6" xfId="16540"/>
    <cellStyle name="Comma 2 20" xfId="480"/>
    <cellStyle name="Comma 2 20 2" xfId="1650"/>
    <cellStyle name="Comma 2 21" xfId="493"/>
    <cellStyle name="Comma 2 21 2" xfId="1651"/>
    <cellStyle name="Comma 2 22" xfId="535"/>
    <cellStyle name="Comma 2 22 2" xfId="1652"/>
    <cellStyle name="Comma 2 23" xfId="544"/>
    <cellStyle name="Comma 2 23 2" xfId="4824"/>
    <cellStyle name="Comma 2 23 2 2" xfId="6449"/>
    <cellStyle name="Comma 2 23 2 2 2" xfId="9535"/>
    <cellStyle name="Comma 2 23 2 2 2 2" xfId="15728"/>
    <cellStyle name="Comma 2 23 2 2 2 3" xfId="21880"/>
    <cellStyle name="Comma 2 23 2 2 3" xfId="12662"/>
    <cellStyle name="Comma 2 23 2 2 4" xfId="18814"/>
    <cellStyle name="Comma 2 23 2 3" xfId="8000"/>
    <cellStyle name="Comma 2 23 2 3 2" xfId="14194"/>
    <cellStyle name="Comma 2 23 2 3 3" xfId="20346"/>
    <cellStyle name="Comma 2 23 2 4" xfId="11128"/>
    <cellStyle name="Comma 2 23 2 5" xfId="17280"/>
    <cellStyle name="Comma 2 23 3" xfId="5663"/>
    <cellStyle name="Comma 2 23 3 2" xfId="8766"/>
    <cellStyle name="Comma 2 23 3 2 2" xfId="14959"/>
    <cellStyle name="Comma 2 23 3 2 3" xfId="21111"/>
    <cellStyle name="Comma 2 23 3 3" xfId="11893"/>
    <cellStyle name="Comma 2 23 3 4" xfId="18045"/>
    <cellStyle name="Comma 2 23 4" xfId="7231"/>
    <cellStyle name="Comma 2 23 4 2" xfId="13425"/>
    <cellStyle name="Comma 2 23 4 3" xfId="19577"/>
    <cellStyle name="Comma 2 23 5" xfId="10359"/>
    <cellStyle name="Comma 2 23 6" xfId="16511"/>
    <cellStyle name="Comma 2 23 7" xfId="1598"/>
    <cellStyle name="Comma 2 24" xfId="626"/>
    <cellStyle name="Comma 2 24 2" xfId="10224"/>
    <cellStyle name="Comma 2 25" xfId="678"/>
    <cellStyle name="Comma 2 26" xfId="680"/>
    <cellStyle name="Comma 2 27" xfId="578"/>
    <cellStyle name="Comma 2 28" xfId="700"/>
    <cellStyle name="Comma 2 29" xfId="732"/>
    <cellStyle name="Comma 2 3" xfId="151"/>
    <cellStyle name="Comma 2 3 10" xfId="210"/>
    <cellStyle name="Comma 2 3 11" xfId="23135"/>
    <cellStyle name="Comma 2 3 2" xfId="869"/>
    <cellStyle name="Comma 2 3 2 2" xfId="1654"/>
    <cellStyle name="Comma 2 3 3" xfId="1655"/>
    <cellStyle name="Comma 2 3 4" xfId="4640"/>
    <cellStyle name="Comma 2 3 5" xfId="1653"/>
    <cellStyle name="Comma 2 3 6" xfId="10255"/>
    <cellStyle name="Comma 2 3 7" xfId="1209"/>
    <cellStyle name="Comma 2 3 8" xfId="22748"/>
    <cellStyle name="Comma 2 3 9" xfId="22832"/>
    <cellStyle name="Comma 2 30" xfId="758"/>
    <cellStyle name="Comma 2 31" xfId="192"/>
    <cellStyle name="Comma 2 4" xfId="245"/>
    <cellStyle name="Comma 2 4 2" xfId="1657"/>
    <cellStyle name="Comma 2 4 3" xfId="1658"/>
    <cellStyle name="Comma 2 4 4" xfId="1659"/>
    <cellStyle name="Comma 2 4 4 2" xfId="1660"/>
    <cellStyle name="Comma 2 4 5" xfId="1661"/>
    <cellStyle name="Comma 2 4 5 2" xfId="1662"/>
    <cellStyle name="Comma 2 4 6" xfId="1656"/>
    <cellStyle name="Comma 2 4 7" xfId="1210"/>
    <cellStyle name="Comma 2 4 8" xfId="23136"/>
    <cellStyle name="Comma 2 5" xfId="273"/>
    <cellStyle name="Comma 2 5 2" xfId="1664"/>
    <cellStyle name="Comma 2 5 3" xfId="1665"/>
    <cellStyle name="Comma 2 5 4" xfId="4641"/>
    <cellStyle name="Comma 2 5 5" xfId="1663"/>
    <cellStyle name="Comma 2 5 6" xfId="1211"/>
    <cellStyle name="Comma 2 5 7" xfId="23137"/>
    <cellStyle name="Comma 2 6" xfId="265"/>
    <cellStyle name="Comma 2 6 2" xfId="1667"/>
    <cellStyle name="Comma 2 6 3" xfId="1668"/>
    <cellStyle name="Comma 2 6 4" xfId="1666"/>
    <cellStyle name="Comma 2 6 5" xfId="1212"/>
    <cellStyle name="Comma 2 6 6" xfId="23138"/>
    <cellStyle name="Comma 2 7" xfId="288"/>
    <cellStyle name="Comma 2 7 2" xfId="4642"/>
    <cellStyle name="Comma 2 7 3" xfId="1669"/>
    <cellStyle name="Comma 2 7 4" xfId="1213"/>
    <cellStyle name="Comma 2 8" xfId="293"/>
    <cellStyle name="Comma 2 8 2" xfId="4643"/>
    <cellStyle name="Comma 2 8 3" xfId="1670"/>
    <cellStyle name="Comma 2 8 4" xfId="1214"/>
    <cellStyle name="Comma 2 9" xfId="287"/>
    <cellStyle name="Comma 2 9 2" xfId="4644"/>
    <cellStyle name="Comma 2 9 3" xfId="1671"/>
    <cellStyle name="Comma 2 9 4" xfId="1215"/>
    <cellStyle name="Comma 20" xfId="238"/>
    <cellStyle name="Comma 20 2" xfId="889"/>
    <cellStyle name="Comma 20 3" xfId="1672"/>
    <cellStyle name="Comma 20 4" xfId="22762"/>
    <cellStyle name="Comma 20 5" xfId="22852"/>
    <cellStyle name="Comma 200" xfId="5552"/>
    <cellStyle name="Comma 201" xfId="5520"/>
    <cellStyle name="Comma 202" xfId="5532"/>
    <cellStyle name="Comma 203" xfId="5541"/>
    <cellStyle name="Comma 204" xfId="4742"/>
    <cellStyle name="Comma 204 2" xfId="6367"/>
    <cellStyle name="Comma 204 2 2" xfId="9453"/>
    <cellStyle name="Comma 204 2 2 2" xfId="15646"/>
    <cellStyle name="Comma 204 2 2 3" xfId="21798"/>
    <cellStyle name="Comma 204 2 3" xfId="12580"/>
    <cellStyle name="Comma 204 2 4" xfId="18732"/>
    <cellStyle name="Comma 204 3" xfId="7918"/>
    <cellStyle name="Comma 204 3 2" xfId="14112"/>
    <cellStyle name="Comma 204 3 3" xfId="20264"/>
    <cellStyle name="Comma 204 4" xfId="11046"/>
    <cellStyle name="Comma 204 5" xfId="17198"/>
    <cellStyle name="Comma 205" xfId="5577"/>
    <cellStyle name="Comma 205 2" xfId="8681"/>
    <cellStyle name="Comma 205 2 2" xfId="14875"/>
    <cellStyle name="Comma 205 2 3" xfId="21027"/>
    <cellStyle name="Comma 205 3" xfId="11809"/>
    <cellStyle name="Comma 205 4" xfId="17961"/>
    <cellStyle name="Comma 206" xfId="5579"/>
    <cellStyle name="Comma 206 2" xfId="8683"/>
    <cellStyle name="Comma 206 2 2" xfId="14876"/>
    <cellStyle name="Comma 206 2 3" xfId="21028"/>
    <cellStyle name="Comma 206 3" xfId="11810"/>
    <cellStyle name="Comma 206 4" xfId="17962"/>
    <cellStyle name="Comma 207" xfId="7146"/>
    <cellStyle name="Comma 208" xfId="10217"/>
    <cellStyle name="Comma 209" xfId="10219"/>
    <cellStyle name="Comma 21" xfId="239"/>
    <cellStyle name="Comma 21 2" xfId="890"/>
    <cellStyle name="Comma 21 3" xfId="1673"/>
    <cellStyle name="Comma 21 4" xfId="22752"/>
    <cellStyle name="Comma 21 5" xfId="22853"/>
    <cellStyle name="Comma 210" xfId="10274"/>
    <cellStyle name="Comma 211" xfId="1183"/>
    <cellStyle name="Comma 212" xfId="1192"/>
    <cellStyle name="Comma 213" xfId="22585"/>
    <cellStyle name="Comma 214" xfId="22583"/>
    <cellStyle name="Comma 215" xfId="22588"/>
    <cellStyle name="Comma 216" xfId="1158"/>
    <cellStyle name="Comma 217" xfId="1165"/>
    <cellStyle name="Comma 218" xfId="22629"/>
    <cellStyle name="Comma 219" xfId="22640"/>
    <cellStyle name="Comma 22" xfId="235"/>
    <cellStyle name="Comma 22 2" xfId="886"/>
    <cellStyle name="Comma 22 3" xfId="1674"/>
    <cellStyle name="Comma 22 4" xfId="22637"/>
    <cellStyle name="Comma 22 5" xfId="22849"/>
    <cellStyle name="Comma 220" xfId="22754"/>
    <cellStyle name="Comma 221" xfId="22763"/>
    <cellStyle name="Comma 222" xfId="22674"/>
    <cellStyle name="Comma 223" xfId="22618"/>
    <cellStyle name="Comma 224" xfId="23129"/>
    <cellStyle name="Comma 225" xfId="23232"/>
    <cellStyle name="Comma 23" xfId="240"/>
    <cellStyle name="Comma 23 2" xfId="891"/>
    <cellStyle name="Comma 23 3" xfId="1675"/>
    <cellStyle name="Comma 23 4" xfId="22804"/>
    <cellStyle name="Comma 23 5" xfId="22854"/>
    <cellStyle name="Comma 23 6" xfId="23139"/>
    <cellStyle name="Comma 24" xfId="1676"/>
    <cellStyle name="Comma 25" xfId="1677"/>
    <cellStyle name="Comma 26" xfId="1678"/>
    <cellStyle name="Comma 27" xfId="1679"/>
    <cellStyle name="Comma 28" xfId="1680"/>
    <cellStyle name="Comma 29" xfId="1681"/>
    <cellStyle name="Comma 3" xfId="5"/>
    <cellStyle name="Comma 3 10" xfId="387"/>
    <cellStyle name="Comma 3 10 2" xfId="4854"/>
    <cellStyle name="Comma 3 10 2 2" xfId="6479"/>
    <cellStyle name="Comma 3 10 2 2 2" xfId="9565"/>
    <cellStyle name="Comma 3 10 2 2 2 2" xfId="15758"/>
    <cellStyle name="Comma 3 10 2 2 2 3" xfId="21910"/>
    <cellStyle name="Comma 3 10 2 2 3" xfId="12692"/>
    <cellStyle name="Comma 3 10 2 2 4" xfId="18844"/>
    <cellStyle name="Comma 3 10 2 3" xfId="8030"/>
    <cellStyle name="Comma 3 10 2 3 2" xfId="14224"/>
    <cellStyle name="Comma 3 10 2 3 3" xfId="20376"/>
    <cellStyle name="Comma 3 10 2 4" xfId="11158"/>
    <cellStyle name="Comma 3 10 2 5" xfId="17310"/>
    <cellStyle name="Comma 3 10 3" xfId="5693"/>
    <cellStyle name="Comma 3 10 3 2" xfId="8796"/>
    <cellStyle name="Comma 3 10 3 2 2" xfId="14989"/>
    <cellStyle name="Comma 3 10 3 2 3" xfId="21141"/>
    <cellStyle name="Comma 3 10 3 3" xfId="11923"/>
    <cellStyle name="Comma 3 10 3 4" xfId="18075"/>
    <cellStyle name="Comma 3 10 4" xfId="7261"/>
    <cellStyle name="Comma 3 10 4 2" xfId="13455"/>
    <cellStyle name="Comma 3 10 4 3" xfId="19607"/>
    <cellStyle name="Comma 3 10 5" xfId="10389"/>
    <cellStyle name="Comma 3 10 6" xfId="16541"/>
    <cellStyle name="Comma 3 10 7" xfId="1682"/>
    <cellStyle name="Comma 3 11" xfId="402"/>
    <cellStyle name="Comma 3 11 2" xfId="4855"/>
    <cellStyle name="Comma 3 11 2 2" xfId="6480"/>
    <cellStyle name="Comma 3 11 2 2 2" xfId="9566"/>
    <cellStyle name="Comma 3 11 2 2 2 2" xfId="15759"/>
    <cellStyle name="Comma 3 11 2 2 2 3" xfId="21911"/>
    <cellStyle name="Comma 3 11 2 2 3" xfId="12693"/>
    <cellStyle name="Comma 3 11 2 2 4" xfId="18845"/>
    <cellStyle name="Comma 3 11 2 3" xfId="8031"/>
    <cellStyle name="Comma 3 11 2 3 2" xfId="14225"/>
    <cellStyle name="Comma 3 11 2 3 3" xfId="20377"/>
    <cellStyle name="Comma 3 11 2 4" xfId="11159"/>
    <cellStyle name="Comma 3 11 2 5" xfId="17311"/>
    <cellStyle name="Comma 3 11 3" xfId="5694"/>
    <cellStyle name="Comma 3 11 3 2" xfId="8797"/>
    <cellStyle name="Comma 3 11 3 2 2" xfId="14990"/>
    <cellStyle name="Comma 3 11 3 2 3" xfId="21142"/>
    <cellStyle name="Comma 3 11 3 3" xfId="11924"/>
    <cellStyle name="Comma 3 11 3 4" xfId="18076"/>
    <cellStyle name="Comma 3 11 4" xfId="7262"/>
    <cellStyle name="Comma 3 11 4 2" xfId="13456"/>
    <cellStyle name="Comma 3 11 4 3" xfId="19608"/>
    <cellStyle name="Comma 3 11 5" xfId="10390"/>
    <cellStyle name="Comma 3 11 6" xfId="16542"/>
    <cellStyle name="Comma 3 11 7" xfId="1683"/>
    <cellStyle name="Comma 3 12" xfId="414"/>
    <cellStyle name="Comma 3 12 2" xfId="4856"/>
    <cellStyle name="Comma 3 12 2 2" xfId="6481"/>
    <cellStyle name="Comma 3 12 2 2 2" xfId="9567"/>
    <cellStyle name="Comma 3 12 2 2 2 2" xfId="15760"/>
    <cellStyle name="Comma 3 12 2 2 2 3" xfId="21912"/>
    <cellStyle name="Comma 3 12 2 2 3" xfId="12694"/>
    <cellStyle name="Comma 3 12 2 2 4" xfId="18846"/>
    <cellStyle name="Comma 3 12 2 3" xfId="8032"/>
    <cellStyle name="Comma 3 12 2 3 2" xfId="14226"/>
    <cellStyle name="Comma 3 12 2 3 3" xfId="20378"/>
    <cellStyle name="Comma 3 12 2 4" xfId="11160"/>
    <cellStyle name="Comma 3 12 2 5" xfId="17312"/>
    <cellStyle name="Comma 3 12 3" xfId="5695"/>
    <cellStyle name="Comma 3 12 3 2" xfId="8798"/>
    <cellStyle name="Comma 3 12 3 2 2" xfId="14991"/>
    <cellStyle name="Comma 3 12 3 2 3" xfId="21143"/>
    <cellStyle name="Comma 3 12 3 3" xfId="11925"/>
    <cellStyle name="Comma 3 12 3 4" xfId="18077"/>
    <cellStyle name="Comma 3 12 4" xfId="7263"/>
    <cellStyle name="Comma 3 12 4 2" xfId="13457"/>
    <cellStyle name="Comma 3 12 4 3" xfId="19609"/>
    <cellStyle name="Comma 3 12 5" xfId="10391"/>
    <cellStyle name="Comma 3 12 6" xfId="16543"/>
    <cellStyle name="Comma 3 12 7" xfId="1684"/>
    <cellStyle name="Comma 3 13" xfId="426"/>
    <cellStyle name="Comma 3 13 2" xfId="4857"/>
    <cellStyle name="Comma 3 13 2 2" xfId="6482"/>
    <cellStyle name="Comma 3 13 2 2 2" xfId="9568"/>
    <cellStyle name="Comma 3 13 2 2 2 2" xfId="15761"/>
    <cellStyle name="Comma 3 13 2 2 2 3" xfId="21913"/>
    <cellStyle name="Comma 3 13 2 2 3" xfId="12695"/>
    <cellStyle name="Comma 3 13 2 2 4" xfId="18847"/>
    <cellStyle name="Comma 3 13 2 3" xfId="8033"/>
    <cellStyle name="Comma 3 13 2 3 2" xfId="14227"/>
    <cellStyle name="Comma 3 13 2 3 3" xfId="20379"/>
    <cellStyle name="Comma 3 13 2 4" xfId="11161"/>
    <cellStyle name="Comma 3 13 2 5" xfId="17313"/>
    <cellStyle name="Comma 3 13 3" xfId="5696"/>
    <cellStyle name="Comma 3 13 3 2" xfId="8799"/>
    <cellStyle name="Comma 3 13 3 2 2" xfId="14992"/>
    <cellStyle name="Comma 3 13 3 2 3" xfId="21144"/>
    <cellStyle name="Comma 3 13 3 3" xfId="11926"/>
    <cellStyle name="Comma 3 13 3 4" xfId="18078"/>
    <cellStyle name="Comma 3 13 4" xfId="7264"/>
    <cellStyle name="Comma 3 13 4 2" xfId="13458"/>
    <cellStyle name="Comma 3 13 4 3" xfId="19610"/>
    <cellStyle name="Comma 3 13 5" xfId="10392"/>
    <cellStyle name="Comma 3 13 6" xfId="16544"/>
    <cellStyle name="Comma 3 13 7" xfId="1685"/>
    <cellStyle name="Comma 3 14" xfId="438"/>
    <cellStyle name="Comma 3 14 2" xfId="4858"/>
    <cellStyle name="Comma 3 14 2 2" xfId="6483"/>
    <cellStyle name="Comma 3 14 2 2 2" xfId="9569"/>
    <cellStyle name="Comma 3 14 2 2 2 2" xfId="15762"/>
    <cellStyle name="Comma 3 14 2 2 2 3" xfId="21914"/>
    <cellStyle name="Comma 3 14 2 2 3" xfId="12696"/>
    <cellStyle name="Comma 3 14 2 2 4" xfId="18848"/>
    <cellStyle name="Comma 3 14 2 3" xfId="8034"/>
    <cellStyle name="Comma 3 14 2 3 2" xfId="14228"/>
    <cellStyle name="Comma 3 14 2 3 3" xfId="20380"/>
    <cellStyle name="Comma 3 14 2 4" xfId="11162"/>
    <cellStyle name="Comma 3 14 2 5" xfId="17314"/>
    <cellStyle name="Comma 3 14 3" xfId="5697"/>
    <cellStyle name="Comma 3 14 3 2" xfId="8800"/>
    <cellStyle name="Comma 3 14 3 2 2" xfId="14993"/>
    <cellStyle name="Comma 3 14 3 2 3" xfId="21145"/>
    <cellStyle name="Comma 3 14 3 3" xfId="11927"/>
    <cellStyle name="Comma 3 14 3 4" xfId="18079"/>
    <cellStyle name="Comma 3 14 4" xfId="7265"/>
    <cellStyle name="Comma 3 14 4 2" xfId="13459"/>
    <cellStyle name="Comma 3 14 4 3" xfId="19611"/>
    <cellStyle name="Comma 3 14 5" xfId="10393"/>
    <cellStyle name="Comma 3 14 6" xfId="16545"/>
    <cellStyle name="Comma 3 14 7" xfId="1686"/>
    <cellStyle name="Comma 3 15" xfId="459"/>
    <cellStyle name="Comma 3 15 2" xfId="4859"/>
    <cellStyle name="Comma 3 15 2 2" xfId="6484"/>
    <cellStyle name="Comma 3 15 2 2 2" xfId="9570"/>
    <cellStyle name="Comma 3 15 2 2 2 2" xfId="15763"/>
    <cellStyle name="Comma 3 15 2 2 2 3" xfId="21915"/>
    <cellStyle name="Comma 3 15 2 2 3" xfId="12697"/>
    <cellStyle name="Comma 3 15 2 2 4" xfId="18849"/>
    <cellStyle name="Comma 3 15 2 3" xfId="8035"/>
    <cellStyle name="Comma 3 15 2 3 2" xfId="14229"/>
    <cellStyle name="Comma 3 15 2 3 3" xfId="20381"/>
    <cellStyle name="Comma 3 15 2 4" xfId="11163"/>
    <cellStyle name="Comma 3 15 2 5" xfId="17315"/>
    <cellStyle name="Comma 3 15 3" xfId="5698"/>
    <cellStyle name="Comma 3 15 3 2" xfId="8801"/>
    <cellStyle name="Comma 3 15 3 2 2" xfId="14994"/>
    <cellStyle name="Comma 3 15 3 2 3" xfId="21146"/>
    <cellStyle name="Comma 3 15 3 3" xfId="11928"/>
    <cellStyle name="Comma 3 15 3 4" xfId="18080"/>
    <cellStyle name="Comma 3 15 4" xfId="7266"/>
    <cellStyle name="Comma 3 15 4 2" xfId="13460"/>
    <cellStyle name="Comma 3 15 4 3" xfId="19612"/>
    <cellStyle name="Comma 3 15 5" xfId="10394"/>
    <cellStyle name="Comma 3 15 6" xfId="16546"/>
    <cellStyle name="Comma 3 15 7" xfId="1687"/>
    <cellStyle name="Comma 3 16" xfId="476"/>
    <cellStyle name="Comma 3 16 2" xfId="4860"/>
    <cellStyle name="Comma 3 16 2 2" xfId="6485"/>
    <cellStyle name="Comma 3 16 2 2 2" xfId="9571"/>
    <cellStyle name="Comma 3 16 2 2 2 2" xfId="15764"/>
    <cellStyle name="Comma 3 16 2 2 2 3" xfId="21916"/>
    <cellStyle name="Comma 3 16 2 2 3" xfId="12698"/>
    <cellStyle name="Comma 3 16 2 2 4" xfId="18850"/>
    <cellStyle name="Comma 3 16 2 3" xfId="8036"/>
    <cellStyle name="Comma 3 16 2 3 2" xfId="14230"/>
    <cellStyle name="Comma 3 16 2 3 3" xfId="20382"/>
    <cellStyle name="Comma 3 16 2 4" xfId="11164"/>
    <cellStyle name="Comma 3 16 2 5" xfId="17316"/>
    <cellStyle name="Comma 3 16 3" xfId="5699"/>
    <cellStyle name="Comma 3 16 3 2" xfId="8802"/>
    <cellStyle name="Comma 3 16 3 2 2" xfId="14995"/>
    <cellStyle name="Comma 3 16 3 2 3" xfId="21147"/>
    <cellStyle name="Comma 3 16 3 3" xfId="11929"/>
    <cellStyle name="Comma 3 16 3 4" xfId="18081"/>
    <cellStyle name="Comma 3 16 4" xfId="7267"/>
    <cellStyle name="Comma 3 16 4 2" xfId="13461"/>
    <cellStyle name="Comma 3 16 4 3" xfId="19613"/>
    <cellStyle name="Comma 3 16 5" xfId="10395"/>
    <cellStyle name="Comma 3 16 6" xfId="16547"/>
    <cellStyle name="Comma 3 16 7" xfId="1688"/>
    <cellStyle name="Comma 3 17" xfId="490"/>
    <cellStyle name="Comma 3 17 2" xfId="4861"/>
    <cellStyle name="Comma 3 17 2 2" xfId="6486"/>
    <cellStyle name="Comma 3 17 2 2 2" xfId="9572"/>
    <cellStyle name="Comma 3 17 2 2 2 2" xfId="15765"/>
    <cellStyle name="Comma 3 17 2 2 2 3" xfId="21917"/>
    <cellStyle name="Comma 3 17 2 2 3" xfId="12699"/>
    <cellStyle name="Comma 3 17 2 2 4" xfId="18851"/>
    <cellStyle name="Comma 3 17 2 3" xfId="8037"/>
    <cellStyle name="Comma 3 17 2 3 2" xfId="14231"/>
    <cellStyle name="Comma 3 17 2 3 3" xfId="20383"/>
    <cellStyle name="Comma 3 17 2 4" xfId="11165"/>
    <cellStyle name="Comma 3 17 2 5" xfId="17317"/>
    <cellStyle name="Comma 3 17 3" xfId="5700"/>
    <cellStyle name="Comma 3 17 3 2" xfId="8803"/>
    <cellStyle name="Comma 3 17 3 2 2" xfId="14996"/>
    <cellStyle name="Comma 3 17 3 2 3" xfId="21148"/>
    <cellStyle name="Comma 3 17 3 3" xfId="11930"/>
    <cellStyle name="Comma 3 17 3 4" xfId="18082"/>
    <cellStyle name="Comma 3 17 4" xfId="7268"/>
    <cellStyle name="Comma 3 17 4 2" xfId="13462"/>
    <cellStyle name="Comma 3 17 4 3" xfId="19614"/>
    <cellStyle name="Comma 3 17 5" xfId="10396"/>
    <cellStyle name="Comma 3 17 6" xfId="16548"/>
    <cellStyle name="Comma 3 17 7" xfId="1689"/>
    <cellStyle name="Comma 3 18" xfId="532"/>
    <cellStyle name="Comma 3 18 2" xfId="4862"/>
    <cellStyle name="Comma 3 18 2 2" xfId="6487"/>
    <cellStyle name="Comma 3 18 2 2 2" xfId="9573"/>
    <cellStyle name="Comma 3 18 2 2 2 2" xfId="15766"/>
    <cellStyle name="Comma 3 18 2 2 2 3" xfId="21918"/>
    <cellStyle name="Comma 3 18 2 2 3" xfId="12700"/>
    <cellStyle name="Comma 3 18 2 2 4" xfId="18852"/>
    <cellStyle name="Comma 3 18 2 3" xfId="8038"/>
    <cellStyle name="Comma 3 18 2 3 2" xfId="14232"/>
    <cellStyle name="Comma 3 18 2 3 3" xfId="20384"/>
    <cellStyle name="Comma 3 18 2 4" xfId="11166"/>
    <cellStyle name="Comma 3 18 2 5" xfId="17318"/>
    <cellStyle name="Comma 3 18 3" xfId="5701"/>
    <cellStyle name="Comma 3 18 3 2" xfId="8804"/>
    <cellStyle name="Comma 3 18 3 2 2" xfId="14997"/>
    <cellStyle name="Comma 3 18 3 2 3" xfId="21149"/>
    <cellStyle name="Comma 3 18 3 3" xfId="11931"/>
    <cellStyle name="Comma 3 18 3 4" xfId="18083"/>
    <cellStyle name="Comma 3 18 4" xfId="7269"/>
    <cellStyle name="Comma 3 18 4 2" xfId="13463"/>
    <cellStyle name="Comma 3 18 4 3" xfId="19615"/>
    <cellStyle name="Comma 3 18 5" xfId="10397"/>
    <cellStyle name="Comma 3 18 6" xfId="16549"/>
    <cellStyle name="Comma 3 18 7" xfId="1690"/>
    <cellStyle name="Comma 3 19" xfId="559"/>
    <cellStyle name="Comma 3 19 2" xfId="4863"/>
    <cellStyle name="Comma 3 19 2 2" xfId="6488"/>
    <cellStyle name="Comma 3 19 2 2 2" xfId="9574"/>
    <cellStyle name="Comma 3 19 2 2 2 2" xfId="15767"/>
    <cellStyle name="Comma 3 19 2 2 2 3" xfId="21919"/>
    <cellStyle name="Comma 3 19 2 2 3" xfId="12701"/>
    <cellStyle name="Comma 3 19 2 2 4" xfId="18853"/>
    <cellStyle name="Comma 3 19 2 3" xfId="8039"/>
    <cellStyle name="Comma 3 19 2 3 2" xfId="14233"/>
    <cellStyle name="Comma 3 19 2 3 3" xfId="20385"/>
    <cellStyle name="Comma 3 19 2 4" xfId="11167"/>
    <cellStyle name="Comma 3 19 2 5" xfId="17319"/>
    <cellStyle name="Comma 3 19 3" xfId="5702"/>
    <cellStyle name="Comma 3 19 3 2" xfId="8805"/>
    <cellStyle name="Comma 3 19 3 2 2" xfId="14998"/>
    <cellStyle name="Comma 3 19 3 2 3" xfId="21150"/>
    <cellStyle name="Comma 3 19 3 3" xfId="11932"/>
    <cellStyle name="Comma 3 19 3 4" xfId="18084"/>
    <cellStyle name="Comma 3 19 4" xfId="7270"/>
    <cellStyle name="Comma 3 19 4 2" xfId="13464"/>
    <cellStyle name="Comma 3 19 4 3" xfId="19616"/>
    <cellStyle name="Comma 3 19 5" xfId="10398"/>
    <cellStyle name="Comma 3 19 6" xfId="16550"/>
    <cellStyle name="Comma 3 19 7" xfId="1691"/>
    <cellStyle name="Comma 3 2" xfId="55"/>
    <cellStyle name="Comma 3 2 2" xfId="250"/>
    <cellStyle name="Comma 3 2 2 2" xfId="4864"/>
    <cellStyle name="Comma 3 2 2 2 2" xfId="6489"/>
    <cellStyle name="Comma 3 2 2 2 2 2" xfId="9575"/>
    <cellStyle name="Comma 3 2 2 2 2 2 2" xfId="15768"/>
    <cellStyle name="Comma 3 2 2 2 2 2 3" xfId="21920"/>
    <cellStyle name="Comma 3 2 2 2 2 3" xfId="12702"/>
    <cellStyle name="Comma 3 2 2 2 2 4" xfId="18854"/>
    <cellStyle name="Comma 3 2 2 2 3" xfId="8040"/>
    <cellStyle name="Comma 3 2 2 2 3 2" xfId="14234"/>
    <cellStyle name="Comma 3 2 2 2 3 3" xfId="20386"/>
    <cellStyle name="Comma 3 2 2 2 4" xfId="11168"/>
    <cellStyle name="Comma 3 2 2 2 5" xfId="17320"/>
    <cellStyle name="Comma 3 2 2 3" xfId="5703"/>
    <cellStyle name="Comma 3 2 2 3 2" xfId="8806"/>
    <cellStyle name="Comma 3 2 2 3 2 2" xfId="14999"/>
    <cellStyle name="Comma 3 2 2 3 2 3" xfId="21151"/>
    <cellStyle name="Comma 3 2 2 3 3" xfId="11933"/>
    <cellStyle name="Comma 3 2 2 3 4" xfId="18085"/>
    <cellStyle name="Comma 3 2 2 4" xfId="7271"/>
    <cellStyle name="Comma 3 2 2 4 2" xfId="13465"/>
    <cellStyle name="Comma 3 2 2 4 3" xfId="19617"/>
    <cellStyle name="Comma 3 2 2 5" xfId="10399"/>
    <cellStyle name="Comma 3 2 2 6" xfId="16551"/>
    <cellStyle name="Comma 3 2 2 7" xfId="1693"/>
    <cellStyle name="Comma 3 2 3" xfId="1694"/>
    <cellStyle name="Comma 3 2 3 2" xfId="4865"/>
    <cellStyle name="Comma 3 2 3 2 2" xfId="6490"/>
    <cellStyle name="Comma 3 2 3 2 2 2" xfId="9576"/>
    <cellStyle name="Comma 3 2 3 2 2 2 2" xfId="15769"/>
    <cellStyle name="Comma 3 2 3 2 2 2 3" xfId="21921"/>
    <cellStyle name="Comma 3 2 3 2 2 3" xfId="12703"/>
    <cellStyle name="Comma 3 2 3 2 2 4" xfId="18855"/>
    <cellStyle name="Comma 3 2 3 2 3" xfId="8041"/>
    <cellStyle name="Comma 3 2 3 2 3 2" xfId="14235"/>
    <cellStyle name="Comma 3 2 3 2 3 3" xfId="20387"/>
    <cellStyle name="Comma 3 2 3 2 4" xfId="11169"/>
    <cellStyle name="Comma 3 2 3 2 5" xfId="17321"/>
    <cellStyle name="Comma 3 2 3 3" xfId="5704"/>
    <cellStyle name="Comma 3 2 3 3 2" xfId="8807"/>
    <cellStyle name="Comma 3 2 3 3 2 2" xfId="15000"/>
    <cellStyle name="Comma 3 2 3 3 2 3" xfId="21152"/>
    <cellStyle name="Comma 3 2 3 3 3" xfId="11934"/>
    <cellStyle name="Comma 3 2 3 3 4" xfId="18086"/>
    <cellStyle name="Comma 3 2 3 4" xfId="7272"/>
    <cellStyle name="Comma 3 2 3 4 2" xfId="13466"/>
    <cellStyle name="Comma 3 2 3 4 3" xfId="19618"/>
    <cellStyle name="Comma 3 2 3 5" xfId="10400"/>
    <cellStyle name="Comma 3 2 3 6" xfId="16552"/>
    <cellStyle name="Comma 3 2 4" xfId="1695"/>
    <cellStyle name="Comma 3 2 4 2" xfId="4866"/>
    <cellStyle name="Comma 3 2 4 2 2" xfId="6491"/>
    <cellStyle name="Comma 3 2 4 2 2 2" xfId="9577"/>
    <cellStyle name="Comma 3 2 4 2 2 2 2" xfId="15770"/>
    <cellStyle name="Comma 3 2 4 2 2 2 3" xfId="21922"/>
    <cellStyle name="Comma 3 2 4 2 2 3" xfId="12704"/>
    <cellStyle name="Comma 3 2 4 2 2 4" xfId="18856"/>
    <cellStyle name="Comma 3 2 4 2 3" xfId="8042"/>
    <cellStyle name="Comma 3 2 4 2 3 2" xfId="14236"/>
    <cellStyle name="Comma 3 2 4 2 3 3" xfId="20388"/>
    <cellStyle name="Comma 3 2 4 2 4" xfId="11170"/>
    <cellStyle name="Comma 3 2 4 2 5" xfId="17322"/>
    <cellStyle name="Comma 3 2 4 3" xfId="5705"/>
    <cellStyle name="Comma 3 2 4 3 2" xfId="8808"/>
    <cellStyle name="Comma 3 2 4 3 2 2" xfId="15001"/>
    <cellStyle name="Comma 3 2 4 3 2 3" xfId="21153"/>
    <cellStyle name="Comma 3 2 4 3 3" xfId="11935"/>
    <cellStyle name="Comma 3 2 4 3 4" xfId="18087"/>
    <cellStyle name="Comma 3 2 4 4" xfId="7273"/>
    <cellStyle name="Comma 3 2 4 4 2" xfId="13467"/>
    <cellStyle name="Comma 3 2 4 4 3" xfId="19619"/>
    <cellStyle name="Comma 3 2 4 5" xfId="10401"/>
    <cellStyle name="Comma 3 2 4 6" xfId="16553"/>
    <cellStyle name="Comma 3 2 5" xfId="1696"/>
    <cellStyle name="Comma 3 2 5 2" xfId="4867"/>
    <cellStyle name="Comma 3 2 5 2 2" xfId="6492"/>
    <cellStyle name="Comma 3 2 5 2 2 2" xfId="9578"/>
    <cellStyle name="Comma 3 2 5 2 2 2 2" xfId="15771"/>
    <cellStyle name="Comma 3 2 5 2 2 2 3" xfId="21923"/>
    <cellStyle name="Comma 3 2 5 2 2 3" xfId="12705"/>
    <cellStyle name="Comma 3 2 5 2 2 4" xfId="18857"/>
    <cellStyle name="Comma 3 2 5 2 3" xfId="8043"/>
    <cellStyle name="Comma 3 2 5 2 3 2" xfId="14237"/>
    <cellStyle name="Comma 3 2 5 2 3 3" xfId="20389"/>
    <cellStyle name="Comma 3 2 5 2 4" xfId="11171"/>
    <cellStyle name="Comma 3 2 5 2 5" xfId="17323"/>
    <cellStyle name="Comma 3 2 5 3" xfId="5706"/>
    <cellStyle name="Comma 3 2 5 3 2" xfId="8809"/>
    <cellStyle name="Comma 3 2 5 3 2 2" xfId="15002"/>
    <cellStyle name="Comma 3 2 5 3 2 3" xfId="21154"/>
    <cellStyle name="Comma 3 2 5 3 3" xfId="11936"/>
    <cellStyle name="Comma 3 2 5 3 4" xfId="18088"/>
    <cellStyle name="Comma 3 2 5 4" xfId="7274"/>
    <cellStyle name="Comma 3 2 5 4 2" xfId="13468"/>
    <cellStyle name="Comma 3 2 5 4 3" xfId="19620"/>
    <cellStyle name="Comma 3 2 5 5" xfId="10402"/>
    <cellStyle name="Comma 3 2 5 6" xfId="16554"/>
    <cellStyle name="Comma 3 2 6" xfId="1697"/>
    <cellStyle name="Comma 3 2 7" xfId="1698"/>
    <cellStyle name="Comma 3 2 7 2" xfId="1699"/>
    <cellStyle name="Comma 3 2 7 3" xfId="1700"/>
    <cellStyle name="Comma 3 2 7 4" xfId="1701"/>
    <cellStyle name="Comma 3 2 8" xfId="1692"/>
    <cellStyle name="Comma 3 20" xfId="586"/>
    <cellStyle name="Comma 3 20 2" xfId="4868"/>
    <cellStyle name="Comma 3 20 2 2" xfId="6493"/>
    <cellStyle name="Comma 3 20 2 2 2" xfId="9579"/>
    <cellStyle name="Comma 3 20 2 2 2 2" xfId="15772"/>
    <cellStyle name="Comma 3 20 2 2 2 3" xfId="21924"/>
    <cellStyle name="Comma 3 20 2 2 3" xfId="12706"/>
    <cellStyle name="Comma 3 20 2 2 4" xfId="18858"/>
    <cellStyle name="Comma 3 20 2 3" xfId="8044"/>
    <cellStyle name="Comma 3 20 2 3 2" xfId="14238"/>
    <cellStyle name="Comma 3 20 2 3 3" xfId="20390"/>
    <cellStyle name="Comma 3 20 2 4" xfId="11172"/>
    <cellStyle name="Comma 3 20 2 5" xfId="17324"/>
    <cellStyle name="Comma 3 20 3" xfId="5707"/>
    <cellStyle name="Comma 3 20 3 2" xfId="8810"/>
    <cellStyle name="Comma 3 20 3 2 2" xfId="15003"/>
    <cellStyle name="Comma 3 20 3 2 3" xfId="21155"/>
    <cellStyle name="Comma 3 20 3 3" xfId="11937"/>
    <cellStyle name="Comma 3 20 3 4" xfId="18089"/>
    <cellStyle name="Comma 3 20 4" xfId="7275"/>
    <cellStyle name="Comma 3 20 4 2" xfId="13469"/>
    <cellStyle name="Comma 3 20 4 3" xfId="19621"/>
    <cellStyle name="Comma 3 20 5" xfId="10403"/>
    <cellStyle name="Comma 3 20 6" xfId="16555"/>
    <cellStyle name="Comma 3 20 7" xfId="1702"/>
    <cellStyle name="Comma 3 21" xfId="608"/>
    <cellStyle name="Comma 3 21 2" xfId="4869"/>
    <cellStyle name="Comma 3 21 2 2" xfId="6494"/>
    <cellStyle name="Comma 3 21 2 2 2" xfId="9580"/>
    <cellStyle name="Comma 3 21 2 2 2 2" xfId="15773"/>
    <cellStyle name="Comma 3 21 2 2 2 3" xfId="21925"/>
    <cellStyle name="Comma 3 21 2 2 3" xfId="12707"/>
    <cellStyle name="Comma 3 21 2 2 4" xfId="18859"/>
    <cellStyle name="Comma 3 21 2 3" xfId="8045"/>
    <cellStyle name="Comma 3 21 2 3 2" xfId="14239"/>
    <cellStyle name="Comma 3 21 2 3 3" xfId="20391"/>
    <cellStyle name="Comma 3 21 2 4" xfId="11173"/>
    <cellStyle name="Comma 3 21 2 5" xfId="17325"/>
    <cellStyle name="Comma 3 21 3" xfId="5708"/>
    <cellStyle name="Comma 3 21 3 2" xfId="8811"/>
    <cellStyle name="Comma 3 21 3 2 2" xfId="15004"/>
    <cellStyle name="Comma 3 21 3 2 3" xfId="21156"/>
    <cellStyle name="Comma 3 21 3 3" xfId="11938"/>
    <cellStyle name="Comma 3 21 3 4" xfId="18090"/>
    <cellStyle name="Comma 3 21 4" xfId="7276"/>
    <cellStyle name="Comma 3 21 4 2" xfId="13470"/>
    <cellStyle name="Comma 3 21 4 3" xfId="19622"/>
    <cellStyle name="Comma 3 21 5" xfId="10404"/>
    <cellStyle name="Comma 3 21 6" xfId="16556"/>
    <cellStyle name="Comma 3 21 7" xfId="1703"/>
    <cellStyle name="Comma 3 22" xfId="639"/>
    <cellStyle name="Comma 3 22 2" xfId="1704"/>
    <cellStyle name="Comma 3 23" xfId="673"/>
    <cellStyle name="Comma 3 23 2" xfId="1705"/>
    <cellStyle name="Comma 3 24" xfId="697"/>
    <cellStyle name="Comma 3 25" xfId="729"/>
    <cellStyle name="Comma 3 26" xfId="755"/>
    <cellStyle name="Comma 3 27" xfId="781"/>
    <cellStyle name="Comma 3 28" xfId="805"/>
    <cellStyle name="Comma 3 29" xfId="850"/>
    <cellStyle name="Comma 3 3" xfId="213"/>
    <cellStyle name="Comma 3 3 10" xfId="16557"/>
    <cellStyle name="Comma 3 3 11" xfId="1706"/>
    <cellStyle name="Comma 3 3 2" xfId="275"/>
    <cellStyle name="Comma 3 3 2 2" xfId="4871"/>
    <cellStyle name="Comma 3 3 2 2 2" xfId="6496"/>
    <cellStyle name="Comma 3 3 2 2 2 2" xfId="9582"/>
    <cellStyle name="Comma 3 3 2 2 2 2 2" xfId="15775"/>
    <cellStyle name="Comma 3 3 2 2 2 2 3" xfId="21927"/>
    <cellStyle name="Comma 3 3 2 2 2 3" xfId="12709"/>
    <cellStyle name="Comma 3 3 2 2 2 4" xfId="18861"/>
    <cellStyle name="Comma 3 3 2 2 3" xfId="8047"/>
    <cellStyle name="Comma 3 3 2 2 3 2" xfId="14241"/>
    <cellStyle name="Comma 3 3 2 2 3 3" xfId="20393"/>
    <cellStyle name="Comma 3 3 2 2 4" xfId="11175"/>
    <cellStyle name="Comma 3 3 2 2 5" xfId="17327"/>
    <cellStyle name="Comma 3 3 2 3" xfId="5710"/>
    <cellStyle name="Comma 3 3 2 3 2" xfId="8813"/>
    <cellStyle name="Comma 3 3 2 3 2 2" xfId="15006"/>
    <cellStyle name="Comma 3 3 2 3 2 3" xfId="21158"/>
    <cellStyle name="Comma 3 3 2 3 3" xfId="11940"/>
    <cellStyle name="Comma 3 3 2 3 4" xfId="18092"/>
    <cellStyle name="Comma 3 3 2 4" xfId="7278"/>
    <cellStyle name="Comma 3 3 2 4 2" xfId="13472"/>
    <cellStyle name="Comma 3 3 2 4 3" xfId="19624"/>
    <cellStyle name="Comma 3 3 2 5" xfId="10406"/>
    <cellStyle name="Comma 3 3 2 6" xfId="16558"/>
    <cellStyle name="Comma 3 3 2 7" xfId="1707"/>
    <cellStyle name="Comma 3 3 3" xfId="1708"/>
    <cellStyle name="Comma 3 3 3 2" xfId="4872"/>
    <cellStyle name="Comma 3 3 3 2 2" xfId="6497"/>
    <cellStyle name="Comma 3 3 3 2 2 2" xfId="9583"/>
    <cellStyle name="Comma 3 3 3 2 2 2 2" xfId="15776"/>
    <cellStyle name="Comma 3 3 3 2 2 2 3" xfId="21928"/>
    <cellStyle name="Comma 3 3 3 2 2 3" xfId="12710"/>
    <cellStyle name="Comma 3 3 3 2 2 4" xfId="18862"/>
    <cellStyle name="Comma 3 3 3 2 3" xfId="8048"/>
    <cellStyle name="Comma 3 3 3 2 3 2" xfId="14242"/>
    <cellStyle name="Comma 3 3 3 2 3 3" xfId="20394"/>
    <cellStyle name="Comma 3 3 3 2 4" xfId="11176"/>
    <cellStyle name="Comma 3 3 3 2 5" xfId="17328"/>
    <cellStyle name="Comma 3 3 3 3" xfId="5711"/>
    <cellStyle name="Comma 3 3 3 3 2" xfId="8814"/>
    <cellStyle name="Comma 3 3 3 3 2 2" xfId="15007"/>
    <cellStyle name="Comma 3 3 3 3 2 3" xfId="21159"/>
    <cellStyle name="Comma 3 3 3 3 3" xfId="11941"/>
    <cellStyle name="Comma 3 3 3 3 4" xfId="18093"/>
    <cellStyle name="Comma 3 3 3 4" xfId="7279"/>
    <cellStyle name="Comma 3 3 3 4 2" xfId="13473"/>
    <cellStyle name="Comma 3 3 3 4 3" xfId="19625"/>
    <cellStyle name="Comma 3 3 3 5" xfId="10407"/>
    <cellStyle name="Comma 3 3 3 6" xfId="16559"/>
    <cellStyle name="Comma 3 3 4" xfId="1709"/>
    <cellStyle name="Comma 3 3 4 2" xfId="4873"/>
    <cellStyle name="Comma 3 3 4 2 2" xfId="6498"/>
    <cellStyle name="Comma 3 3 4 2 2 2" xfId="9584"/>
    <cellStyle name="Comma 3 3 4 2 2 2 2" xfId="15777"/>
    <cellStyle name="Comma 3 3 4 2 2 2 3" xfId="21929"/>
    <cellStyle name="Comma 3 3 4 2 2 3" xfId="12711"/>
    <cellStyle name="Comma 3 3 4 2 2 4" xfId="18863"/>
    <cellStyle name="Comma 3 3 4 2 3" xfId="8049"/>
    <cellStyle name="Comma 3 3 4 2 3 2" xfId="14243"/>
    <cellStyle name="Comma 3 3 4 2 3 3" xfId="20395"/>
    <cellStyle name="Comma 3 3 4 2 4" xfId="11177"/>
    <cellStyle name="Comma 3 3 4 2 5" xfId="17329"/>
    <cellStyle name="Comma 3 3 4 3" xfId="5712"/>
    <cellStyle name="Comma 3 3 4 3 2" xfId="8815"/>
    <cellStyle name="Comma 3 3 4 3 2 2" xfId="15008"/>
    <cellStyle name="Comma 3 3 4 3 2 3" xfId="21160"/>
    <cellStyle name="Comma 3 3 4 3 3" xfId="11942"/>
    <cellStyle name="Comma 3 3 4 3 4" xfId="18094"/>
    <cellStyle name="Comma 3 3 4 4" xfId="7280"/>
    <cellStyle name="Comma 3 3 4 4 2" xfId="13474"/>
    <cellStyle name="Comma 3 3 4 4 3" xfId="19626"/>
    <cellStyle name="Comma 3 3 4 5" xfId="10408"/>
    <cellStyle name="Comma 3 3 4 6" xfId="16560"/>
    <cellStyle name="Comma 3 3 5" xfId="1710"/>
    <cellStyle name="Comma 3 3 5 2" xfId="4874"/>
    <cellStyle name="Comma 3 3 5 2 2" xfId="6499"/>
    <cellStyle name="Comma 3 3 5 2 2 2" xfId="9585"/>
    <cellStyle name="Comma 3 3 5 2 2 2 2" xfId="15778"/>
    <cellStyle name="Comma 3 3 5 2 2 2 3" xfId="21930"/>
    <cellStyle name="Comma 3 3 5 2 2 3" xfId="12712"/>
    <cellStyle name="Comma 3 3 5 2 2 4" xfId="18864"/>
    <cellStyle name="Comma 3 3 5 2 3" xfId="8050"/>
    <cellStyle name="Comma 3 3 5 2 3 2" xfId="14244"/>
    <cellStyle name="Comma 3 3 5 2 3 3" xfId="20396"/>
    <cellStyle name="Comma 3 3 5 2 4" xfId="11178"/>
    <cellStyle name="Comma 3 3 5 2 5" xfId="17330"/>
    <cellStyle name="Comma 3 3 5 3" xfId="5713"/>
    <cellStyle name="Comma 3 3 5 3 2" xfId="8816"/>
    <cellStyle name="Comma 3 3 5 3 2 2" xfId="15009"/>
    <cellStyle name="Comma 3 3 5 3 2 3" xfId="21161"/>
    <cellStyle name="Comma 3 3 5 3 3" xfId="11943"/>
    <cellStyle name="Comma 3 3 5 3 4" xfId="18095"/>
    <cellStyle name="Comma 3 3 5 4" xfId="7281"/>
    <cellStyle name="Comma 3 3 5 4 2" xfId="13475"/>
    <cellStyle name="Comma 3 3 5 4 3" xfId="19627"/>
    <cellStyle name="Comma 3 3 5 5" xfId="10409"/>
    <cellStyle name="Comma 3 3 5 6" xfId="16561"/>
    <cellStyle name="Comma 3 3 6" xfId="4870"/>
    <cellStyle name="Comma 3 3 6 2" xfId="6495"/>
    <cellStyle name="Comma 3 3 6 2 2" xfId="9581"/>
    <cellStyle name="Comma 3 3 6 2 2 2" xfId="15774"/>
    <cellStyle name="Comma 3 3 6 2 2 3" xfId="21926"/>
    <cellStyle name="Comma 3 3 6 2 3" xfId="12708"/>
    <cellStyle name="Comma 3 3 6 2 4" xfId="18860"/>
    <cellStyle name="Comma 3 3 6 3" xfId="8046"/>
    <cellStyle name="Comma 3 3 6 3 2" xfId="14240"/>
    <cellStyle name="Comma 3 3 6 3 3" xfId="20392"/>
    <cellStyle name="Comma 3 3 6 4" xfId="11174"/>
    <cellStyle name="Comma 3 3 6 5" xfId="17326"/>
    <cellStyle name="Comma 3 3 7" xfId="5709"/>
    <cellStyle name="Comma 3 3 7 2" xfId="8812"/>
    <cellStyle name="Comma 3 3 7 2 2" xfId="15005"/>
    <cellStyle name="Comma 3 3 7 2 3" xfId="21157"/>
    <cellStyle name="Comma 3 3 7 3" xfId="11939"/>
    <cellStyle name="Comma 3 3 7 4" xfId="18091"/>
    <cellStyle name="Comma 3 3 8" xfId="7277"/>
    <cellStyle name="Comma 3 3 8 2" xfId="13471"/>
    <cellStyle name="Comma 3 3 8 3" xfId="19623"/>
    <cellStyle name="Comma 3 3 9" xfId="10405"/>
    <cellStyle name="Comma 3 30" xfId="853"/>
    <cellStyle name="Comma 3 31" xfId="22816"/>
    <cellStyle name="Comma 3 32" xfId="195"/>
    <cellStyle name="Comma 3 33" xfId="23140"/>
    <cellStyle name="Comma 3 4" xfId="282"/>
    <cellStyle name="Comma 3 4 2" xfId="1712"/>
    <cellStyle name="Comma 3 4 2 2" xfId="4876"/>
    <cellStyle name="Comma 3 4 2 2 2" xfId="6501"/>
    <cellStyle name="Comma 3 4 2 2 2 2" xfId="9587"/>
    <cellStyle name="Comma 3 4 2 2 2 2 2" xfId="15780"/>
    <cellStyle name="Comma 3 4 2 2 2 2 3" xfId="21932"/>
    <cellStyle name="Comma 3 4 2 2 2 3" xfId="12714"/>
    <cellStyle name="Comma 3 4 2 2 2 4" xfId="18866"/>
    <cellStyle name="Comma 3 4 2 2 3" xfId="8052"/>
    <cellStyle name="Comma 3 4 2 2 3 2" xfId="14246"/>
    <cellStyle name="Comma 3 4 2 2 3 3" xfId="20398"/>
    <cellStyle name="Comma 3 4 2 2 4" xfId="11180"/>
    <cellStyle name="Comma 3 4 2 2 5" xfId="17332"/>
    <cellStyle name="Comma 3 4 2 3" xfId="5715"/>
    <cellStyle name="Comma 3 4 2 3 2" xfId="8818"/>
    <cellStyle name="Comma 3 4 2 3 2 2" xfId="15011"/>
    <cellStyle name="Comma 3 4 2 3 2 3" xfId="21163"/>
    <cellStyle name="Comma 3 4 2 3 3" xfId="11945"/>
    <cellStyle name="Comma 3 4 2 3 4" xfId="18097"/>
    <cellStyle name="Comma 3 4 2 4" xfId="7283"/>
    <cellStyle name="Comma 3 4 2 4 2" xfId="13477"/>
    <cellStyle name="Comma 3 4 2 4 3" xfId="19629"/>
    <cellStyle name="Comma 3 4 2 5" xfId="10411"/>
    <cellStyle name="Comma 3 4 2 6" xfId="16563"/>
    <cellStyle name="Comma 3 4 3" xfId="4875"/>
    <cellStyle name="Comma 3 4 3 2" xfId="6500"/>
    <cellStyle name="Comma 3 4 3 2 2" xfId="9586"/>
    <cellStyle name="Comma 3 4 3 2 2 2" xfId="15779"/>
    <cellStyle name="Comma 3 4 3 2 2 3" xfId="21931"/>
    <cellStyle name="Comma 3 4 3 2 3" xfId="12713"/>
    <cellStyle name="Comma 3 4 3 2 4" xfId="18865"/>
    <cellStyle name="Comma 3 4 3 3" xfId="8051"/>
    <cellStyle name="Comma 3 4 3 3 2" xfId="14245"/>
    <cellStyle name="Comma 3 4 3 3 3" xfId="20397"/>
    <cellStyle name="Comma 3 4 3 4" xfId="11179"/>
    <cellStyle name="Comma 3 4 3 5" xfId="17331"/>
    <cellStyle name="Comma 3 4 4" xfId="5714"/>
    <cellStyle name="Comma 3 4 4 2" xfId="8817"/>
    <cellStyle name="Comma 3 4 4 2 2" xfId="15010"/>
    <cellStyle name="Comma 3 4 4 2 3" xfId="21162"/>
    <cellStyle name="Comma 3 4 4 3" xfId="11944"/>
    <cellStyle name="Comma 3 4 4 4" xfId="18096"/>
    <cellStyle name="Comma 3 4 5" xfId="7282"/>
    <cellStyle name="Comma 3 4 5 2" xfId="13476"/>
    <cellStyle name="Comma 3 4 5 3" xfId="19628"/>
    <cellStyle name="Comma 3 4 6" xfId="10410"/>
    <cellStyle name="Comma 3 4 7" xfId="16562"/>
    <cellStyle name="Comma 3 4 8" xfId="1711"/>
    <cellStyle name="Comma 3 5" xfId="295"/>
    <cellStyle name="Comma 3 5 2" xfId="1714"/>
    <cellStyle name="Comma 3 5 2 2" xfId="4878"/>
    <cellStyle name="Comma 3 5 2 2 2" xfId="6503"/>
    <cellStyle name="Comma 3 5 2 2 2 2" xfId="9589"/>
    <cellStyle name="Comma 3 5 2 2 2 2 2" xfId="15782"/>
    <cellStyle name="Comma 3 5 2 2 2 2 3" xfId="21934"/>
    <cellStyle name="Comma 3 5 2 2 2 3" xfId="12716"/>
    <cellStyle name="Comma 3 5 2 2 2 4" xfId="18868"/>
    <cellStyle name="Comma 3 5 2 2 3" xfId="8054"/>
    <cellStyle name="Comma 3 5 2 2 3 2" xfId="14248"/>
    <cellStyle name="Comma 3 5 2 2 3 3" xfId="20400"/>
    <cellStyle name="Comma 3 5 2 2 4" xfId="11182"/>
    <cellStyle name="Comma 3 5 2 2 5" xfId="17334"/>
    <cellStyle name="Comma 3 5 2 3" xfId="5717"/>
    <cellStyle name="Comma 3 5 2 3 2" xfId="8820"/>
    <cellStyle name="Comma 3 5 2 3 2 2" xfId="15013"/>
    <cellStyle name="Comma 3 5 2 3 2 3" xfId="21165"/>
    <cellStyle name="Comma 3 5 2 3 3" xfId="11947"/>
    <cellStyle name="Comma 3 5 2 3 4" xfId="18099"/>
    <cellStyle name="Comma 3 5 2 4" xfId="7285"/>
    <cellStyle name="Comma 3 5 2 4 2" xfId="13479"/>
    <cellStyle name="Comma 3 5 2 4 3" xfId="19631"/>
    <cellStyle name="Comma 3 5 2 5" xfId="10413"/>
    <cellStyle name="Comma 3 5 2 6" xfId="16565"/>
    <cellStyle name="Comma 3 5 3" xfId="4877"/>
    <cellStyle name="Comma 3 5 3 2" xfId="6502"/>
    <cellStyle name="Comma 3 5 3 2 2" xfId="9588"/>
    <cellStyle name="Comma 3 5 3 2 2 2" xfId="15781"/>
    <cellStyle name="Comma 3 5 3 2 2 3" xfId="21933"/>
    <cellStyle name="Comma 3 5 3 2 3" xfId="12715"/>
    <cellStyle name="Comma 3 5 3 2 4" xfId="18867"/>
    <cellStyle name="Comma 3 5 3 3" xfId="8053"/>
    <cellStyle name="Comma 3 5 3 3 2" xfId="14247"/>
    <cellStyle name="Comma 3 5 3 3 3" xfId="20399"/>
    <cellStyle name="Comma 3 5 3 4" xfId="11181"/>
    <cellStyle name="Comma 3 5 3 5" xfId="17333"/>
    <cellStyle name="Comma 3 5 4" xfId="5716"/>
    <cellStyle name="Comma 3 5 4 2" xfId="8819"/>
    <cellStyle name="Comma 3 5 4 2 2" xfId="15012"/>
    <cellStyle name="Comma 3 5 4 2 3" xfId="21164"/>
    <cellStyle name="Comma 3 5 4 3" xfId="11946"/>
    <cellStyle name="Comma 3 5 4 4" xfId="18098"/>
    <cellStyle name="Comma 3 5 5" xfId="7284"/>
    <cellStyle name="Comma 3 5 5 2" xfId="13478"/>
    <cellStyle name="Comma 3 5 5 3" xfId="19630"/>
    <cellStyle name="Comma 3 5 6" xfId="10412"/>
    <cellStyle name="Comma 3 5 7" xfId="16564"/>
    <cellStyle name="Comma 3 5 8" xfId="1713"/>
    <cellStyle name="Comma 3 6" xfId="303"/>
    <cellStyle name="Comma 3 6 2" xfId="1716"/>
    <cellStyle name="Comma 3 6 2 2" xfId="4880"/>
    <cellStyle name="Comma 3 6 2 2 2" xfId="6505"/>
    <cellStyle name="Comma 3 6 2 2 2 2" xfId="9591"/>
    <cellStyle name="Comma 3 6 2 2 2 2 2" xfId="15784"/>
    <cellStyle name="Comma 3 6 2 2 2 2 3" xfId="21936"/>
    <cellStyle name="Comma 3 6 2 2 2 3" xfId="12718"/>
    <cellStyle name="Comma 3 6 2 2 2 4" xfId="18870"/>
    <cellStyle name="Comma 3 6 2 2 3" xfId="8056"/>
    <cellStyle name="Comma 3 6 2 2 3 2" xfId="14250"/>
    <cellStyle name="Comma 3 6 2 2 3 3" xfId="20402"/>
    <cellStyle name="Comma 3 6 2 2 4" xfId="11184"/>
    <cellStyle name="Comma 3 6 2 2 5" xfId="17336"/>
    <cellStyle name="Comma 3 6 2 3" xfId="5719"/>
    <cellStyle name="Comma 3 6 2 3 2" xfId="8822"/>
    <cellStyle name="Comma 3 6 2 3 2 2" xfId="15015"/>
    <cellStyle name="Comma 3 6 2 3 2 3" xfId="21167"/>
    <cellStyle name="Comma 3 6 2 3 3" xfId="11949"/>
    <cellStyle name="Comma 3 6 2 3 4" xfId="18101"/>
    <cellStyle name="Comma 3 6 2 4" xfId="7287"/>
    <cellStyle name="Comma 3 6 2 4 2" xfId="13481"/>
    <cellStyle name="Comma 3 6 2 4 3" xfId="19633"/>
    <cellStyle name="Comma 3 6 2 5" xfId="10415"/>
    <cellStyle name="Comma 3 6 2 6" xfId="16567"/>
    <cellStyle name="Comma 3 6 3" xfId="4879"/>
    <cellStyle name="Comma 3 6 3 2" xfId="6504"/>
    <cellStyle name="Comma 3 6 3 2 2" xfId="9590"/>
    <cellStyle name="Comma 3 6 3 2 2 2" xfId="15783"/>
    <cellStyle name="Comma 3 6 3 2 2 3" xfId="21935"/>
    <cellStyle name="Comma 3 6 3 2 3" xfId="12717"/>
    <cellStyle name="Comma 3 6 3 2 4" xfId="18869"/>
    <cellStyle name="Comma 3 6 3 3" xfId="8055"/>
    <cellStyle name="Comma 3 6 3 3 2" xfId="14249"/>
    <cellStyle name="Comma 3 6 3 3 3" xfId="20401"/>
    <cellStyle name="Comma 3 6 3 4" xfId="11183"/>
    <cellStyle name="Comma 3 6 3 5" xfId="17335"/>
    <cellStyle name="Comma 3 6 4" xfId="5718"/>
    <cellStyle name="Comma 3 6 4 2" xfId="8821"/>
    <cellStyle name="Comma 3 6 4 2 2" xfId="15014"/>
    <cellStyle name="Comma 3 6 4 2 3" xfId="21166"/>
    <cellStyle name="Comma 3 6 4 3" xfId="11948"/>
    <cellStyle name="Comma 3 6 4 4" xfId="18100"/>
    <cellStyle name="Comma 3 6 5" xfId="7286"/>
    <cellStyle name="Comma 3 6 5 2" xfId="13480"/>
    <cellStyle name="Comma 3 6 5 3" xfId="19632"/>
    <cellStyle name="Comma 3 6 6" xfId="10414"/>
    <cellStyle name="Comma 3 6 7" xfId="16566"/>
    <cellStyle name="Comma 3 6 8" xfId="1715"/>
    <cellStyle name="Comma 3 7" xfId="338"/>
    <cellStyle name="Comma 3 7 2" xfId="4881"/>
    <cellStyle name="Comma 3 7 2 2" xfId="6506"/>
    <cellStyle name="Comma 3 7 2 2 2" xfId="9592"/>
    <cellStyle name="Comma 3 7 2 2 2 2" xfId="15785"/>
    <cellStyle name="Comma 3 7 2 2 2 3" xfId="21937"/>
    <cellStyle name="Comma 3 7 2 2 3" xfId="12719"/>
    <cellStyle name="Comma 3 7 2 2 4" xfId="18871"/>
    <cellStyle name="Comma 3 7 2 3" xfId="8057"/>
    <cellStyle name="Comma 3 7 2 3 2" xfId="14251"/>
    <cellStyle name="Comma 3 7 2 3 3" xfId="20403"/>
    <cellStyle name="Comma 3 7 2 4" xfId="11185"/>
    <cellStyle name="Comma 3 7 2 5" xfId="17337"/>
    <cellStyle name="Comma 3 7 3" xfId="5720"/>
    <cellStyle name="Comma 3 7 3 2" xfId="8823"/>
    <cellStyle name="Comma 3 7 3 2 2" xfId="15016"/>
    <cellStyle name="Comma 3 7 3 2 3" xfId="21168"/>
    <cellStyle name="Comma 3 7 3 3" xfId="11950"/>
    <cellStyle name="Comma 3 7 3 4" xfId="18102"/>
    <cellStyle name="Comma 3 7 4" xfId="7288"/>
    <cellStyle name="Comma 3 7 4 2" xfId="13482"/>
    <cellStyle name="Comma 3 7 4 3" xfId="19634"/>
    <cellStyle name="Comma 3 7 5" xfId="10416"/>
    <cellStyle name="Comma 3 7 6" xfId="16568"/>
    <cellStyle name="Comma 3 7 7" xfId="1717"/>
    <cellStyle name="Comma 3 8" xfId="357"/>
    <cellStyle name="Comma 3 8 2" xfId="4882"/>
    <cellStyle name="Comma 3 8 2 2" xfId="6507"/>
    <cellStyle name="Comma 3 8 2 2 2" xfId="9593"/>
    <cellStyle name="Comma 3 8 2 2 2 2" xfId="15786"/>
    <cellStyle name="Comma 3 8 2 2 2 3" xfId="21938"/>
    <cellStyle name="Comma 3 8 2 2 3" xfId="12720"/>
    <cellStyle name="Comma 3 8 2 2 4" xfId="18872"/>
    <cellStyle name="Comma 3 8 2 3" xfId="8058"/>
    <cellStyle name="Comma 3 8 2 3 2" xfId="14252"/>
    <cellStyle name="Comma 3 8 2 3 3" xfId="20404"/>
    <cellStyle name="Comma 3 8 2 4" xfId="11186"/>
    <cellStyle name="Comma 3 8 2 5" xfId="17338"/>
    <cellStyle name="Comma 3 8 3" xfId="5721"/>
    <cellStyle name="Comma 3 8 3 2" xfId="8824"/>
    <cellStyle name="Comma 3 8 3 2 2" xfId="15017"/>
    <cellStyle name="Comma 3 8 3 2 3" xfId="21169"/>
    <cellStyle name="Comma 3 8 3 3" xfId="11951"/>
    <cellStyle name="Comma 3 8 3 4" xfId="18103"/>
    <cellStyle name="Comma 3 8 4" xfId="7289"/>
    <cellStyle name="Comma 3 8 4 2" xfId="13483"/>
    <cellStyle name="Comma 3 8 4 3" xfId="19635"/>
    <cellStyle name="Comma 3 8 5" xfId="10417"/>
    <cellStyle name="Comma 3 8 6" xfId="16569"/>
    <cellStyle name="Comma 3 8 7" xfId="1718"/>
    <cellStyle name="Comma 3 9" xfId="372"/>
    <cellStyle name="Comma 3 9 2" xfId="4883"/>
    <cellStyle name="Comma 3 9 2 2" xfId="6508"/>
    <cellStyle name="Comma 3 9 2 2 2" xfId="9594"/>
    <cellStyle name="Comma 3 9 2 2 2 2" xfId="15787"/>
    <cellStyle name="Comma 3 9 2 2 2 3" xfId="21939"/>
    <cellStyle name="Comma 3 9 2 2 3" xfId="12721"/>
    <cellStyle name="Comma 3 9 2 2 4" xfId="18873"/>
    <cellStyle name="Comma 3 9 2 3" xfId="8059"/>
    <cellStyle name="Comma 3 9 2 3 2" xfId="14253"/>
    <cellStyle name="Comma 3 9 2 3 3" xfId="20405"/>
    <cellStyle name="Comma 3 9 2 4" xfId="11187"/>
    <cellStyle name="Comma 3 9 2 5" xfId="17339"/>
    <cellStyle name="Comma 3 9 3" xfId="5722"/>
    <cellStyle name="Comma 3 9 3 2" xfId="8825"/>
    <cellStyle name="Comma 3 9 3 2 2" xfId="15018"/>
    <cellStyle name="Comma 3 9 3 2 3" xfId="21170"/>
    <cellStyle name="Comma 3 9 3 3" xfId="11952"/>
    <cellStyle name="Comma 3 9 3 4" xfId="18104"/>
    <cellStyle name="Comma 3 9 4" xfId="7290"/>
    <cellStyle name="Comma 3 9 4 2" xfId="13484"/>
    <cellStyle name="Comma 3 9 4 3" xfId="19636"/>
    <cellStyle name="Comma 3 9 5" xfId="10418"/>
    <cellStyle name="Comma 3 9 6" xfId="16570"/>
    <cellStyle name="Comma 3 9 7" xfId="1719"/>
    <cellStyle name="Comma 30" xfId="1720"/>
    <cellStyle name="Comma 31" xfId="1721"/>
    <cellStyle name="Comma 32" xfId="1722"/>
    <cellStyle name="Comma 33" xfId="1723"/>
    <cellStyle name="Comma 34" xfId="1724"/>
    <cellStyle name="Comma 35" xfId="1725"/>
    <cellStyle name="Comma 36" xfId="1726"/>
    <cellStyle name="Comma 37" xfId="1727"/>
    <cellStyle name="Comma 38" xfId="1728"/>
    <cellStyle name="Comma 39" xfId="1729"/>
    <cellStyle name="Comma 4" xfId="6"/>
    <cellStyle name="Comma 4 10" xfId="374"/>
    <cellStyle name="Comma 4 11" xfId="390"/>
    <cellStyle name="Comma 4 12" xfId="404"/>
    <cellStyle name="Comma 4 13" xfId="416"/>
    <cellStyle name="Comma 4 14" xfId="435"/>
    <cellStyle name="Comma 4 15" xfId="462"/>
    <cellStyle name="Comma 4 16" xfId="466"/>
    <cellStyle name="Comma 4 17" xfId="509"/>
    <cellStyle name="Comma 4 18" xfId="524"/>
    <cellStyle name="Comma 4 19" xfId="551"/>
    <cellStyle name="Comma 4 2" xfId="7"/>
    <cellStyle name="Comma 4 2 2" xfId="86"/>
    <cellStyle name="Comma 4 2 2 2" xfId="1732"/>
    <cellStyle name="Comma 4 2 2 3" xfId="1733"/>
    <cellStyle name="Comma 4 2 2 4" xfId="1731"/>
    <cellStyle name="Comma 4 2 3" xfId="10245"/>
    <cellStyle name="Comma 4 2 3 2" xfId="16417"/>
    <cellStyle name="Comma 4 2 3 3" xfId="22569"/>
    <cellStyle name="Comma 4 2 4" xfId="1730"/>
    <cellStyle name="Comma 4 2 5" xfId="253"/>
    <cellStyle name="Comma 4 2 6" xfId="23142"/>
    <cellStyle name="Comma 4 20" xfId="579"/>
    <cellStyle name="Comma 4 21" xfId="575"/>
    <cellStyle name="Comma 4 22" xfId="661"/>
    <cellStyle name="Comma 4 23" xfId="668"/>
    <cellStyle name="Comma 4 24" xfId="689"/>
    <cellStyle name="Comma 4 25" xfId="721"/>
    <cellStyle name="Comma 4 26" xfId="748"/>
    <cellStyle name="Comma 4 27" xfId="774"/>
    <cellStyle name="Comma 4 28" xfId="798"/>
    <cellStyle name="Comma 4 29" xfId="872"/>
    <cellStyle name="Comma 4 3" xfId="85"/>
    <cellStyle name="Comma 4 3 2" xfId="274"/>
    <cellStyle name="Comma 4 3 3" xfId="23143"/>
    <cellStyle name="Comma 4 30" xfId="1167"/>
    <cellStyle name="Comma 4 31" xfId="22835"/>
    <cellStyle name="Comma 4 32" xfId="217"/>
    <cellStyle name="Comma 4 33" xfId="23141"/>
    <cellStyle name="Comma 4 4" xfId="292"/>
    <cellStyle name="Comma 4 4 2" xfId="1734"/>
    <cellStyle name="Comma 4 5" xfId="294"/>
    <cellStyle name="Comma 4 5 2" xfId="4645"/>
    <cellStyle name="Comma 4 6" xfId="326"/>
    <cellStyle name="Comma 4 7" xfId="323"/>
    <cellStyle name="Comma 4 7 2" xfId="16408"/>
    <cellStyle name="Comma 4 7 3" xfId="22560"/>
    <cellStyle name="Comma 4 7 4" xfId="10225"/>
    <cellStyle name="Comma 4 8" xfId="340"/>
    <cellStyle name="Comma 4 8 2" xfId="1216"/>
    <cellStyle name="Comma 4 9" xfId="359"/>
    <cellStyle name="Comma 40" xfId="1735"/>
    <cellStyle name="Comma 41" xfId="1736"/>
    <cellStyle name="Comma 42" xfId="1737"/>
    <cellStyle name="Comma 43" xfId="1738"/>
    <cellStyle name="Comma 43 10" xfId="1739"/>
    <cellStyle name="Comma 43 10 2" xfId="1740"/>
    <cellStyle name="Comma 43 11" xfId="1741"/>
    <cellStyle name="Comma 43 11 2" xfId="1742"/>
    <cellStyle name="Comma 43 12" xfId="1743"/>
    <cellStyle name="Comma 43 2" xfId="1744"/>
    <cellStyle name="Comma 43 2 2" xfId="1745"/>
    <cellStyle name="Comma 43 2 2 2" xfId="1746"/>
    <cellStyle name="Comma 43 2 2 2 2" xfId="1747"/>
    <cellStyle name="Comma 43 2 2 3" xfId="1748"/>
    <cellStyle name="Comma 43 2 3" xfId="1749"/>
    <cellStyle name="Comma 43 2 3 2" xfId="1750"/>
    <cellStyle name="Comma 43 2 4" xfId="1751"/>
    <cellStyle name="Comma 43 2 4 2" xfId="1752"/>
    <cellStyle name="Comma 43 2 5" xfId="1753"/>
    <cellStyle name="Comma 43 3" xfId="1754"/>
    <cellStyle name="Comma 43 3 2" xfId="1755"/>
    <cellStyle name="Comma 43 3 2 2" xfId="1756"/>
    <cellStyle name="Comma 43 3 2 2 2" xfId="1757"/>
    <cellStyle name="Comma 43 3 2 3" xfId="1758"/>
    <cellStyle name="Comma 43 3 3" xfId="1759"/>
    <cellStyle name="Comma 43 3 3 2" xfId="1760"/>
    <cellStyle name="Comma 43 3 4" xfId="1761"/>
    <cellStyle name="Comma 43 3 4 2" xfId="1762"/>
    <cellStyle name="Comma 43 3 5" xfId="1763"/>
    <cellStyle name="Comma 43 4" xfId="1764"/>
    <cellStyle name="Comma 43 4 2" xfId="1765"/>
    <cellStyle name="Comma 43 4 2 2" xfId="1766"/>
    <cellStyle name="Comma 43 4 2 2 2" xfId="1767"/>
    <cellStyle name="Comma 43 4 2 3" xfId="1768"/>
    <cellStyle name="Comma 43 4 3" xfId="1769"/>
    <cellStyle name="Comma 43 4 3 2" xfId="1770"/>
    <cellStyle name="Comma 43 4 4" xfId="1771"/>
    <cellStyle name="Comma 43 4 4 2" xfId="1772"/>
    <cellStyle name="Comma 43 4 5" xfId="1773"/>
    <cellStyle name="Comma 43 5" xfId="1774"/>
    <cellStyle name="Comma 43 5 2" xfId="1775"/>
    <cellStyle name="Comma 43 5 2 2" xfId="1776"/>
    <cellStyle name="Comma 43 5 2 2 2" xfId="1777"/>
    <cellStyle name="Comma 43 5 2 3" xfId="1778"/>
    <cellStyle name="Comma 43 5 3" xfId="1779"/>
    <cellStyle name="Comma 43 5 3 2" xfId="1780"/>
    <cellStyle name="Comma 43 5 4" xfId="1781"/>
    <cellStyle name="Comma 43 5 4 2" xfId="1782"/>
    <cellStyle name="Comma 43 5 5" xfId="1783"/>
    <cellStyle name="Comma 43 6" xfId="1784"/>
    <cellStyle name="Comma 43 6 2" xfId="1785"/>
    <cellStyle name="Comma 43 6 2 2" xfId="1786"/>
    <cellStyle name="Comma 43 6 2 2 2" xfId="1787"/>
    <cellStyle name="Comma 43 6 2 3" xfId="1788"/>
    <cellStyle name="Comma 43 6 3" xfId="1789"/>
    <cellStyle name="Comma 43 6 3 2" xfId="1790"/>
    <cellStyle name="Comma 43 6 4" xfId="1791"/>
    <cellStyle name="Comma 43 6 4 2" xfId="1792"/>
    <cellStyle name="Comma 43 6 5" xfId="1793"/>
    <cellStyle name="Comma 43 7" xfId="1794"/>
    <cellStyle name="Comma 43 7 2" xfId="1795"/>
    <cellStyle name="Comma 43 7 2 2" xfId="1796"/>
    <cellStyle name="Comma 43 7 2 2 2" xfId="1797"/>
    <cellStyle name="Comma 43 7 2 3" xfId="1798"/>
    <cellStyle name="Comma 43 7 3" xfId="1799"/>
    <cellStyle name="Comma 43 7 3 2" xfId="1800"/>
    <cellStyle name="Comma 43 7 4" xfId="1801"/>
    <cellStyle name="Comma 43 8" xfId="1802"/>
    <cellStyle name="Comma 43 8 2" xfId="1803"/>
    <cellStyle name="Comma 43 8 2 2" xfId="1804"/>
    <cellStyle name="Comma 43 8 2 2 2" xfId="1805"/>
    <cellStyle name="Comma 43 8 2 3" xfId="1806"/>
    <cellStyle name="Comma 43 8 3" xfId="1807"/>
    <cellStyle name="Comma 43 8 3 2" xfId="1808"/>
    <cellStyle name="Comma 43 8 4" xfId="1809"/>
    <cellStyle name="Comma 43 9" xfId="1810"/>
    <cellStyle name="Comma 43 9 2" xfId="1811"/>
    <cellStyle name="Comma 43 9 2 2" xfId="1812"/>
    <cellStyle name="Comma 43 9 3" xfId="1813"/>
    <cellStyle name="Comma 44" xfId="1814"/>
    <cellStyle name="Comma 44 10" xfId="1815"/>
    <cellStyle name="Comma 44 10 2" xfId="1816"/>
    <cellStyle name="Comma 44 11" xfId="1817"/>
    <cellStyle name="Comma 44 11 2" xfId="1818"/>
    <cellStyle name="Comma 44 12" xfId="1819"/>
    <cellStyle name="Comma 44 2" xfId="1820"/>
    <cellStyle name="Comma 44 2 2" xfId="1821"/>
    <cellStyle name="Comma 44 2 2 2" xfId="1822"/>
    <cellStyle name="Comma 44 2 2 2 2" xfId="1823"/>
    <cellStyle name="Comma 44 2 2 3" xfId="1824"/>
    <cellStyle name="Comma 44 2 3" xfId="1825"/>
    <cellStyle name="Comma 44 2 3 2" xfId="1826"/>
    <cellStyle name="Comma 44 2 4" xfId="1827"/>
    <cellStyle name="Comma 44 2 4 2" xfId="1828"/>
    <cellStyle name="Comma 44 2 5" xfId="1829"/>
    <cellStyle name="Comma 44 3" xfId="1830"/>
    <cellStyle name="Comma 44 3 2" xfId="1831"/>
    <cellStyle name="Comma 44 3 2 2" xfId="1832"/>
    <cellStyle name="Comma 44 3 2 2 2" xfId="1833"/>
    <cellStyle name="Comma 44 3 2 3" xfId="1834"/>
    <cellStyle name="Comma 44 3 3" xfId="1835"/>
    <cellStyle name="Comma 44 3 3 2" xfId="1836"/>
    <cellStyle name="Comma 44 3 4" xfId="1837"/>
    <cellStyle name="Comma 44 3 4 2" xfId="1838"/>
    <cellStyle name="Comma 44 3 5" xfId="1839"/>
    <cellStyle name="Comma 44 4" xfId="1840"/>
    <cellStyle name="Comma 44 4 2" xfId="1841"/>
    <cellStyle name="Comma 44 4 2 2" xfId="1842"/>
    <cellStyle name="Comma 44 4 2 2 2" xfId="1843"/>
    <cellStyle name="Comma 44 4 2 3" xfId="1844"/>
    <cellStyle name="Comma 44 4 3" xfId="1845"/>
    <cellStyle name="Comma 44 4 3 2" xfId="1846"/>
    <cellStyle name="Comma 44 4 4" xfId="1847"/>
    <cellStyle name="Comma 44 4 4 2" xfId="1848"/>
    <cellStyle name="Comma 44 4 5" xfId="1849"/>
    <cellStyle name="Comma 44 5" xfId="1850"/>
    <cellStyle name="Comma 44 5 2" xfId="1851"/>
    <cellStyle name="Comma 44 5 2 2" xfId="1852"/>
    <cellStyle name="Comma 44 5 2 2 2" xfId="1853"/>
    <cellStyle name="Comma 44 5 2 3" xfId="1854"/>
    <cellStyle name="Comma 44 5 3" xfId="1855"/>
    <cellStyle name="Comma 44 5 3 2" xfId="1856"/>
    <cellStyle name="Comma 44 5 4" xfId="1857"/>
    <cellStyle name="Comma 44 5 4 2" xfId="1858"/>
    <cellStyle name="Comma 44 5 5" xfId="1859"/>
    <cellStyle name="Comma 44 6" xfId="1860"/>
    <cellStyle name="Comma 44 6 2" xfId="1861"/>
    <cellStyle name="Comma 44 6 2 2" xfId="1862"/>
    <cellStyle name="Comma 44 6 2 2 2" xfId="1863"/>
    <cellStyle name="Comma 44 6 2 3" xfId="1864"/>
    <cellStyle name="Comma 44 6 3" xfId="1865"/>
    <cellStyle name="Comma 44 6 3 2" xfId="1866"/>
    <cellStyle name="Comma 44 6 4" xfId="1867"/>
    <cellStyle name="Comma 44 6 4 2" xfId="1868"/>
    <cellStyle name="Comma 44 6 5" xfId="1869"/>
    <cellStyle name="Comma 44 7" xfId="1870"/>
    <cellStyle name="Comma 44 7 2" xfId="1871"/>
    <cellStyle name="Comma 44 7 2 2" xfId="1872"/>
    <cellStyle name="Comma 44 7 2 2 2" xfId="1873"/>
    <cellStyle name="Comma 44 7 2 3" xfId="1874"/>
    <cellStyle name="Comma 44 7 3" xfId="1875"/>
    <cellStyle name="Comma 44 7 3 2" xfId="1876"/>
    <cellStyle name="Comma 44 7 4" xfId="1877"/>
    <cellStyle name="Comma 44 8" xfId="1878"/>
    <cellStyle name="Comma 44 8 2" xfId="1879"/>
    <cellStyle name="Comma 44 8 2 2" xfId="1880"/>
    <cellStyle name="Comma 44 8 2 2 2" xfId="1881"/>
    <cellStyle name="Comma 44 8 2 3" xfId="1882"/>
    <cellStyle name="Comma 44 8 3" xfId="1883"/>
    <cellStyle name="Comma 44 8 3 2" xfId="1884"/>
    <cellStyle name="Comma 44 8 4" xfId="1885"/>
    <cellStyle name="Comma 44 9" xfId="1886"/>
    <cellStyle name="Comma 44 9 2" xfId="1887"/>
    <cellStyle name="Comma 44 9 2 2" xfId="1888"/>
    <cellStyle name="Comma 44 9 3" xfId="1889"/>
    <cellStyle name="Comma 45" xfId="1890"/>
    <cellStyle name="Comma 45 10" xfId="1891"/>
    <cellStyle name="Comma 45 10 2" xfId="1892"/>
    <cellStyle name="Comma 45 11" xfId="1893"/>
    <cellStyle name="Comma 45 11 2" xfId="1894"/>
    <cellStyle name="Comma 45 12" xfId="1895"/>
    <cellStyle name="Comma 45 2" xfId="1896"/>
    <cellStyle name="Comma 45 2 2" xfId="1897"/>
    <cellStyle name="Comma 45 2 2 2" xfId="1898"/>
    <cellStyle name="Comma 45 2 2 2 2" xfId="1899"/>
    <cellStyle name="Comma 45 2 2 3" xfId="1900"/>
    <cellStyle name="Comma 45 2 3" xfId="1901"/>
    <cellStyle name="Comma 45 2 3 2" xfId="1902"/>
    <cellStyle name="Comma 45 2 4" xfId="1903"/>
    <cellStyle name="Comma 45 2 4 2" xfId="1904"/>
    <cellStyle name="Comma 45 2 5" xfId="1905"/>
    <cellStyle name="Comma 45 3" xfId="1906"/>
    <cellStyle name="Comma 45 3 2" xfId="1907"/>
    <cellStyle name="Comma 45 3 2 2" xfId="1908"/>
    <cellStyle name="Comma 45 3 2 2 2" xfId="1909"/>
    <cellStyle name="Comma 45 3 2 3" xfId="1910"/>
    <cellStyle name="Comma 45 3 3" xfId="1911"/>
    <cellStyle name="Comma 45 3 3 2" xfId="1912"/>
    <cellStyle name="Comma 45 3 4" xfId="1913"/>
    <cellStyle name="Comma 45 3 4 2" xfId="1914"/>
    <cellStyle name="Comma 45 3 5" xfId="1915"/>
    <cellStyle name="Comma 45 4" xfId="1916"/>
    <cellStyle name="Comma 45 4 2" xfId="1917"/>
    <cellStyle name="Comma 45 4 2 2" xfId="1918"/>
    <cellStyle name="Comma 45 4 2 2 2" xfId="1919"/>
    <cellStyle name="Comma 45 4 2 3" xfId="1920"/>
    <cellStyle name="Comma 45 4 3" xfId="1921"/>
    <cellStyle name="Comma 45 4 3 2" xfId="1922"/>
    <cellStyle name="Comma 45 4 4" xfId="1923"/>
    <cellStyle name="Comma 45 4 4 2" xfId="1924"/>
    <cellStyle name="Comma 45 4 5" xfId="1925"/>
    <cellStyle name="Comma 45 5" xfId="1926"/>
    <cellStyle name="Comma 45 5 2" xfId="1927"/>
    <cellStyle name="Comma 45 5 2 2" xfId="1928"/>
    <cellStyle name="Comma 45 5 2 2 2" xfId="1929"/>
    <cellStyle name="Comma 45 5 2 3" xfId="1930"/>
    <cellStyle name="Comma 45 5 3" xfId="1931"/>
    <cellStyle name="Comma 45 5 3 2" xfId="1932"/>
    <cellStyle name="Comma 45 5 4" xfId="1933"/>
    <cellStyle name="Comma 45 5 4 2" xfId="1934"/>
    <cellStyle name="Comma 45 5 5" xfId="1935"/>
    <cellStyle name="Comma 45 6" xfId="1936"/>
    <cellStyle name="Comma 45 6 2" xfId="1937"/>
    <cellStyle name="Comma 45 6 2 2" xfId="1938"/>
    <cellStyle name="Comma 45 6 2 2 2" xfId="1939"/>
    <cellStyle name="Comma 45 6 2 3" xfId="1940"/>
    <cellStyle name="Comma 45 6 3" xfId="1941"/>
    <cellStyle name="Comma 45 6 3 2" xfId="1942"/>
    <cellStyle name="Comma 45 6 4" xfId="1943"/>
    <cellStyle name="Comma 45 6 4 2" xfId="1944"/>
    <cellStyle name="Comma 45 6 5" xfId="1945"/>
    <cellStyle name="Comma 45 7" xfId="1946"/>
    <cellStyle name="Comma 45 7 2" xfId="1947"/>
    <cellStyle name="Comma 45 7 2 2" xfId="1948"/>
    <cellStyle name="Comma 45 7 2 2 2" xfId="1949"/>
    <cellStyle name="Comma 45 7 2 3" xfId="1950"/>
    <cellStyle name="Comma 45 7 3" xfId="1951"/>
    <cellStyle name="Comma 45 7 3 2" xfId="1952"/>
    <cellStyle name="Comma 45 7 4" xfId="1953"/>
    <cellStyle name="Comma 45 8" xfId="1954"/>
    <cellStyle name="Comma 45 8 2" xfId="1955"/>
    <cellStyle name="Comma 45 8 2 2" xfId="1956"/>
    <cellStyle name="Comma 45 8 2 2 2" xfId="1957"/>
    <cellStyle name="Comma 45 8 2 3" xfId="1958"/>
    <cellStyle name="Comma 45 8 3" xfId="1959"/>
    <cellStyle name="Comma 45 8 3 2" xfId="1960"/>
    <cellStyle name="Comma 45 8 4" xfId="1961"/>
    <cellStyle name="Comma 45 9" xfId="1962"/>
    <cellStyle name="Comma 45 9 2" xfId="1963"/>
    <cellStyle name="Comma 45 9 2 2" xfId="1964"/>
    <cellStyle name="Comma 45 9 3" xfId="1965"/>
    <cellStyle name="Comma 46" xfId="1966"/>
    <cellStyle name="Comma 46 10" xfId="1967"/>
    <cellStyle name="Comma 46 10 2" xfId="1968"/>
    <cellStyle name="Comma 46 11" xfId="1969"/>
    <cellStyle name="Comma 46 11 2" xfId="1970"/>
    <cellStyle name="Comma 46 12" xfId="1971"/>
    <cellStyle name="Comma 46 2" xfId="1972"/>
    <cellStyle name="Comma 46 2 2" xfId="1973"/>
    <cellStyle name="Comma 46 2 2 2" xfId="1974"/>
    <cellStyle name="Comma 46 2 2 2 2" xfId="1975"/>
    <cellStyle name="Comma 46 2 2 3" xfId="1976"/>
    <cellStyle name="Comma 46 2 3" xfId="1977"/>
    <cellStyle name="Comma 46 2 3 2" xfId="1978"/>
    <cellStyle name="Comma 46 2 4" xfId="1979"/>
    <cellStyle name="Comma 46 2 4 2" xfId="1980"/>
    <cellStyle name="Comma 46 2 5" xfId="1981"/>
    <cellStyle name="Comma 46 3" xfId="1982"/>
    <cellStyle name="Comma 46 3 2" xfId="1983"/>
    <cellStyle name="Comma 46 3 2 2" xfId="1984"/>
    <cellStyle name="Comma 46 3 2 2 2" xfId="1985"/>
    <cellStyle name="Comma 46 3 2 3" xfId="1986"/>
    <cellStyle name="Comma 46 3 3" xfId="1987"/>
    <cellStyle name="Comma 46 3 3 2" xfId="1988"/>
    <cellStyle name="Comma 46 3 4" xfId="1989"/>
    <cellStyle name="Comma 46 3 4 2" xfId="1990"/>
    <cellStyle name="Comma 46 3 5" xfId="1991"/>
    <cellStyle name="Comma 46 4" xfId="1992"/>
    <cellStyle name="Comma 46 4 2" xfId="1993"/>
    <cellStyle name="Comma 46 4 2 2" xfId="1994"/>
    <cellStyle name="Comma 46 4 2 2 2" xfId="1995"/>
    <cellStyle name="Comma 46 4 2 3" xfId="1996"/>
    <cellStyle name="Comma 46 4 3" xfId="1997"/>
    <cellStyle name="Comma 46 4 3 2" xfId="1998"/>
    <cellStyle name="Comma 46 4 4" xfId="1999"/>
    <cellStyle name="Comma 46 4 4 2" xfId="2000"/>
    <cellStyle name="Comma 46 4 5" xfId="2001"/>
    <cellStyle name="Comma 46 5" xfId="2002"/>
    <cellStyle name="Comma 46 5 2" xfId="2003"/>
    <cellStyle name="Comma 46 5 2 2" xfId="2004"/>
    <cellStyle name="Comma 46 5 2 2 2" xfId="2005"/>
    <cellStyle name="Comma 46 5 2 3" xfId="2006"/>
    <cellStyle name="Comma 46 5 3" xfId="2007"/>
    <cellStyle name="Comma 46 5 3 2" xfId="2008"/>
    <cellStyle name="Comma 46 5 4" xfId="2009"/>
    <cellStyle name="Comma 46 5 4 2" xfId="2010"/>
    <cellStyle name="Comma 46 5 5" xfId="2011"/>
    <cellStyle name="Comma 46 6" xfId="2012"/>
    <cellStyle name="Comma 46 6 2" xfId="2013"/>
    <cellStyle name="Comma 46 6 2 2" xfId="2014"/>
    <cellStyle name="Comma 46 6 2 2 2" xfId="2015"/>
    <cellStyle name="Comma 46 6 2 3" xfId="2016"/>
    <cellStyle name="Comma 46 6 3" xfId="2017"/>
    <cellStyle name="Comma 46 6 3 2" xfId="2018"/>
    <cellStyle name="Comma 46 6 4" xfId="2019"/>
    <cellStyle name="Comma 46 6 4 2" xfId="2020"/>
    <cellStyle name="Comma 46 6 5" xfId="2021"/>
    <cellStyle name="Comma 46 7" xfId="2022"/>
    <cellStyle name="Comma 46 7 2" xfId="2023"/>
    <cellStyle name="Comma 46 7 2 2" xfId="2024"/>
    <cellStyle name="Comma 46 7 2 2 2" xfId="2025"/>
    <cellStyle name="Comma 46 7 2 3" xfId="2026"/>
    <cellStyle name="Comma 46 7 3" xfId="2027"/>
    <cellStyle name="Comma 46 7 3 2" xfId="2028"/>
    <cellStyle name="Comma 46 7 4" xfId="2029"/>
    <cellStyle name="Comma 46 8" xfId="2030"/>
    <cellStyle name="Comma 46 8 2" xfId="2031"/>
    <cellStyle name="Comma 46 8 2 2" xfId="2032"/>
    <cellStyle name="Comma 46 8 2 2 2" xfId="2033"/>
    <cellStyle name="Comma 46 8 2 3" xfId="2034"/>
    <cellStyle name="Comma 46 8 3" xfId="2035"/>
    <cellStyle name="Comma 46 8 3 2" xfId="2036"/>
    <cellStyle name="Comma 46 8 4" xfId="2037"/>
    <cellStyle name="Comma 46 9" xfId="2038"/>
    <cellStyle name="Comma 46 9 2" xfId="2039"/>
    <cellStyle name="Comma 46 9 2 2" xfId="2040"/>
    <cellStyle name="Comma 46 9 3" xfId="2041"/>
    <cellStyle name="Comma 47" xfId="2042"/>
    <cellStyle name="Comma 47 10" xfId="2043"/>
    <cellStyle name="Comma 47 10 2" xfId="2044"/>
    <cellStyle name="Comma 47 11" xfId="2045"/>
    <cellStyle name="Comma 47 11 2" xfId="2046"/>
    <cellStyle name="Comma 47 12" xfId="2047"/>
    <cellStyle name="Comma 47 2" xfId="2048"/>
    <cellStyle name="Comma 47 2 2" xfId="2049"/>
    <cellStyle name="Comma 47 2 2 2" xfId="2050"/>
    <cellStyle name="Comma 47 2 2 2 2" xfId="2051"/>
    <cellStyle name="Comma 47 2 2 3" xfId="2052"/>
    <cellStyle name="Comma 47 2 3" xfId="2053"/>
    <cellStyle name="Comma 47 2 3 2" xfId="2054"/>
    <cellStyle name="Comma 47 2 4" xfId="2055"/>
    <cellStyle name="Comma 47 2 4 2" xfId="2056"/>
    <cellStyle name="Comma 47 2 5" xfId="2057"/>
    <cellStyle name="Comma 47 3" xfId="2058"/>
    <cellStyle name="Comma 47 3 2" xfId="2059"/>
    <cellStyle name="Comma 47 3 2 2" xfId="2060"/>
    <cellStyle name="Comma 47 3 2 2 2" xfId="2061"/>
    <cellStyle name="Comma 47 3 2 3" xfId="2062"/>
    <cellStyle name="Comma 47 3 3" xfId="2063"/>
    <cellStyle name="Comma 47 3 3 2" xfId="2064"/>
    <cellStyle name="Comma 47 3 4" xfId="2065"/>
    <cellStyle name="Comma 47 3 4 2" xfId="2066"/>
    <cellStyle name="Comma 47 3 5" xfId="2067"/>
    <cellStyle name="Comma 47 4" xfId="2068"/>
    <cellStyle name="Comma 47 4 2" xfId="2069"/>
    <cellStyle name="Comma 47 4 2 2" xfId="2070"/>
    <cellStyle name="Comma 47 4 2 2 2" xfId="2071"/>
    <cellStyle name="Comma 47 4 2 3" xfId="2072"/>
    <cellStyle name="Comma 47 4 3" xfId="2073"/>
    <cellStyle name="Comma 47 4 3 2" xfId="2074"/>
    <cellStyle name="Comma 47 4 4" xfId="2075"/>
    <cellStyle name="Comma 47 4 4 2" xfId="2076"/>
    <cellStyle name="Comma 47 4 5" xfId="2077"/>
    <cellStyle name="Comma 47 5" xfId="2078"/>
    <cellStyle name="Comma 47 5 2" xfId="2079"/>
    <cellStyle name="Comma 47 5 2 2" xfId="2080"/>
    <cellStyle name="Comma 47 5 2 2 2" xfId="2081"/>
    <cellStyle name="Comma 47 5 2 3" xfId="2082"/>
    <cellStyle name="Comma 47 5 3" xfId="2083"/>
    <cellStyle name="Comma 47 5 3 2" xfId="2084"/>
    <cellStyle name="Comma 47 5 4" xfId="2085"/>
    <cellStyle name="Comma 47 5 4 2" xfId="2086"/>
    <cellStyle name="Comma 47 5 5" xfId="2087"/>
    <cellStyle name="Comma 47 6" xfId="2088"/>
    <cellStyle name="Comma 47 6 2" xfId="2089"/>
    <cellStyle name="Comma 47 6 2 2" xfId="2090"/>
    <cellStyle name="Comma 47 6 2 2 2" xfId="2091"/>
    <cellStyle name="Comma 47 6 2 3" xfId="2092"/>
    <cellStyle name="Comma 47 6 3" xfId="2093"/>
    <cellStyle name="Comma 47 6 3 2" xfId="2094"/>
    <cellStyle name="Comma 47 6 4" xfId="2095"/>
    <cellStyle name="Comma 47 6 4 2" xfId="2096"/>
    <cellStyle name="Comma 47 6 5" xfId="2097"/>
    <cellStyle name="Comma 47 7" xfId="2098"/>
    <cellStyle name="Comma 47 7 2" xfId="2099"/>
    <cellStyle name="Comma 47 7 2 2" xfId="2100"/>
    <cellStyle name="Comma 47 7 2 2 2" xfId="2101"/>
    <cellStyle name="Comma 47 7 2 3" xfId="2102"/>
    <cellStyle name="Comma 47 7 3" xfId="2103"/>
    <cellStyle name="Comma 47 7 3 2" xfId="2104"/>
    <cellStyle name="Comma 47 7 4" xfId="2105"/>
    <cellStyle name="Comma 47 8" xfId="2106"/>
    <cellStyle name="Comma 47 8 2" xfId="2107"/>
    <cellStyle name="Comma 47 8 2 2" xfId="2108"/>
    <cellStyle name="Comma 47 8 2 2 2" xfId="2109"/>
    <cellStyle name="Comma 47 8 2 3" xfId="2110"/>
    <cellStyle name="Comma 47 8 3" xfId="2111"/>
    <cellStyle name="Comma 47 8 3 2" xfId="2112"/>
    <cellStyle name="Comma 47 8 4" xfId="2113"/>
    <cellStyle name="Comma 47 9" xfId="2114"/>
    <cellStyle name="Comma 47 9 2" xfId="2115"/>
    <cellStyle name="Comma 47 9 2 2" xfId="2116"/>
    <cellStyle name="Comma 47 9 3" xfId="2117"/>
    <cellStyle name="Comma 48" xfId="2118"/>
    <cellStyle name="Comma 48 10" xfId="2119"/>
    <cellStyle name="Comma 48 10 2" xfId="2120"/>
    <cellStyle name="Comma 48 11" xfId="2121"/>
    <cellStyle name="Comma 48 11 2" xfId="2122"/>
    <cellStyle name="Comma 48 12" xfId="2123"/>
    <cellStyle name="Comma 48 2" xfId="2124"/>
    <cellStyle name="Comma 48 2 2" xfId="2125"/>
    <cellStyle name="Comma 48 2 2 2" xfId="2126"/>
    <cellStyle name="Comma 48 2 2 2 2" xfId="2127"/>
    <cellStyle name="Comma 48 2 2 3" xfId="2128"/>
    <cellStyle name="Comma 48 2 3" xfId="2129"/>
    <cellStyle name="Comma 48 2 3 2" xfId="2130"/>
    <cellStyle name="Comma 48 2 4" xfId="2131"/>
    <cellStyle name="Comma 48 2 4 2" xfId="2132"/>
    <cellStyle name="Comma 48 2 5" xfId="2133"/>
    <cellStyle name="Comma 48 3" xfId="2134"/>
    <cellStyle name="Comma 48 3 2" xfId="2135"/>
    <cellStyle name="Comma 48 3 2 2" xfId="2136"/>
    <cellStyle name="Comma 48 3 2 2 2" xfId="2137"/>
    <cellStyle name="Comma 48 3 2 3" xfId="2138"/>
    <cellStyle name="Comma 48 3 3" xfId="2139"/>
    <cellStyle name="Comma 48 3 3 2" xfId="2140"/>
    <cellStyle name="Comma 48 3 4" xfId="2141"/>
    <cellStyle name="Comma 48 3 4 2" xfId="2142"/>
    <cellStyle name="Comma 48 3 5" xfId="2143"/>
    <cellStyle name="Comma 48 4" xfId="2144"/>
    <cellStyle name="Comma 48 4 2" xfId="2145"/>
    <cellStyle name="Comma 48 4 2 2" xfId="2146"/>
    <cellStyle name="Comma 48 4 2 2 2" xfId="2147"/>
    <cellStyle name="Comma 48 4 2 3" xfId="2148"/>
    <cellStyle name="Comma 48 4 3" xfId="2149"/>
    <cellStyle name="Comma 48 4 3 2" xfId="2150"/>
    <cellStyle name="Comma 48 4 4" xfId="2151"/>
    <cellStyle name="Comma 48 4 4 2" xfId="2152"/>
    <cellStyle name="Comma 48 4 5" xfId="2153"/>
    <cellStyle name="Comma 48 5" xfId="2154"/>
    <cellStyle name="Comma 48 5 2" xfId="2155"/>
    <cellStyle name="Comma 48 5 2 2" xfId="2156"/>
    <cellStyle name="Comma 48 5 2 2 2" xfId="2157"/>
    <cellStyle name="Comma 48 5 2 3" xfId="2158"/>
    <cellStyle name="Comma 48 5 3" xfId="2159"/>
    <cellStyle name="Comma 48 5 3 2" xfId="2160"/>
    <cellStyle name="Comma 48 5 4" xfId="2161"/>
    <cellStyle name="Comma 48 5 4 2" xfId="2162"/>
    <cellStyle name="Comma 48 5 5" xfId="2163"/>
    <cellStyle name="Comma 48 6" xfId="2164"/>
    <cellStyle name="Comma 48 6 2" xfId="2165"/>
    <cellStyle name="Comma 48 6 2 2" xfId="2166"/>
    <cellStyle name="Comma 48 6 2 2 2" xfId="2167"/>
    <cellStyle name="Comma 48 6 2 3" xfId="2168"/>
    <cellStyle name="Comma 48 6 3" xfId="2169"/>
    <cellStyle name="Comma 48 6 3 2" xfId="2170"/>
    <cellStyle name="Comma 48 6 4" xfId="2171"/>
    <cellStyle name="Comma 48 6 4 2" xfId="2172"/>
    <cellStyle name="Comma 48 6 5" xfId="2173"/>
    <cellStyle name="Comma 48 7" xfId="2174"/>
    <cellStyle name="Comma 48 7 2" xfId="2175"/>
    <cellStyle name="Comma 48 7 2 2" xfId="2176"/>
    <cellStyle name="Comma 48 7 2 2 2" xfId="2177"/>
    <cellStyle name="Comma 48 7 2 3" xfId="2178"/>
    <cellStyle name="Comma 48 7 3" xfId="2179"/>
    <cellStyle name="Comma 48 7 3 2" xfId="2180"/>
    <cellStyle name="Comma 48 7 4" xfId="2181"/>
    <cellStyle name="Comma 48 8" xfId="2182"/>
    <cellStyle name="Comma 48 8 2" xfId="2183"/>
    <cellStyle name="Comma 48 8 2 2" xfId="2184"/>
    <cellStyle name="Comma 48 8 2 2 2" xfId="2185"/>
    <cellStyle name="Comma 48 8 2 3" xfId="2186"/>
    <cellStyle name="Comma 48 8 3" xfId="2187"/>
    <cellStyle name="Comma 48 8 3 2" xfId="2188"/>
    <cellStyle name="Comma 48 8 4" xfId="2189"/>
    <cellStyle name="Comma 48 9" xfId="2190"/>
    <cellStyle name="Comma 48 9 2" xfId="2191"/>
    <cellStyle name="Comma 48 9 2 2" xfId="2192"/>
    <cellStyle name="Comma 48 9 3" xfId="2193"/>
    <cellStyle name="Comma 49" xfId="2194"/>
    <cellStyle name="Comma 49 10" xfId="2195"/>
    <cellStyle name="Comma 49 10 2" xfId="2196"/>
    <cellStyle name="Comma 49 11" xfId="2197"/>
    <cellStyle name="Comma 49 11 2" xfId="2198"/>
    <cellStyle name="Comma 49 12" xfId="2199"/>
    <cellStyle name="Comma 49 2" xfId="2200"/>
    <cellStyle name="Comma 49 2 2" xfId="2201"/>
    <cellStyle name="Comma 49 2 2 2" xfId="2202"/>
    <cellStyle name="Comma 49 2 2 2 2" xfId="2203"/>
    <cellStyle name="Comma 49 2 2 3" xfId="2204"/>
    <cellStyle name="Comma 49 2 3" xfId="2205"/>
    <cellStyle name="Comma 49 2 3 2" xfId="2206"/>
    <cellStyle name="Comma 49 2 4" xfId="2207"/>
    <cellStyle name="Comma 49 2 4 2" xfId="2208"/>
    <cellStyle name="Comma 49 2 5" xfId="2209"/>
    <cellStyle name="Comma 49 3" xfId="2210"/>
    <cellStyle name="Comma 49 3 2" xfId="2211"/>
    <cellStyle name="Comma 49 3 2 2" xfId="2212"/>
    <cellStyle name="Comma 49 3 2 2 2" xfId="2213"/>
    <cellStyle name="Comma 49 3 2 3" xfId="2214"/>
    <cellStyle name="Comma 49 3 3" xfId="2215"/>
    <cellStyle name="Comma 49 3 3 2" xfId="2216"/>
    <cellStyle name="Comma 49 3 4" xfId="2217"/>
    <cellStyle name="Comma 49 3 4 2" xfId="2218"/>
    <cellStyle name="Comma 49 3 5" xfId="2219"/>
    <cellStyle name="Comma 49 4" xfId="2220"/>
    <cellStyle name="Comma 49 4 2" xfId="2221"/>
    <cellStyle name="Comma 49 4 2 2" xfId="2222"/>
    <cellStyle name="Comma 49 4 2 2 2" xfId="2223"/>
    <cellStyle name="Comma 49 4 2 3" xfId="2224"/>
    <cellStyle name="Comma 49 4 3" xfId="2225"/>
    <cellStyle name="Comma 49 4 3 2" xfId="2226"/>
    <cellStyle name="Comma 49 4 4" xfId="2227"/>
    <cellStyle name="Comma 49 4 4 2" xfId="2228"/>
    <cellStyle name="Comma 49 4 5" xfId="2229"/>
    <cellStyle name="Comma 49 5" xfId="2230"/>
    <cellStyle name="Comma 49 5 2" xfId="2231"/>
    <cellStyle name="Comma 49 5 2 2" xfId="2232"/>
    <cellStyle name="Comma 49 5 2 2 2" xfId="2233"/>
    <cellStyle name="Comma 49 5 2 3" xfId="2234"/>
    <cellStyle name="Comma 49 5 3" xfId="2235"/>
    <cellStyle name="Comma 49 5 3 2" xfId="2236"/>
    <cellStyle name="Comma 49 5 4" xfId="2237"/>
    <cellStyle name="Comma 49 5 4 2" xfId="2238"/>
    <cellStyle name="Comma 49 5 5" xfId="2239"/>
    <cellStyle name="Comma 49 6" xfId="2240"/>
    <cellStyle name="Comma 49 6 2" xfId="2241"/>
    <cellStyle name="Comma 49 6 2 2" xfId="2242"/>
    <cellStyle name="Comma 49 6 2 2 2" xfId="2243"/>
    <cellStyle name="Comma 49 6 2 3" xfId="2244"/>
    <cellStyle name="Comma 49 6 3" xfId="2245"/>
    <cellStyle name="Comma 49 6 3 2" xfId="2246"/>
    <cellStyle name="Comma 49 6 4" xfId="2247"/>
    <cellStyle name="Comma 49 6 4 2" xfId="2248"/>
    <cellStyle name="Comma 49 6 5" xfId="2249"/>
    <cellStyle name="Comma 49 7" xfId="2250"/>
    <cellStyle name="Comma 49 7 2" xfId="2251"/>
    <cellStyle name="Comma 49 7 2 2" xfId="2252"/>
    <cellStyle name="Comma 49 7 2 2 2" xfId="2253"/>
    <cellStyle name="Comma 49 7 2 3" xfId="2254"/>
    <cellStyle name="Comma 49 7 3" xfId="2255"/>
    <cellStyle name="Comma 49 7 3 2" xfId="2256"/>
    <cellStyle name="Comma 49 7 4" xfId="2257"/>
    <cellStyle name="Comma 49 8" xfId="2258"/>
    <cellStyle name="Comma 49 8 2" xfId="2259"/>
    <cellStyle name="Comma 49 8 2 2" xfId="2260"/>
    <cellStyle name="Comma 49 8 2 2 2" xfId="2261"/>
    <cellStyle name="Comma 49 8 2 3" xfId="2262"/>
    <cellStyle name="Comma 49 8 3" xfId="2263"/>
    <cellStyle name="Comma 49 8 3 2" xfId="2264"/>
    <cellStyle name="Comma 49 8 4" xfId="2265"/>
    <cellStyle name="Comma 49 9" xfId="2266"/>
    <cellStyle name="Comma 49 9 2" xfId="2267"/>
    <cellStyle name="Comma 49 9 2 2" xfId="2268"/>
    <cellStyle name="Comma 49 9 3" xfId="2269"/>
    <cellStyle name="Comma 5" xfId="8"/>
    <cellStyle name="Comma 5 10" xfId="422"/>
    <cellStyle name="Comma 5 10 2" xfId="918"/>
    <cellStyle name="Comma 5 10 2 2" xfId="14879"/>
    <cellStyle name="Comma 5 10 2 3" xfId="21031"/>
    <cellStyle name="Comma 5 10 2 4" xfId="8686"/>
    <cellStyle name="Comma 5 10 3" xfId="11813"/>
    <cellStyle name="Comma 5 10 4" xfId="17965"/>
    <cellStyle name="Comma 5 10 5" xfId="5582"/>
    <cellStyle name="Comma 5 10 6" xfId="22881"/>
    <cellStyle name="Comma 5 11" xfId="433"/>
    <cellStyle name="Comma 5 11 2" xfId="921"/>
    <cellStyle name="Comma 5 11 2 2" xfId="13345"/>
    <cellStyle name="Comma 5 11 3" xfId="19497"/>
    <cellStyle name="Comma 5 11 4" xfId="7151"/>
    <cellStyle name="Comma 5 11 5" xfId="22884"/>
    <cellStyle name="Comma 5 12" xfId="441"/>
    <cellStyle name="Comma 5 12 2" xfId="924"/>
    <cellStyle name="Comma 5 12 3" xfId="10279"/>
    <cellStyle name="Comma 5 12 4" xfId="22887"/>
    <cellStyle name="Comma 5 13" xfId="444"/>
    <cellStyle name="Comma 5 13 2" xfId="927"/>
    <cellStyle name="Comma 5 13 3" xfId="16431"/>
    <cellStyle name="Comma 5 13 4" xfId="22890"/>
    <cellStyle name="Comma 5 14" xfId="447"/>
    <cellStyle name="Comma 5 14 2" xfId="930"/>
    <cellStyle name="Comma 5 14 3" xfId="1280"/>
    <cellStyle name="Comma 5 14 4" xfId="22893"/>
    <cellStyle name="Comma 5 15" xfId="512"/>
    <cellStyle name="Comma 5 15 2" xfId="946"/>
    <cellStyle name="Comma 5 15 3" xfId="22765"/>
    <cellStyle name="Comma 5 15 4" xfId="22909"/>
    <cellStyle name="Comma 5 16" xfId="542"/>
    <cellStyle name="Comma 5 16 2" xfId="962"/>
    <cellStyle name="Comma 5 16 3" xfId="22702"/>
    <cellStyle name="Comma 5 16 4" xfId="22925"/>
    <cellStyle name="Comma 5 17" xfId="569"/>
    <cellStyle name="Comma 5 17 2" xfId="978"/>
    <cellStyle name="Comma 5 17 3" xfId="22620"/>
    <cellStyle name="Comma 5 17 4" xfId="22941"/>
    <cellStyle name="Comma 5 18" xfId="595"/>
    <cellStyle name="Comma 5 18 2" xfId="994"/>
    <cellStyle name="Comma 5 18 3" xfId="22810"/>
    <cellStyle name="Comma 5 18 4" xfId="22957"/>
    <cellStyle name="Comma 5 19" xfId="621"/>
    <cellStyle name="Comma 5 19 2" xfId="1010"/>
    <cellStyle name="Comma 5 19 3" xfId="22671"/>
    <cellStyle name="Comma 5 19 4" xfId="22973"/>
    <cellStyle name="Comma 5 2" xfId="87"/>
    <cellStyle name="Comma 5 2 10" xfId="16437"/>
    <cellStyle name="Comma 5 2 11" xfId="1295"/>
    <cellStyle name="Comma 5 2 12" xfId="22857"/>
    <cellStyle name="Comma 5 2 13" xfId="298"/>
    <cellStyle name="Comma 5 2 2" xfId="894"/>
    <cellStyle name="Comma 5 2 2 2" xfId="4725"/>
    <cellStyle name="Comma 5 2 2 2 2" xfId="5501"/>
    <cellStyle name="Comma 5 2 2 2 2 2" xfId="7126"/>
    <cellStyle name="Comma 5 2 2 2 2 2 2" xfId="10212"/>
    <cellStyle name="Comma 5 2 2 2 2 2 2 2" xfId="16405"/>
    <cellStyle name="Comma 5 2 2 2 2 2 2 3" xfId="22557"/>
    <cellStyle name="Comma 5 2 2 2 2 2 3" xfId="13339"/>
    <cellStyle name="Comma 5 2 2 2 2 2 4" xfId="19491"/>
    <cellStyle name="Comma 5 2 2 2 2 3" xfId="8677"/>
    <cellStyle name="Comma 5 2 2 2 2 3 2" xfId="14871"/>
    <cellStyle name="Comma 5 2 2 2 2 3 3" xfId="21023"/>
    <cellStyle name="Comma 5 2 2 2 2 4" xfId="11805"/>
    <cellStyle name="Comma 5 2 2 2 2 5" xfId="17957"/>
    <cellStyle name="Comma 5 2 2 2 3" xfId="6357"/>
    <cellStyle name="Comma 5 2 2 2 3 2" xfId="9443"/>
    <cellStyle name="Comma 5 2 2 2 3 2 2" xfId="15636"/>
    <cellStyle name="Comma 5 2 2 2 3 2 3" xfId="21788"/>
    <cellStyle name="Comma 5 2 2 2 3 3" xfId="12570"/>
    <cellStyle name="Comma 5 2 2 2 3 4" xfId="18722"/>
    <cellStyle name="Comma 5 2 2 2 4" xfId="7908"/>
    <cellStyle name="Comma 5 2 2 2 4 2" xfId="14102"/>
    <cellStyle name="Comma 5 2 2 2 4 3" xfId="20254"/>
    <cellStyle name="Comma 5 2 2 2 5" xfId="11036"/>
    <cellStyle name="Comma 5 2 2 2 6" xfId="17188"/>
    <cellStyle name="Comma 5 2 2 3" xfId="2272"/>
    <cellStyle name="Comma 5 2 2 4" xfId="4761"/>
    <cellStyle name="Comma 5 2 2 4 2" xfId="6386"/>
    <cellStyle name="Comma 5 2 2 4 2 2" xfId="9472"/>
    <cellStyle name="Comma 5 2 2 4 2 2 2" xfId="15665"/>
    <cellStyle name="Comma 5 2 2 4 2 2 3" xfId="21817"/>
    <cellStyle name="Comma 5 2 2 4 2 3" xfId="12599"/>
    <cellStyle name="Comma 5 2 2 4 2 4" xfId="18751"/>
    <cellStyle name="Comma 5 2 2 4 3" xfId="7937"/>
    <cellStyle name="Comma 5 2 2 4 3 2" xfId="14131"/>
    <cellStyle name="Comma 5 2 2 4 3 3" xfId="20283"/>
    <cellStyle name="Comma 5 2 2 4 4" xfId="11065"/>
    <cellStyle name="Comma 5 2 2 4 5" xfId="17217"/>
    <cellStyle name="Comma 5 2 2 5" xfId="5600"/>
    <cellStyle name="Comma 5 2 2 5 2" xfId="8703"/>
    <cellStyle name="Comma 5 2 2 5 2 2" xfId="14896"/>
    <cellStyle name="Comma 5 2 2 5 2 3" xfId="21048"/>
    <cellStyle name="Comma 5 2 2 5 3" xfId="11830"/>
    <cellStyle name="Comma 5 2 2 5 4" xfId="17982"/>
    <cellStyle name="Comma 5 2 2 6" xfId="7168"/>
    <cellStyle name="Comma 5 2 2 6 2" xfId="13362"/>
    <cellStyle name="Comma 5 2 2 6 3" xfId="19514"/>
    <cellStyle name="Comma 5 2 2 7" xfId="10296"/>
    <cellStyle name="Comma 5 2 2 8" xfId="16448"/>
    <cellStyle name="Comma 5 2 2 9" xfId="1314"/>
    <cellStyle name="Comma 5 2 3" xfId="2273"/>
    <cellStyle name="Comma 5 2 4" xfId="4708"/>
    <cellStyle name="Comma 5 2 4 2" xfId="5492"/>
    <cellStyle name="Comma 5 2 4 2 2" xfId="7117"/>
    <cellStyle name="Comma 5 2 4 2 2 2" xfId="10203"/>
    <cellStyle name="Comma 5 2 4 2 2 2 2" xfId="16396"/>
    <cellStyle name="Comma 5 2 4 2 2 2 3" xfId="22548"/>
    <cellStyle name="Comma 5 2 4 2 2 3" xfId="13330"/>
    <cellStyle name="Comma 5 2 4 2 2 4" xfId="19482"/>
    <cellStyle name="Comma 5 2 4 2 3" xfId="8668"/>
    <cellStyle name="Comma 5 2 4 2 3 2" xfId="14862"/>
    <cellStyle name="Comma 5 2 4 2 3 3" xfId="21014"/>
    <cellStyle name="Comma 5 2 4 2 4" xfId="11796"/>
    <cellStyle name="Comma 5 2 4 2 5" xfId="17948"/>
    <cellStyle name="Comma 5 2 4 3" xfId="6348"/>
    <cellStyle name="Comma 5 2 4 3 2" xfId="9434"/>
    <cellStyle name="Comma 5 2 4 3 2 2" xfId="15627"/>
    <cellStyle name="Comma 5 2 4 3 2 3" xfId="21779"/>
    <cellStyle name="Comma 5 2 4 3 3" xfId="12561"/>
    <cellStyle name="Comma 5 2 4 3 4" xfId="18713"/>
    <cellStyle name="Comma 5 2 4 4" xfId="7899"/>
    <cellStyle name="Comma 5 2 4 4 2" xfId="14093"/>
    <cellStyle name="Comma 5 2 4 4 3" xfId="20245"/>
    <cellStyle name="Comma 5 2 4 5" xfId="11027"/>
    <cellStyle name="Comma 5 2 4 6" xfId="17179"/>
    <cellStyle name="Comma 5 2 5" xfId="2271"/>
    <cellStyle name="Comma 5 2 6" xfId="4750"/>
    <cellStyle name="Comma 5 2 6 2" xfId="6375"/>
    <cellStyle name="Comma 5 2 6 2 2" xfId="9461"/>
    <cellStyle name="Comma 5 2 6 2 2 2" xfId="15654"/>
    <cellStyle name="Comma 5 2 6 2 2 3" xfId="21806"/>
    <cellStyle name="Comma 5 2 6 2 3" xfId="12588"/>
    <cellStyle name="Comma 5 2 6 2 4" xfId="18740"/>
    <cellStyle name="Comma 5 2 6 3" xfId="7926"/>
    <cellStyle name="Comma 5 2 6 3 2" xfId="14120"/>
    <cellStyle name="Comma 5 2 6 3 3" xfId="20272"/>
    <cellStyle name="Comma 5 2 6 4" xfId="11054"/>
    <cellStyle name="Comma 5 2 6 5" xfId="17206"/>
    <cellStyle name="Comma 5 2 7" xfId="5588"/>
    <cellStyle name="Comma 5 2 7 2" xfId="8692"/>
    <cellStyle name="Comma 5 2 7 2 2" xfId="14885"/>
    <cellStyle name="Comma 5 2 7 2 3" xfId="21037"/>
    <cellStyle name="Comma 5 2 7 3" xfId="11819"/>
    <cellStyle name="Comma 5 2 7 4" xfId="17971"/>
    <cellStyle name="Comma 5 2 8" xfId="7157"/>
    <cellStyle name="Comma 5 2 8 2" xfId="13351"/>
    <cellStyle name="Comma 5 2 8 3" xfId="19503"/>
    <cellStyle name="Comma 5 2 9" xfId="10285"/>
    <cellStyle name="Comma 5 20" xfId="645"/>
    <cellStyle name="Comma 5 20 2" xfId="1026"/>
    <cellStyle name="Comma 5 20 3" xfId="22782"/>
    <cellStyle name="Comma 5 20 4" xfId="22989"/>
    <cellStyle name="Comma 5 21" xfId="671"/>
    <cellStyle name="Comma 5 21 2" xfId="1042"/>
    <cellStyle name="Comma 5 21 3" xfId="22767"/>
    <cellStyle name="Comma 5 21 4" xfId="23005"/>
    <cellStyle name="Comma 5 22" xfId="711"/>
    <cellStyle name="Comma 5 22 2" xfId="1058"/>
    <cellStyle name="Comma 5 22 3" xfId="22733"/>
    <cellStyle name="Comma 5 22 4" xfId="23021"/>
    <cellStyle name="Comma 5 23" xfId="739"/>
    <cellStyle name="Comma 5 23 2" xfId="1074"/>
    <cellStyle name="Comma 5 23 3" xfId="22734"/>
    <cellStyle name="Comma 5 23 4" xfId="23037"/>
    <cellStyle name="Comma 5 24" xfId="765"/>
    <cellStyle name="Comma 5 24 2" xfId="1090"/>
    <cellStyle name="Comma 5 24 3" xfId="22681"/>
    <cellStyle name="Comma 5 24 4" xfId="23053"/>
    <cellStyle name="Comma 5 25" xfId="790"/>
    <cellStyle name="Comma 5 25 2" xfId="1106"/>
    <cellStyle name="Comma 5 25 3" xfId="22706"/>
    <cellStyle name="Comma 5 25 4" xfId="23069"/>
    <cellStyle name="Comma 5 26" xfId="814"/>
    <cellStyle name="Comma 5 26 2" xfId="1122"/>
    <cellStyle name="Comma 5 26 3" xfId="22794"/>
    <cellStyle name="Comma 5 26 4" xfId="23085"/>
    <cellStyle name="Comma 5 27" xfId="830"/>
    <cellStyle name="Comma 5 27 2" xfId="1138"/>
    <cellStyle name="Comma 5 27 3" xfId="22698"/>
    <cellStyle name="Comma 5 27 4" xfId="23101"/>
    <cellStyle name="Comma 5 28" xfId="846"/>
    <cellStyle name="Comma 5 28 2" xfId="1154"/>
    <cellStyle name="Comma 5 28 3" xfId="22633"/>
    <cellStyle name="Comma 5 28 4" xfId="23117"/>
    <cellStyle name="Comma 5 29" xfId="873"/>
    <cellStyle name="Comma 5 3" xfId="321"/>
    <cellStyle name="Comma 5 3 10" xfId="22860"/>
    <cellStyle name="Comma 5 3 2" xfId="897"/>
    <cellStyle name="Comma 5 3 2 2" xfId="5496"/>
    <cellStyle name="Comma 5 3 2 2 2" xfId="7121"/>
    <cellStyle name="Comma 5 3 2 2 2 2" xfId="10207"/>
    <cellStyle name="Comma 5 3 2 2 2 2 2" xfId="16400"/>
    <cellStyle name="Comma 5 3 2 2 2 2 3" xfId="22552"/>
    <cellStyle name="Comma 5 3 2 2 2 3" xfId="13334"/>
    <cellStyle name="Comma 5 3 2 2 2 4" xfId="19486"/>
    <cellStyle name="Comma 5 3 2 2 3" xfId="8672"/>
    <cellStyle name="Comma 5 3 2 2 3 2" xfId="14866"/>
    <cellStyle name="Comma 5 3 2 2 3 3" xfId="21018"/>
    <cellStyle name="Comma 5 3 2 2 4" xfId="11800"/>
    <cellStyle name="Comma 5 3 2 2 5" xfId="17952"/>
    <cellStyle name="Comma 5 3 2 3" xfId="6352"/>
    <cellStyle name="Comma 5 3 2 3 2" xfId="9438"/>
    <cellStyle name="Comma 5 3 2 3 2 2" xfId="15631"/>
    <cellStyle name="Comma 5 3 2 3 2 3" xfId="21783"/>
    <cellStyle name="Comma 5 3 2 3 3" xfId="12565"/>
    <cellStyle name="Comma 5 3 2 3 4" xfId="18717"/>
    <cellStyle name="Comma 5 3 2 4" xfId="7903"/>
    <cellStyle name="Comma 5 3 2 4 2" xfId="14097"/>
    <cellStyle name="Comma 5 3 2 4 3" xfId="20249"/>
    <cellStyle name="Comma 5 3 2 5" xfId="11031"/>
    <cellStyle name="Comma 5 3 2 6" xfId="17183"/>
    <cellStyle name="Comma 5 3 2 7" xfId="4720"/>
    <cellStyle name="Comma 5 3 3" xfId="2274"/>
    <cellStyle name="Comma 5 3 4" xfId="4755"/>
    <cellStyle name="Comma 5 3 4 2" xfId="6380"/>
    <cellStyle name="Comma 5 3 4 2 2" xfId="9466"/>
    <cellStyle name="Comma 5 3 4 2 2 2" xfId="15659"/>
    <cellStyle name="Comma 5 3 4 2 2 3" xfId="21811"/>
    <cellStyle name="Comma 5 3 4 2 3" xfId="12593"/>
    <cellStyle name="Comma 5 3 4 2 4" xfId="18745"/>
    <cellStyle name="Comma 5 3 4 3" xfId="7931"/>
    <cellStyle name="Comma 5 3 4 3 2" xfId="14125"/>
    <cellStyle name="Comma 5 3 4 3 3" xfId="20277"/>
    <cellStyle name="Comma 5 3 4 4" xfId="11059"/>
    <cellStyle name="Comma 5 3 4 5" xfId="17211"/>
    <cellStyle name="Comma 5 3 5" xfId="5594"/>
    <cellStyle name="Comma 5 3 5 2" xfId="8697"/>
    <cellStyle name="Comma 5 3 5 2 2" xfId="14890"/>
    <cellStyle name="Comma 5 3 5 2 3" xfId="21042"/>
    <cellStyle name="Comma 5 3 5 3" xfId="11824"/>
    <cellStyle name="Comma 5 3 5 4" xfId="17976"/>
    <cellStyle name="Comma 5 3 6" xfId="7162"/>
    <cellStyle name="Comma 5 3 6 2" xfId="13356"/>
    <cellStyle name="Comma 5 3 6 3" xfId="19508"/>
    <cellStyle name="Comma 5 3 7" xfId="10290"/>
    <cellStyle name="Comma 5 3 8" xfId="16442"/>
    <cellStyle name="Comma 5 3 9" xfId="1308"/>
    <cellStyle name="Comma 5 30" xfId="1168"/>
    <cellStyle name="Comma 5 31" xfId="22836"/>
    <cellStyle name="Comma 5 32" xfId="219"/>
    <cellStyle name="Comma 5 4" xfId="336"/>
    <cellStyle name="Comma 5 4 2" xfId="900"/>
    <cellStyle name="Comma 5 4 3" xfId="2275"/>
    <cellStyle name="Comma 5 4 4" xfId="22608"/>
    <cellStyle name="Comma 5 4 5" xfId="22863"/>
    <cellStyle name="Comma 5 5" xfId="350"/>
    <cellStyle name="Comma 5 5 2" xfId="903"/>
    <cellStyle name="Comma 5 5 2 2" xfId="2277"/>
    <cellStyle name="Comma 5 5 3" xfId="2278"/>
    <cellStyle name="Comma 5 5 4" xfId="2276"/>
    <cellStyle name="Comma 5 5 5" xfId="22653"/>
    <cellStyle name="Comma 5 5 6" xfId="22866"/>
    <cellStyle name="Comma 5 6" xfId="366"/>
    <cellStyle name="Comma 5 6 2" xfId="906"/>
    <cellStyle name="Comma 5 6 3" xfId="2279"/>
    <cellStyle name="Comma 5 6 4" xfId="22811"/>
    <cellStyle name="Comma 5 6 5" xfId="22869"/>
    <cellStyle name="Comma 5 7" xfId="381"/>
    <cellStyle name="Comma 5 7 2" xfId="909"/>
    <cellStyle name="Comma 5 7 2 2" xfId="7113"/>
    <cellStyle name="Comma 5 7 2 2 2" xfId="10199"/>
    <cellStyle name="Comma 5 7 2 2 2 2" xfId="16392"/>
    <cellStyle name="Comma 5 7 2 2 2 3" xfId="22544"/>
    <cellStyle name="Comma 5 7 2 2 3" xfId="13326"/>
    <cellStyle name="Comma 5 7 2 2 4" xfId="19478"/>
    <cellStyle name="Comma 5 7 2 3" xfId="8664"/>
    <cellStyle name="Comma 5 7 2 3 2" xfId="14858"/>
    <cellStyle name="Comma 5 7 2 3 3" xfId="21010"/>
    <cellStyle name="Comma 5 7 2 4" xfId="11792"/>
    <cellStyle name="Comma 5 7 2 5" xfId="17944"/>
    <cellStyle name="Comma 5 7 2 6" xfId="5488"/>
    <cellStyle name="Comma 5 7 3" xfId="6344"/>
    <cellStyle name="Comma 5 7 3 2" xfId="9430"/>
    <cellStyle name="Comma 5 7 3 2 2" xfId="15623"/>
    <cellStyle name="Comma 5 7 3 2 3" xfId="21775"/>
    <cellStyle name="Comma 5 7 3 3" xfId="12557"/>
    <cellStyle name="Comma 5 7 3 4" xfId="18709"/>
    <cellStyle name="Comma 5 7 4" xfId="7895"/>
    <cellStyle name="Comma 5 7 4 2" xfId="14089"/>
    <cellStyle name="Comma 5 7 4 3" xfId="20241"/>
    <cellStyle name="Comma 5 7 5" xfId="11023"/>
    <cellStyle name="Comma 5 7 6" xfId="17175"/>
    <cellStyle name="Comma 5 7 7" xfId="4700"/>
    <cellStyle name="Comma 5 7 8" xfId="22872"/>
    <cellStyle name="Comma 5 8" xfId="397"/>
    <cellStyle name="Comma 5 8 2" xfId="912"/>
    <cellStyle name="Comma 5 8 3" xfId="2270"/>
    <cellStyle name="Comma 5 8 4" xfId="22715"/>
    <cellStyle name="Comma 5 8 5" xfId="22875"/>
    <cellStyle name="Comma 5 9" xfId="410"/>
    <cellStyle name="Comma 5 9 2" xfId="915"/>
    <cellStyle name="Comma 5 9 2 2" xfId="9455"/>
    <cellStyle name="Comma 5 9 2 2 2" xfId="15648"/>
    <cellStyle name="Comma 5 9 2 2 3" xfId="21800"/>
    <cellStyle name="Comma 5 9 2 3" xfId="12582"/>
    <cellStyle name="Comma 5 9 2 4" xfId="18734"/>
    <cellStyle name="Comma 5 9 2 5" xfId="6369"/>
    <cellStyle name="Comma 5 9 3" xfId="7920"/>
    <cellStyle name="Comma 5 9 3 2" xfId="14114"/>
    <cellStyle name="Comma 5 9 3 3" xfId="20266"/>
    <cellStyle name="Comma 5 9 4" xfId="11048"/>
    <cellStyle name="Comma 5 9 5" xfId="17200"/>
    <cellStyle name="Comma 5 9 6" xfId="4744"/>
    <cellStyle name="Comma 5 9 7" xfId="22878"/>
    <cellStyle name="Comma 50" xfId="2280"/>
    <cellStyle name="Comma 50 10" xfId="2281"/>
    <cellStyle name="Comma 50 10 2" xfId="2282"/>
    <cellStyle name="Comma 50 11" xfId="2283"/>
    <cellStyle name="Comma 50 11 2" xfId="2284"/>
    <cellStyle name="Comma 50 12" xfId="2285"/>
    <cellStyle name="Comma 50 2" xfId="2286"/>
    <cellStyle name="Comma 50 2 2" xfId="2287"/>
    <cellStyle name="Comma 50 2 2 2" xfId="2288"/>
    <cellStyle name="Comma 50 2 2 2 2" xfId="2289"/>
    <cellStyle name="Comma 50 2 2 3" xfId="2290"/>
    <cellStyle name="Comma 50 2 3" xfId="2291"/>
    <cellStyle name="Comma 50 2 3 2" xfId="2292"/>
    <cellStyle name="Comma 50 2 4" xfId="2293"/>
    <cellStyle name="Comma 50 2 4 2" xfId="2294"/>
    <cellStyle name="Comma 50 2 5" xfId="2295"/>
    <cellStyle name="Comma 50 3" xfId="2296"/>
    <cellStyle name="Comma 50 3 2" xfId="2297"/>
    <cellStyle name="Comma 50 3 2 2" xfId="2298"/>
    <cellStyle name="Comma 50 3 2 2 2" xfId="2299"/>
    <cellStyle name="Comma 50 3 2 3" xfId="2300"/>
    <cellStyle name="Comma 50 3 3" xfId="2301"/>
    <cellStyle name="Comma 50 3 3 2" xfId="2302"/>
    <cellStyle name="Comma 50 3 4" xfId="2303"/>
    <cellStyle name="Comma 50 3 4 2" xfId="2304"/>
    <cellStyle name="Comma 50 3 5" xfId="2305"/>
    <cellStyle name="Comma 50 4" xfId="2306"/>
    <cellStyle name="Comma 50 4 2" xfId="2307"/>
    <cellStyle name="Comma 50 4 2 2" xfId="2308"/>
    <cellStyle name="Comma 50 4 2 2 2" xfId="2309"/>
    <cellStyle name="Comma 50 4 2 3" xfId="2310"/>
    <cellStyle name="Comma 50 4 3" xfId="2311"/>
    <cellStyle name="Comma 50 4 3 2" xfId="2312"/>
    <cellStyle name="Comma 50 4 4" xfId="2313"/>
    <cellStyle name="Comma 50 4 4 2" xfId="2314"/>
    <cellStyle name="Comma 50 4 5" xfId="2315"/>
    <cellStyle name="Comma 50 5" xfId="2316"/>
    <cellStyle name="Comma 50 5 2" xfId="2317"/>
    <cellStyle name="Comma 50 5 2 2" xfId="2318"/>
    <cellStyle name="Comma 50 5 2 2 2" xfId="2319"/>
    <cellStyle name="Comma 50 5 2 3" xfId="2320"/>
    <cellStyle name="Comma 50 5 3" xfId="2321"/>
    <cellStyle name="Comma 50 5 3 2" xfId="2322"/>
    <cellStyle name="Comma 50 5 4" xfId="2323"/>
    <cellStyle name="Comma 50 5 4 2" xfId="2324"/>
    <cellStyle name="Comma 50 5 5" xfId="2325"/>
    <cellStyle name="Comma 50 6" xfId="2326"/>
    <cellStyle name="Comma 50 6 2" xfId="2327"/>
    <cellStyle name="Comma 50 6 2 2" xfId="2328"/>
    <cellStyle name="Comma 50 6 2 2 2" xfId="2329"/>
    <cellStyle name="Comma 50 6 2 3" xfId="2330"/>
    <cellStyle name="Comma 50 6 3" xfId="2331"/>
    <cellStyle name="Comma 50 6 3 2" xfId="2332"/>
    <cellStyle name="Comma 50 6 4" xfId="2333"/>
    <cellStyle name="Comma 50 6 4 2" xfId="2334"/>
    <cellStyle name="Comma 50 6 5" xfId="2335"/>
    <cellStyle name="Comma 50 7" xfId="2336"/>
    <cellStyle name="Comma 50 7 2" xfId="2337"/>
    <cellStyle name="Comma 50 7 2 2" xfId="2338"/>
    <cellStyle name="Comma 50 7 2 2 2" xfId="2339"/>
    <cellStyle name="Comma 50 7 2 3" xfId="2340"/>
    <cellStyle name="Comma 50 7 3" xfId="2341"/>
    <cellStyle name="Comma 50 7 3 2" xfId="2342"/>
    <cellStyle name="Comma 50 7 4" xfId="2343"/>
    <cellStyle name="Comma 50 8" xfId="2344"/>
    <cellStyle name="Comma 50 8 2" xfId="2345"/>
    <cellStyle name="Comma 50 8 2 2" xfId="2346"/>
    <cellStyle name="Comma 50 8 2 2 2" xfId="2347"/>
    <cellStyle name="Comma 50 8 2 3" xfId="2348"/>
    <cellStyle name="Comma 50 8 3" xfId="2349"/>
    <cellStyle name="Comma 50 8 3 2" xfId="2350"/>
    <cellStyle name="Comma 50 8 4" xfId="2351"/>
    <cellStyle name="Comma 50 9" xfId="2352"/>
    <cellStyle name="Comma 50 9 2" xfId="2353"/>
    <cellStyle name="Comma 50 9 2 2" xfId="2354"/>
    <cellStyle name="Comma 50 9 3" xfId="2355"/>
    <cellStyle name="Comma 51" xfId="2356"/>
    <cellStyle name="Comma 51 10" xfId="2357"/>
    <cellStyle name="Comma 51 10 2" xfId="2358"/>
    <cellStyle name="Comma 51 11" xfId="2359"/>
    <cellStyle name="Comma 51 11 2" xfId="2360"/>
    <cellStyle name="Comma 51 12" xfId="2361"/>
    <cellStyle name="Comma 51 2" xfId="2362"/>
    <cellStyle name="Comma 51 2 2" xfId="2363"/>
    <cellStyle name="Comma 51 2 2 2" xfId="2364"/>
    <cellStyle name="Comma 51 2 2 2 2" xfId="2365"/>
    <cellStyle name="Comma 51 2 2 3" xfId="2366"/>
    <cellStyle name="Comma 51 2 3" xfId="2367"/>
    <cellStyle name="Comma 51 2 3 2" xfId="2368"/>
    <cellStyle name="Comma 51 2 4" xfId="2369"/>
    <cellStyle name="Comma 51 2 4 2" xfId="2370"/>
    <cellStyle name="Comma 51 2 5" xfId="2371"/>
    <cellStyle name="Comma 51 3" xfId="2372"/>
    <cellStyle name="Comma 51 3 2" xfId="2373"/>
    <cellStyle name="Comma 51 3 2 2" xfId="2374"/>
    <cellStyle name="Comma 51 3 2 2 2" xfId="2375"/>
    <cellStyle name="Comma 51 3 2 3" xfId="2376"/>
    <cellStyle name="Comma 51 3 3" xfId="2377"/>
    <cellStyle name="Comma 51 3 3 2" xfId="2378"/>
    <cellStyle name="Comma 51 3 4" xfId="2379"/>
    <cellStyle name="Comma 51 3 4 2" xfId="2380"/>
    <cellStyle name="Comma 51 3 5" xfId="2381"/>
    <cellStyle name="Comma 51 4" xfId="2382"/>
    <cellStyle name="Comma 51 4 2" xfId="2383"/>
    <cellStyle name="Comma 51 4 2 2" xfId="2384"/>
    <cellStyle name="Comma 51 4 2 2 2" xfId="2385"/>
    <cellStyle name="Comma 51 4 2 3" xfId="2386"/>
    <cellStyle name="Comma 51 4 3" xfId="2387"/>
    <cellStyle name="Comma 51 4 3 2" xfId="2388"/>
    <cellStyle name="Comma 51 4 4" xfId="2389"/>
    <cellStyle name="Comma 51 4 4 2" xfId="2390"/>
    <cellStyle name="Comma 51 4 5" xfId="2391"/>
    <cellStyle name="Comma 51 5" xfId="2392"/>
    <cellStyle name="Comma 51 5 2" xfId="2393"/>
    <cellStyle name="Comma 51 5 2 2" xfId="2394"/>
    <cellStyle name="Comma 51 5 2 2 2" xfId="2395"/>
    <cellStyle name="Comma 51 5 2 3" xfId="2396"/>
    <cellStyle name="Comma 51 5 3" xfId="2397"/>
    <cellStyle name="Comma 51 5 3 2" xfId="2398"/>
    <cellStyle name="Comma 51 5 4" xfId="2399"/>
    <cellStyle name="Comma 51 5 4 2" xfId="2400"/>
    <cellStyle name="Comma 51 5 5" xfId="2401"/>
    <cellStyle name="Comma 51 6" xfId="2402"/>
    <cellStyle name="Comma 51 6 2" xfId="2403"/>
    <cellStyle name="Comma 51 6 2 2" xfId="2404"/>
    <cellStyle name="Comma 51 6 2 2 2" xfId="2405"/>
    <cellStyle name="Comma 51 6 2 3" xfId="2406"/>
    <cellStyle name="Comma 51 6 3" xfId="2407"/>
    <cellStyle name="Comma 51 6 3 2" xfId="2408"/>
    <cellStyle name="Comma 51 6 4" xfId="2409"/>
    <cellStyle name="Comma 51 6 4 2" xfId="2410"/>
    <cellStyle name="Comma 51 6 5" xfId="2411"/>
    <cellStyle name="Comma 51 7" xfId="2412"/>
    <cellStyle name="Comma 51 7 2" xfId="2413"/>
    <cellStyle name="Comma 51 7 2 2" xfId="2414"/>
    <cellStyle name="Comma 51 7 2 2 2" xfId="2415"/>
    <cellStyle name="Comma 51 7 2 3" xfId="2416"/>
    <cellStyle name="Comma 51 7 3" xfId="2417"/>
    <cellStyle name="Comma 51 7 3 2" xfId="2418"/>
    <cellStyle name="Comma 51 7 4" xfId="2419"/>
    <cellStyle name="Comma 51 8" xfId="2420"/>
    <cellStyle name="Comma 51 8 2" xfId="2421"/>
    <cellStyle name="Comma 51 8 2 2" xfId="2422"/>
    <cellStyle name="Comma 51 8 2 2 2" xfId="2423"/>
    <cellStyle name="Comma 51 8 2 3" xfId="2424"/>
    <cellStyle name="Comma 51 8 3" xfId="2425"/>
    <cellStyle name="Comma 51 8 3 2" xfId="2426"/>
    <cellStyle name="Comma 51 8 4" xfId="2427"/>
    <cellStyle name="Comma 51 9" xfId="2428"/>
    <cellStyle name="Comma 51 9 2" xfId="2429"/>
    <cellStyle name="Comma 51 9 2 2" xfId="2430"/>
    <cellStyle name="Comma 51 9 3" xfId="2431"/>
    <cellStyle name="Comma 52" xfId="2432"/>
    <cellStyle name="Comma 52 10" xfId="2433"/>
    <cellStyle name="Comma 52 10 2" xfId="2434"/>
    <cellStyle name="Comma 52 11" xfId="2435"/>
    <cellStyle name="Comma 52 11 2" xfId="2436"/>
    <cellStyle name="Comma 52 12" xfId="2437"/>
    <cellStyle name="Comma 52 2" xfId="2438"/>
    <cellStyle name="Comma 52 2 2" xfId="2439"/>
    <cellStyle name="Comma 52 2 2 2" xfId="2440"/>
    <cellStyle name="Comma 52 2 2 2 2" xfId="2441"/>
    <cellStyle name="Comma 52 2 2 3" xfId="2442"/>
    <cellStyle name="Comma 52 2 3" xfId="2443"/>
    <cellStyle name="Comma 52 2 3 2" xfId="2444"/>
    <cellStyle name="Comma 52 2 4" xfId="2445"/>
    <cellStyle name="Comma 52 2 4 2" xfId="2446"/>
    <cellStyle name="Comma 52 2 5" xfId="2447"/>
    <cellStyle name="Comma 52 3" xfId="2448"/>
    <cellStyle name="Comma 52 3 2" xfId="2449"/>
    <cellStyle name="Comma 52 3 2 2" xfId="2450"/>
    <cellStyle name="Comma 52 3 2 2 2" xfId="2451"/>
    <cellStyle name="Comma 52 3 2 3" xfId="2452"/>
    <cellStyle name="Comma 52 3 3" xfId="2453"/>
    <cellStyle name="Comma 52 3 3 2" xfId="2454"/>
    <cellStyle name="Comma 52 3 4" xfId="2455"/>
    <cellStyle name="Comma 52 3 4 2" xfId="2456"/>
    <cellStyle name="Comma 52 3 5" xfId="2457"/>
    <cellStyle name="Comma 52 4" xfId="2458"/>
    <cellStyle name="Comma 52 4 2" xfId="2459"/>
    <cellStyle name="Comma 52 4 2 2" xfId="2460"/>
    <cellStyle name="Comma 52 4 2 2 2" xfId="2461"/>
    <cellStyle name="Comma 52 4 2 3" xfId="2462"/>
    <cellStyle name="Comma 52 4 3" xfId="2463"/>
    <cellStyle name="Comma 52 4 3 2" xfId="2464"/>
    <cellStyle name="Comma 52 4 4" xfId="2465"/>
    <cellStyle name="Comma 52 4 4 2" xfId="2466"/>
    <cellStyle name="Comma 52 4 5" xfId="2467"/>
    <cellStyle name="Comma 52 5" xfId="2468"/>
    <cellStyle name="Comma 52 5 2" xfId="2469"/>
    <cellStyle name="Comma 52 5 2 2" xfId="2470"/>
    <cellStyle name="Comma 52 5 2 2 2" xfId="2471"/>
    <cellStyle name="Comma 52 5 2 3" xfId="2472"/>
    <cellStyle name="Comma 52 5 3" xfId="2473"/>
    <cellStyle name="Comma 52 5 3 2" xfId="2474"/>
    <cellStyle name="Comma 52 5 4" xfId="2475"/>
    <cellStyle name="Comma 52 5 4 2" xfId="2476"/>
    <cellStyle name="Comma 52 5 5" xfId="2477"/>
    <cellStyle name="Comma 52 6" xfId="2478"/>
    <cellStyle name="Comma 52 6 2" xfId="2479"/>
    <cellStyle name="Comma 52 6 2 2" xfId="2480"/>
    <cellStyle name="Comma 52 6 2 2 2" xfId="2481"/>
    <cellStyle name="Comma 52 6 2 3" xfId="2482"/>
    <cellStyle name="Comma 52 6 3" xfId="2483"/>
    <cellStyle name="Comma 52 6 3 2" xfId="2484"/>
    <cellStyle name="Comma 52 6 4" xfId="2485"/>
    <cellStyle name="Comma 52 6 4 2" xfId="2486"/>
    <cellStyle name="Comma 52 6 5" xfId="2487"/>
    <cellStyle name="Comma 52 7" xfId="2488"/>
    <cellStyle name="Comma 52 7 2" xfId="2489"/>
    <cellStyle name="Comma 52 7 2 2" xfId="2490"/>
    <cellStyle name="Comma 52 7 2 2 2" xfId="2491"/>
    <cellStyle name="Comma 52 7 2 3" xfId="2492"/>
    <cellStyle name="Comma 52 7 3" xfId="2493"/>
    <cellStyle name="Comma 52 7 3 2" xfId="2494"/>
    <cellStyle name="Comma 52 7 4" xfId="2495"/>
    <cellStyle name="Comma 52 8" xfId="2496"/>
    <cellStyle name="Comma 52 8 2" xfId="2497"/>
    <cellStyle name="Comma 52 8 2 2" xfId="2498"/>
    <cellStyle name="Comma 52 8 2 2 2" xfId="2499"/>
    <cellStyle name="Comma 52 8 2 3" xfId="2500"/>
    <cellStyle name="Comma 52 8 3" xfId="2501"/>
    <cellStyle name="Comma 52 8 3 2" xfId="2502"/>
    <cellStyle name="Comma 52 8 4" xfId="2503"/>
    <cellStyle name="Comma 52 9" xfId="2504"/>
    <cellStyle name="Comma 52 9 2" xfId="2505"/>
    <cellStyle name="Comma 52 9 2 2" xfId="2506"/>
    <cellStyle name="Comma 52 9 3" xfId="2507"/>
    <cellStyle name="Comma 53" xfId="2508"/>
    <cellStyle name="Comma 53 10" xfId="2509"/>
    <cellStyle name="Comma 53 10 2" xfId="2510"/>
    <cellStyle name="Comma 53 11" xfId="2511"/>
    <cellStyle name="Comma 53 11 2" xfId="2512"/>
    <cellStyle name="Comma 53 12" xfId="2513"/>
    <cellStyle name="Comma 53 2" xfId="2514"/>
    <cellStyle name="Comma 53 2 2" xfId="2515"/>
    <cellStyle name="Comma 53 2 2 2" xfId="2516"/>
    <cellStyle name="Comma 53 2 2 2 2" xfId="2517"/>
    <cellStyle name="Comma 53 2 2 3" xfId="2518"/>
    <cellStyle name="Comma 53 2 3" xfId="2519"/>
    <cellStyle name="Comma 53 2 3 2" xfId="2520"/>
    <cellStyle name="Comma 53 2 4" xfId="2521"/>
    <cellStyle name="Comma 53 2 4 2" xfId="2522"/>
    <cellStyle name="Comma 53 2 5" xfId="2523"/>
    <cellStyle name="Comma 53 3" xfId="2524"/>
    <cellStyle name="Comma 53 3 2" xfId="2525"/>
    <cellStyle name="Comma 53 3 2 2" xfId="2526"/>
    <cellStyle name="Comma 53 3 2 2 2" xfId="2527"/>
    <cellStyle name="Comma 53 3 2 3" xfId="2528"/>
    <cellStyle name="Comma 53 3 3" xfId="2529"/>
    <cellStyle name="Comma 53 3 3 2" xfId="2530"/>
    <cellStyle name="Comma 53 3 4" xfId="2531"/>
    <cellStyle name="Comma 53 3 4 2" xfId="2532"/>
    <cellStyle name="Comma 53 3 5" xfId="2533"/>
    <cellStyle name="Comma 53 4" xfId="2534"/>
    <cellStyle name="Comma 53 4 2" xfId="2535"/>
    <cellStyle name="Comma 53 4 2 2" xfId="2536"/>
    <cellStyle name="Comma 53 4 2 2 2" xfId="2537"/>
    <cellStyle name="Comma 53 4 2 3" xfId="2538"/>
    <cellStyle name="Comma 53 4 3" xfId="2539"/>
    <cellStyle name="Comma 53 4 3 2" xfId="2540"/>
    <cellStyle name="Comma 53 4 4" xfId="2541"/>
    <cellStyle name="Comma 53 4 4 2" xfId="2542"/>
    <cellStyle name="Comma 53 4 5" xfId="2543"/>
    <cellStyle name="Comma 53 5" xfId="2544"/>
    <cellStyle name="Comma 53 5 2" xfId="2545"/>
    <cellStyle name="Comma 53 5 2 2" xfId="2546"/>
    <cellStyle name="Comma 53 5 2 2 2" xfId="2547"/>
    <cellStyle name="Comma 53 5 2 3" xfId="2548"/>
    <cellStyle name="Comma 53 5 3" xfId="2549"/>
    <cellStyle name="Comma 53 5 3 2" xfId="2550"/>
    <cellStyle name="Comma 53 5 4" xfId="2551"/>
    <cellStyle name="Comma 53 5 4 2" xfId="2552"/>
    <cellStyle name="Comma 53 5 5" xfId="2553"/>
    <cellStyle name="Comma 53 6" xfId="2554"/>
    <cellStyle name="Comma 53 6 2" xfId="2555"/>
    <cellStyle name="Comma 53 6 2 2" xfId="2556"/>
    <cellStyle name="Comma 53 6 2 2 2" xfId="2557"/>
    <cellStyle name="Comma 53 6 2 3" xfId="2558"/>
    <cellStyle name="Comma 53 6 3" xfId="2559"/>
    <cellStyle name="Comma 53 6 3 2" xfId="2560"/>
    <cellStyle name="Comma 53 6 4" xfId="2561"/>
    <cellStyle name="Comma 53 6 4 2" xfId="2562"/>
    <cellStyle name="Comma 53 6 5" xfId="2563"/>
    <cellStyle name="Comma 53 7" xfId="2564"/>
    <cellStyle name="Comma 53 7 2" xfId="2565"/>
    <cellStyle name="Comma 53 7 2 2" xfId="2566"/>
    <cellStyle name="Comma 53 7 2 2 2" xfId="2567"/>
    <cellStyle name="Comma 53 7 2 3" xfId="2568"/>
    <cellStyle name="Comma 53 7 3" xfId="2569"/>
    <cellStyle name="Comma 53 7 3 2" xfId="2570"/>
    <cellStyle name="Comma 53 7 4" xfId="2571"/>
    <cellStyle name="Comma 53 8" xfId="2572"/>
    <cellStyle name="Comma 53 8 2" xfId="2573"/>
    <cellStyle name="Comma 53 8 2 2" xfId="2574"/>
    <cellStyle name="Comma 53 8 2 2 2" xfId="2575"/>
    <cellStyle name="Comma 53 8 2 3" xfId="2576"/>
    <cellStyle name="Comma 53 8 3" xfId="2577"/>
    <cellStyle name="Comma 53 8 3 2" xfId="2578"/>
    <cellStyle name="Comma 53 8 4" xfId="2579"/>
    <cellStyle name="Comma 53 9" xfId="2580"/>
    <cellStyle name="Comma 53 9 2" xfId="2581"/>
    <cellStyle name="Comma 53 9 2 2" xfId="2582"/>
    <cellStyle name="Comma 53 9 3" xfId="2583"/>
    <cellStyle name="Comma 54" xfId="2584"/>
    <cellStyle name="Comma 54 10" xfId="2585"/>
    <cellStyle name="Comma 54 10 2" xfId="2586"/>
    <cellStyle name="Comma 54 11" xfId="2587"/>
    <cellStyle name="Comma 54 11 2" xfId="2588"/>
    <cellStyle name="Comma 54 12" xfId="2589"/>
    <cellStyle name="Comma 54 2" xfId="2590"/>
    <cellStyle name="Comma 54 2 2" xfId="2591"/>
    <cellStyle name="Comma 54 2 2 2" xfId="2592"/>
    <cellStyle name="Comma 54 2 2 2 2" xfId="2593"/>
    <cellStyle name="Comma 54 2 2 3" xfId="2594"/>
    <cellStyle name="Comma 54 2 3" xfId="2595"/>
    <cellStyle name="Comma 54 2 3 2" xfId="2596"/>
    <cellStyle name="Comma 54 2 4" xfId="2597"/>
    <cellStyle name="Comma 54 2 4 2" xfId="2598"/>
    <cellStyle name="Comma 54 2 5" xfId="2599"/>
    <cellStyle name="Comma 54 3" xfId="2600"/>
    <cellStyle name="Comma 54 3 2" xfId="2601"/>
    <cellStyle name="Comma 54 3 2 2" xfId="2602"/>
    <cellStyle name="Comma 54 3 2 2 2" xfId="2603"/>
    <cellStyle name="Comma 54 3 2 3" xfId="2604"/>
    <cellStyle name="Comma 54 3 3" xfId="2605"/>
    <cellStyle name="Comma 54 3 3 2" xfId="2606"/>
    <cellStyle name="Comma 54 3 4" xfId="2607"/>
    <cellStyle name="Comma 54 3 4 2" xfId="2608"/>
    <cellStyle name="Comma 54 3 5" xfId="2609"/>
    <cellStyle name="Comma 54 4" xfId="2610"/>
    <cellStyle name="Comma 54 4 2" xfId="2611"/>
    <cellStyle name="Comma 54 4 2 2" xfId="2612"/>
    <cellStyle name="Comma 54 4 2 2 2" xfId="2613"/>
    <cellStyle name="Comma 54 4 2 3" xfId="2614"/>
    <cellStyle name="Comma 54 4 3" xfId="2615"/>
    <cellStyle name="Comma 54 4 3 2" xfId="2616"/>
    <cellStyle name="Comma 54 4 4" xfId="2617"/>
    <cellStyle name="Comma 54 4 4 2" xfId="2618"/>
    <cellStyle name="Comma 54 4 5" xfId="2619"/>
    <cellStyle name="Comma 54 5" xfId="2620"/>
    <cellStyle name="Comma 54 5 2" xfId="2621"/>
    <cellStyle name="Comma 54 5 2 2" xfId="2622"/>
    <cellStyle name="Comma 54 5 2 2 2" xfId="2623"/>
    <cellStyle name="Comma 54 5 2 3" xfId="2624"/>
    <cellStyle name="Comma 54 5 3" xfId="2625"/>
    <cellStyle name="Comma 54 5 3 2" xfId="2626"/>
    <cellStyle name="Comma 54 5 4" xfId="2627"/>
    <cellStyle name="Comma 54 5 4 2" xfId="2628"/>
    <cellStyle name="Comma 54 5 5" xfId="2629"/>
    <cellStyle name="Comma 54 6" xfId="2630"/>
    <cellStyle name="Comma 54 6 2" xfId="2631"/>
    <cellStyle name="Comma 54 6 2 2" xfId="2632"/>
    <cellStyle name="Comma 54 6 2 2 2" xfId="2633"/>
    <cellStyle name="Comma 54 6 2 3" xfId="2634"/>
    <cellStyle name="Comma 54 6 3" xfId="2635"/>
    <cellStyle name="Comma 54 6 3 2" xfId="2636"/>
    <cellStyle name="Comma 54 6 4" xfId="2637"/>
    <cellStyle name="Comma 54 6 4 2" xfId="2638"/>
    <cellStyle name="Comma 54 6 5" xfId="2639"/>
    <cellStyle name="Comma 54 7" xfId="2640"/>
    <cellStyle name="Comma 54 7 2" xfId="2641"/>
    <cellStyle name="Comma 54 7 2 2" xfId="2642"/>
    <cellStyle name="Comma 54 7 2 2 2" xfId="2643"/>
    <cellStyle name="Comma 54 7 2 3" xfId="2644"/>
    <cellStyle name="Comma 54 7 3" xfId="2645"/>
    <cellStyle name="Comma 54 7 3 2" xfId="2646"/>
    <cellStyle name="Comma 54 7 4" xfId="2647"/>
    <cellStyle name="Comma 54 8" xfId="2648"/>
    <cellStyle name="Comma 54 8 2" xfId="2649"/>
    <cellStyle name="Comma 54 8 2 2" xfId="2650"/>
    <cellStyle name="Comma 54 8 2 2 2" xfId="2651"/>
    <cellStyle name="Comma 54 8 2 3" xfId="2652"/>
    <cellStyle name="Comma 54 8 3" xfId="2653"/>
    <cellStyle name="Comma 54 8 3 2" xfId="2654"/>
    <cellStyle name="Comma 54 8 4" xfId="2655"/>
    <cellStyle name="Comma 54 9" xfId="2656"/>
    <cellStyle name="Comma 54 9 2" xfId="2657"/>
    <cellStyle name="Comma 54 9 2 2" xfId="2658"/>
    <cellStyle name="Comma 54 9 3" xfId="2659"/>
    <cellStyle name="Comma 55" xfId="2660"/>
    <cellStyle name="Comma 55 10" xfId="2661"/>
    <cellStyle name="Comma 55 10 2" xfId="2662"/>
    <cellStyle name="Comma 55 11" xfId="2663"/>
    <cellStyle name="Comma 55 11 2" xfId="2664"/>
    <cellStyle name="Comma 55 12" xfId="2665"/>
    <cellStyle name="Comma 55 2" xfId="2666"/>
    <cellStyle name="Comma 55 2 2" xfId="2667"/>
    <cellStyle name="Comma 55 2 2 2" xfId="2668"/>
    <cellStyle name="Comma 55 2 2 2 2" xfId="2669"/>
    <cellStyle name="Comma 55 2 2 3" xfId="2670"/>
    <cellStyle name="Comma 55 2 3" xfId="2671"/>
    <cellStyle name="Comma 55 2 3 2" xfId="2672"/>
    <cellStyle name="Comma 55 2 4" xfId="2673"/>
    <cellStyle name="Comma 55 2 4 2" xfId="2674"/>
    <cellStyle name="Comma 55 2 5" xfId="2675"/>
    <cellStyle name="Comma 55 3" xfId="2676"/>
    <cellStyle name="Comma 55 3 2" xfId="2677"/>
    <cellStyle name="Comma 55 3 2 2" xfId="2678"/>
    <cellStyle name="Comma 55 3 2 2 2" xfId="2679"/>
    <cellStyle name="Comma 55 3 2 3" xfId="2680"/>
    <cellStyle name="Comma 55 3 3" xfId="2681"/>
    <cellStyle name="Comma 55 3 3 2" xfId="2682"/>
    <cellStyle name="Comma 55 3 4" xfId="2683"/>
    <cellStyle name="Comma 55 3 4 2" xfId="2684"/>
    <cellStyle name="Comma 55 3 5" xfId="2685"/>
    <cellStyle name="Comma 55 4" xfId="2686"/>
    <cellStyle name="Comma 55 4 2" xfId="2687"/>
    <cellStyle name="Comma 55 4 2 2" xfId="2688"/>
    <cellStyle name="Comma 55 4 2 2 2" xfId="2689"/>
    <cellStyle name="Comma 55 4 2 3" xfId="2690"/>
    <cellStyle name="Comma 55 4 3" xfId="2691"/>
    <cellStyle name="Comma 55 4 3 2" xfId="2692"/>
    <cellStyle name="Comma 55 4 4" xfId="2693"/>
    <cellStyle name="Comma 55 4 4 2" xfId="2694"/>
    <cellStyle name="Comma 55 4 5" xfId="2695"/>
    <cellStyle name="Comma 55 5" xfId="2696"/>
    <cellStyle name="Comma 55 5 2" xfId="2697"/>
    <cellStyle name="Comma 55 5 2 2" xfId="2698"/>
    <cellStyle name="Comma 55 5 2 2 2" xfId="2699"/>
    <cellStyle name="Comma 55 5 2 3" xfId="2700"/>
    <cellStyle name="Comma 55 5 3" xfId="2701"/>
    <cellStyle name="Comma 55 5 3 2" xfId="2702"/>
    <cellStyle name="Comma 55 5 4" xfId="2703"/>
    <cellStyle name="Comma 55 5 4 2" xfId="2704"/>
    <cellStyle name="Comma 55 5 5" xfId="2705"/>
    <cellStyle name="Comma 55 6" xfId="2706"/>
    <cellStyle name="Comma 55 6 2" xfId="2707"/>
    <cellStyle name="Comma 55 6 2 2" xfId="2708"/>
    <cellStyle name="Comma 55 6 2 2 2" xfId="2709"/>
    <cellStyle name="Comma 55 6 2 3" xfId="2710"/>
    <cellStyle name="Comma 55 6 3" xfId="2711"/>
    <cellStyle name="Comma 55 6 3 2" xfId="2712"/>
    <cellStyle name="Comma 55 6 4" xfId="2713"/>
    <cellStyle name="Comma 55 6 4 2" xfId="2714"/>
    <cellStyle name="Comma 55 6 5" xfId="2715"/>
    <cellStyle name="Comma 55 7" xfId="2716"/>
    <cellStyle name="Comma 55 7 2" xfId="2717"/>
    <cellStyle name="Comma 55 7 2 2" xfId="2718"/>
    <cellStyle name="Comma 55 7 2 2 2" xfId="2719"/>
    <cellStyle name="Comma 55 7 2 3" xfId="2720"/>
    <cellStyle name="Comma 55 7 3" xfId="2721"/>
    <cellStyle name="Comma 55 7 3 2" xfId="2722"/>
    <cellStyle name="Comma 55 7 4" xfId="2723"/>
    <cellStyle name="Comma 55 8" xfId="2724"/>
    <cellStyle name="Comma 55 8 2" xfId="2725"/>
    <cellStyle name="Comma 55 8 2 2" xfId="2726"/>
    <cellStyle name="Comma 55 8 2 2 2" xfId="2727"/>
    <cellStyle name="Comma 55 8 2 3" xfId="2728"/>
    <cellStyle name="Comma 55 8 3" xfId="2729"/>
    <cellStyle name="Comma 55 8 3 2" xfId="2730"/>
    <cellStyle name="Comma 55 8 4" xfId="2731"/>
    <cellStyle name="Comma 55 9" xfId="2732"/>
    <cellStyle name="Comma 55 9 2" xfId="2733"/>
    <cellStyle name="Comma 55 9 2 2" xfId="2734"/>
    <cellStyle name="Comma 55 9 3" xfId="2735"/>
    <cellStyle name="Comma 56" xfId="2736"/>
    <cellStyle name="Comma 56 10" xfId="2737"/>
    <cellStyle name="Comma 56 10 2" xfId="2738"/>
    <cellStyle name="Comma 56 11" xfId="2739"/>
    <cellStyle name="Comma 56 11 2" xfId="2740"/>
    <cellStyle name="Comma 56 12" xfId="2741"/>
    <cellStyle name="Comma 56 2" xfId="2742"/>
    <cellStyle name="Comma 56 2 2" xfId="2743"/>
    <cellStyle name="Comma 56 2 2 2" xfId="2744"/>
    <cellStyle name="Comma 56 2 2 2 2" xfId="2745"/>
    <cellStyle name="Comma 56 2 2 3" xfId="2746"/>
    <cellStyle name="Comma 56 2 3" xfId="2747"/>
    <cellStyle name="Comma 56 2 3 2" xfId="2748"/>
    <cellStyle name="Comma 56 2 4" xfId="2749"/>
    <cellStyle name="Comma 56 2 4 2" xfId="2750"/>
    <cellStyle name="Comma 56 2 5" xfId="2751"/>
    <cellStyle name="Comma 56 3" xfId="2752"/>
    <cellStyle name="Comma 56 3 2" xfId="2753"/>
    <cellStyle name="Comma 56 3 2 2" xfId="2754"/>
    <cellStyle name="Comma 56 3 2 2 2" xfId="2755"/>
    <cellStyle name="Comma 56 3 2 3" xfId="2756"/>
    <cellStyle name="Comma 56 3 3" xfId="2757"/>
    <cellStyle name="Comma 56 3 3 2" xfId="2758"/>
    <cellStyle name="Comma 56 3 4" xfId="2759"/>
    <cellStyle name="Comma 56 3 4 2" xfId="2760"/>
    <cellStyle name="Comma 56 3 5" xfId="2761"/>
    <cellStyle name="Comma 56 4" xfId="2762"/>
    <cellStyle name="Comma 56 4 2" xfId="2763"/>
    <cellStyle name="Comma 56 4 2 2" xfId="2764"/>
    <cellStyle name="Comma 56 4 2 2 2" xfId="2765"/>
    <cellStyle name="Comma 56 4 2 3" xfId="2766"/>
    <cellStyle name="Comma 56 4 3" xfId="2767"/>
    <cellStyle name="Comma 56 4 3 2" xfId="2768"/>
    <cellStyle name="Comma 56 4 4" xfId="2769"/>
    <cellStyle name="Comma 56 4 4 2" xfId="2770"/>
    <cellStyle name="Comma 56 4 5" xfId="2771"/>
    <cellStyle name="Comma 56 5" xfId="2772"/>
    <cellStyle name="Comma 56 5 2" xfId="2773"/>
    <cellStyle name="Comma 56 5 2 2" xfId="2774"/>
    <cellStyle name="Comma 56 5 2 2 2" xfId="2775"/>
    <cellStyle name="Comma 56 5 2 3" xfId="2776"/>
    <cellStyle name="Comma 56 5 3" xfId="2777"/>
    <cellStyle name="Comma 56 5 3 2" xfId="2778"/>
    <cellStyle name="Comma 56 5 4" xfId="2779"/>
    <cellStyle name="Comma 56 5 4 2" xfId="2780"/>
    <cellStyle name="Comma 56 5 5" xfId="2781"/>
    <cellStyle name="Comma 56 6" xfId="2782"/>
    <cellStyle name="Comma 56 6 2" xfId="2783"/>
    <cellStyle name="Comma 56 6 2 2" xfId="2784"/>
    <cellStyle name="Comma 56 6 2 2 2" xfId="2785"/>
    <cellStyle name="Comma 56 6 2 3" xfId="2786"/>
    <cellStyle name="Comma 56 6 3" xfId="2787"/>
    <cellStyle name="Comma 56 6 3 2" xfId="2788"/>
    <cellStyle name="Comma 56 6 4" xfId="2789"/>
    <cellStyle name="Comma 56 6 4 2" xfId="2790"/>
    <cellStyle name="Comma 56 6 5" xfId="2791"/>
    <cellStyle name="Comma 56 7" xfId="2792"/>
    <cellStyle name="Comma 56 7 2" xfId="2793"/>
    <cellStyle name="Comma 56 7 2 2" xfId="2794"/>
    <cellStyle name="Comma 56 7 2 2 2" xfId="2795"/>
    <cellStyle name="Comma 56 7 2 3" xfId="2796"/>
    <cellStyle name="Comma 56 7 3" xfId="2797"/>
    <cellStyle name="Comma 56 7 3 2" xfId="2798"/>
    <cellStyle name="Comma 56 7 4" xfId="2799"/>
    <cellStyle name="Comma 56 8" xfId="2800"/>
    <cellStyle name="Comma 56 8 2" xfId="2801"/>
    <cellStyle name="Comma 56 8 2 2" xfId="2802"/>
    <cellStyle name="Comma 56 8 2 2 2" xfId="2803"/>
    <cellStyle name="Comma 56 8 2 3" xfId="2804"/>
    <cellStyle name="Comma 56 8 3" xfId="2805"/>
    <cellStyle name="Comma 56 8 3 2" xfId="2806"/>
    <cellStyle name="Comma 56 8 4" xfId="2807"/>
    <cellStyle name="Comma 56 9" xfId="2808"/>
    <cellStyle name="Comma 56 9 2" xfId="2809"/>
    <cellStyle name="Comma 56 9 2 2" xfId="2810"/>
    <cellStyle name="Comma 56 9 3" xfId="2811"/>
    <cellStyle name="Comma 57" xfId="2812"/>
    <cellStyle name="Comma 57 10" xfId="2813"/>
    <cellStyle name="Comma 57 10 2" xfId="2814"/>
    <cellStyle name="Comma 57 11" xfId="2815"/>
    <cellStyle name="Comma 57 11 2" xfId="2816"/>
    <cellStyle name="Comma 57 12" xfId="2817"/>
    <cellStyle name="Comma 57 2" xfId="2818"/>
    <cellStyle name="Comma 57 2 2" xfId="2819"/>
    <cellStyle name="Comma 57 2 2 2" xfId="2820"/>
    <cellStyle name="Comma 57 2 2 2 2" xfId="2821"/>
    <cellStyle name="Comma 57 2 2 3" xfId="2822"/>
    <cellStyle name="Comma 57 2 3" xfId="2823"/>
    <cellStyle name="Comma 57 2 3 2" xfId="2824"/>
    <cellStyle name="Comma 57 2 4" xfId="2825"/>
    <cellStyle name="Comma 57 2 4 2" xfId="2826"/>
    <cellStyle name="Comma 57 2 5" xfId="2827"/>
    <cellStyle name="Comma 57 3" xfId="2828"/>
    <cellStyle name="Comma 57 3 2" xfId="2829"/>
    <cellStyle name="Comma 57 3 2 2" xfId="2830"/>
    <cellStyle name="Comma 57 3 2 2 2" xfId="2831"/>
    <cellStyle name="Comma 57 3 2 3" xfId="2832"/>
    <cellStyle name="Comma 57 3 3" xfId="2833"/>
    <cellStyle name="Comma 57 3 3 2" xfId="2834"/>
    <cellStyle name="Comma 57 3 4" xfId="2835"/>
    <cellStyle name="Comma 57 3 4 2" xfId="2836"/>
    <cellStyle name="Comma 57 3 5" xfId="2837"/>
    <cellStyle name="Comma 57 4" xfId="2838"/>
    <cellStyle name="Comma 57 4 2" xfId="2839"/>
    <cellStyle name="Comma 57 4 2 2" xfId="2840"/>
    <cellStyle name="Comma 57 4 2 2 2" xfId="2841"/>
    <cellStyle name="Comma 57 4 2 3" xfId="2842"/>
    <cellStyle name="Comma 57 4 3" xfId="2843"/>
    <cellStyle name="Comma 57 4 3 2" xfId="2844"/>
    <cellStyle name="Comma 57 4 4" xfId="2845"/>
    <cellStyle name="Comma 57 4 4 2" xfId="2846"/>
    <cellStyle name="Comma 57 4 5" xfId="2847"/>
    <cellStyle name="Comma 57 5" xfId="2848"/>
    <cellStyle name="Comma 57 5 2" xfId="2849"/>
    <cellStyle name="Comma 57 5 2 2" xfId="2850"/>
    <cellStyle name="Comma 57 5 2 2 2" xfId="2851"/>
    <cellStyle name="Comma 57 5 2 3" xfId="2852"/>
    <cellStyle name="Comma 57 5 3" xfId="2853"/>
    <cellStyle name="Comma 57 5 3 2" xfId="2854"/>
    <cellStyle name="Comma 57 5 4" xfId="2855"/>
    <cellStyle name="Comma 57 5 4 2" xfId="2856"/>
    <cellStyle name="Comma 57 5 5" xfId="2857"/>
    <cellStyle name="Comma 57 6" xfId="2858"/>
    <cellStyle name="Comma 57 6 2" xfId="2859"/>
    <cellStyle name="Comma 57 6 2 2" xfId="2860"/>
    <cellStyle name="Comma 57 6 2 2 2" xfId="2861"/>
    <cellStyle name="Comma 57 6 2 3" xfId="2862"/>
    <cellStyle name="Comma 57 6 3" xfId="2863"/>
    <cellStyle name="Comma 57 6 3 2" xfId="2864"/>
    <cellStyle name="Comma 57 6 4" xfId="2865"/>
    <cellStyle name="Comma 57 6 4 2" xfId="2866"/>
    <cellStyle name="Comma 57 6 5" xfId="2867"/>
    <cellStyle name="Comma 57 7" xfId="2868"/>
    <cellStyle name="Comma 57 7 2" xfId="2869"/>
    <cellStyle name="Comma 57 7 2 2" xfId="2870"/>
    <cellStyle name="Comma 57 7 2 2 2" xfId="2871"/>
    <cellStyle name="Comma 57 7 2 3" xfId="2872"/>
    <cellStyle name="Comma 57 7 3" xfId="2873"/>
    <cellStyle name="Comma 57 7 3 2" xfId="2874"/>
    <cellStyle name="Comma 57 7 4" xfId="2875"/>
    <cellStyle name="Comma 57 8" xfId="2876"/>
    <cellStyle name="Comma 57 8 2" xfId="2877"/>
    <cellStyle name="Comma 57 8 2 2" xfId="2878"/>
    <cellStyle name="Comma 57 8 2 2 2" xfId="2879"/>
    <cellStyle name="Comma 57 8 2 3" xfId="2880"/>
    <cellStyle name="Comma 57 8 3" xfId="2881"/>
    <cellStyle name="Comma 57 8 3 2" xfId="2882"/>
    <cellStyle name="Comma 57 8 4" xfId="2883"/>
    <cellStyle name="Comma 57 9" xfId="2884"/>
    <cellStyle name="Comma 57 9 2" xfId="2885"/>
    <cellStyle name="Comma 57 9 2 2" xfId="2886"/>
    <cellStyle name="Comma 57 9 3" xfId="2887"/>
    <cellStyle name="Comma 58" xfId="2888"/>
    <cellStyle name="Comma 58 10" xfId="2889"/>
    <cellStyle name="Comma 58 10 2" xfId="2890"/>
    <cellStyle name="Comma 58 11" xfId="2891"/>
    <cellStyle name="Comma 58 11 2" xfId="2892"/>
    <cellStyle name="Comma 58 12" xfId="2893"/>
    <cellStyle name="Comma 58 2" xfId="2894"/>
    <cellStyle name="Comma 58 2 2" xfId="2895"/>
    <cellStyle name="Comma 58 2 2 2" xfId="2896"/>
    <cellStyle name="Comma 58 2 2 2 2" xfId="2897"/>
    <cellStyle name="Comma 58 2 2 3" xfId="2898"/>
    <cellStyle name="Comma 58 2 3" xfId="2899"/>
    <cellStyle name="Comma 58 2 3 2" xfId="2900"/>
    <cellStyle name="Comma 58 2 4" xfId="2901"/>
    <cellStyle name="Comma 58 2 4 2" xfId="2902"/>
    <cellStyle name="Comma 58 2 5" xfId="2903"/>
    <cellStyle name="Comma 58 3" xfId="2904"/>
    <cellStyle name="Comma 58 3 2" xfId="2905"/>
    <cellStyle name="Comma 58 3 2 2" xfId="2906"/>
    <cellStyle name="Comma 58 3 2 2 2" xfId="2907"/>
    <cellStyle name="Comma 58 3 2 3" xfId="2908"/>
    <cellStyle name="Comma 58 3 3" xfId="2909"/>
    <cellStyle name="Comma 58 3 3 2" xfId="2910"/>
    <cellStyle name="Comma 58 3 4" xfId="2911"/>
    <cellStyle name="Comma 58 3 4 2" xfId="2912"/>
    <cellStyle name="Comma 58 3 5" xfId="2913"/>
    <cellStyle name="Comma 58 4" xfId="2914"/>
    <cellStyle name="Comma 58 4 2" xfId="2915"/>
    <cellStyle name="Comma 58 4 2 2" xfId="2916"/>
    <cellStyle name="Comma 58 4 2 2 2" xfId="2917"/>
    <cellStyle name="Comma 58 4 2 3" xfId="2918"/>
    <cellStyle name="Comma 58 4 3" xfId="2919"/>
    <cellStyle name="Comma 58 4 3 2" xfId="2920"/>
    <cellStyle name="Comma 58 4 4" xfId="2921"/>
    <cellStyle name="Comma 58 4 4 2" xfId="2922"/>
    <cellStyle name="Comma 58 4 5" xfId="2923"/>
    <cellStyle name="Comma 58 5" xfId="2924"/>
    <cellStyle name="Comma 58 5 2" xfId="2925"/>
    <cellStyle name="Comma 58 5 2 2" xfId="2926"/>
    <cellStyle name="Comma 58 5 2 2 2" xfId="2927"/>
    <cellStyle name="Comma 58 5 2 3" xfId="2928"/>
    <cellStyle name="Comma 58 5 3" xfId="2929"/>
    <cellStyle name="Comma 58 5 3 2" xfId="2930"/>
    <cellStyle name="Comma 58 5 4" xfId="2931"/>
    <cellStyle name="Comma 58 5 4 2" xfId="2932"/>
    <cellStyle name="Comma 58 5 5" xfId="2933"/>
    <cellStyle name="Comma 58 6" xfId="2934"/>
    <cellStyle name="Comma 58 6 2" xfId="2935"/>
    <cellStyle name="Comma 58 6 2 2" xfId="2936"/>
    <cellStyle name="Comma 58 6 2 2 2" xfId="2937"/>
    <cellStyle name="Comma 58 6 2 3" xfId="2938"/>
    <cellStyle name="Comma 58 6 3" xfId="2939"/>
    <cellStyle name="Comma 58 6 3 2" xfId="2940"/>
    <cellStyle name="Comma 58 6 4" xfId="2941"/>
    <cellStyle name="Comma 58 6 4 2" xfId="2942"/>
    <cellStyle name="Comma 58 6 5" xfId="2943"/>
    <cellStyle name="Comma 58 7" xfId="2944"/>
    <cellStyle name="Comma 58 7 2" xfId="2945"/>
    <cellStyle name="Comma 58 7 2 2" xfId="2946"/>
    <cellStyle name="Comma 58 7 2 2 2" xfId="2947"/>
    <cellStyle name="Comma 58 7 2 3" xfId="2948"/>
    <cellStyle name="Comma 58 7 3" xfId="2949"/>
    <cellStyle name="Comma 58 7 3 2" xfId="2950"/>
    <cellStyle name="Comma 58 7 4" xfId="2951"/>
    <cellStyle name="Comma 58 8" xfId="2952"/>
    <cellStyle name="Comma 58 8 2" xfId="2953"/>
    <cellStyle name="Comma 58 8 2 2" xfId="2954"/>
    <cellStyle name="Comma 58 8 2 2 2" xfId="2955"/>
    <cellStyle name="Comma 58 8 2 3" xfId="2956"/>
    <cellStyle name="Comma 58 8 3" xfId="2957"/>
    <cellStyle name="Comma 58 8 3 2" xfId="2958"/>
    <cellStyle name="Comma 58 8 4" xfId="2959"/>
    <cellStyle name="Comma 58 9" xfId="2960"/>
    <cellStyle name="Comma 58 9 2" xfId="2961"/>
    <cellStyle name="Comma 58 9 2 2" xfId="2962"/>
    <cellStyle name="Comma 58 9 3" xfId="2963"/>
    <cellStyle name="Comma 59" xfId="2964"/>
    <cellStyle name="Comma 6" xfId="9"/>
    <cellStyle name="Comma 6 10" xfId="10265"/>
    <cellStyle name="Comma 6 10 2" xfId="16427"/>
    <cellStyle name="Comma 6 10 3" xfId="22579"/>
    <cellStyle name="Comma 6 11" xfId="10281"/>
    <cellStyle name="Comma 6 12" xfId="16433"/>
    <cellStyle name="Comma 6 13" xfId="1283"/>
    <cellStyle name="Comma 6 14" xfId="1172"/>
    <cellStyle name="Comma 6 15" xfId="22837"/>
    <cellStyle name="Comma 6 16" xfId="223"/>
    <cellStyle name="Comma 6 2" xfId="83"/>
    <cellStyle name="Comma 6 2 10" xfId="16439"/>
    <cellStyle name="Comma 6 2 11" xfId="1297"/>
    <cellStyle name="Comma 6 2 12" xfId="874"/>
    <cellStyle name="Comma 6 2 2" xfId="1316"/>
    <cellStyle name="Comma 6 2 2 2" xfId="4727"/>
    <cellStyle name="Comma 6 2 2 2 2" xfId="5503"/>
    <cellStyle name="Comma 6 2 2 2 2 2" xfId="7128"/>
    <cellStyle name="Comma 6 2 2 2 2 2 2" xfId="10214"/>
    <cellStyle name="Comma 6 2 2 2 2 2 2 2" xfId="16407"/>
    <cellStyle name="Comma 6 2 2 2 2 2 2 3" xfId="22559"/>
    <cellStyle name="Comma 6 2 2 2 2 2 3" xfId="13341"/>
    <cellStyle name="Comma 6 2 2 2 2 2 4" xfId="19493"/>
    <cellStyle name="Comma 6 2 2 2 2 3" xfId="8679"/>
    <cellStyle name="Comma 6 2 2 2 2 3 2" xfId="14873"/>
    <cellStyle name="Comma 6 2 2 2 2 3 3" xfId="21025"/>
    <cellStyle name="Comma 6 2 2 2 2 4" xfId="11807"/>
    <cellStyle name="Comma 6 2 2 2 2 5" xfId="17959"/>
    <cellStyle name="Comma 6 2 2 2 3" xfId="6359"/>
    <cellStyle name="Comma 6 2 2 2 3 2" xfId="9445"/>
    <cellStyle name="Comma 6 2 2 2 3 2 2" xfId="15638"/>
    <cellStyle name="Comma 6 2 2 2 3 2 3" xfId="21790"/>
    <cellStyle name="Comma 6 2 2 2 3 3" xfId="12572"/>
    <cellStyle name="Comma 6 2 2 2 3 4" xfId="18724"/>
    <cellStyle name="Comma 6 2 2 2 4" xfId="7910"/>
    <cellStyle name="Comma 6 2 2 2 4 2" xfId="14104"/>
    <cellStyle name="Comma 6 2 2 2 4 3" xfId="20256"/>
    <cellStyle name="Comma 6 2 2 2 5" xfId="11038"/>
    <cellStyle name="Comma 6 2 2 2 6" xfId="17190"/>
    <cellStyle name="Comma 6 2 2 3" xfId="4763"/>
    <cellStyle name="Comma 6 2 2 3 2" xfId="6388"/>
    <cellStyle name="Comma 6 2 2 3 2 2" xfId="9474"/>
    <cellStyle name="Comma 6 2 2 3 2 2 2" xfId="15667"/>
    <cellStyle name="Comma 6 2 2 3 2 2 3" xfId="21819"/>
    <cellStyle name="Comma 6 2 2 3 2 3" xfId="12601"/>
    <cellStyle name="Comma 6 2 2 3 2 4" xfId="18753"/>
    <cellStyle name="Comma 6 2 2 3 3" xfId="7939"/>
    <cellStyle name="Comma 6 2 2 3 3 2" xfId="14133"/>
    <cellStyle name="Comma 6 2 2 3 3 3" xfId="20285"/>
    <cellStyle name="Comma 6 2 2 3 4" xfId="11067"/>
    <cellStyle name="Comma 6 2 2 3 5" xfId="17219"/>
    <cellStyle name="Comma 6 2 2 4" xfId="5602"/>
    <cellStyle name="Comma 6 2 2 4 2" xfId="8705"/>
    <cellStyle name="Comma 6 2 2 4 2 2" xfId="14898"/>
    <cellStyle name="Comma 6 2 2 4 2 3" xfId="21050"/>
    <cellStyle name="Comma 6 2 2 4 3" xfId="11832"/>
    <cellStyle name="Comma 6 2 2 4 4" xfId="17984"/>
    <cellStyle name="Comma 6 2 2 5" xfId="7170"/>
    <cellStyle name="Comma 6 2 2 5 2" xfId="13364"/>
    <cellStyle name="Comma 6 2 2 5 3" xfId="19516"/>
    <cellStyle name="Comma 6 2 2 6" xfId="10298"/>
    <cellStyle name="Comma 6 2 2 7" xfId="16450"/>
    <cellStyle name="Comma 6 2 3" xfId="4710"/>
    <cellStyle name="Comma 6 2 3 2" xfId="5494"/>
    <cellStyle name="Comma 6 2 3 2 2" xfId="7119"/>
    <cellStyle name="Comma 6 2 3 2 2 2" xfId="10205"/>
    <cellStyle name="Comma 6 2 3 2 2 2 2" xfId="16398"/>
    <cellStyle name="Comma 6 2 3 2 2 2 3" xfId="22550"/>
    <cellStyle name="Comma 6 2 3 2 2 3" xfId="13332"/>
    <cellStyle name="Comma 6 2 3 2 2 4" xfId="19484"/>
    <cellStyle name="Comma 6 2 3 2 3" xfId="8670"/>
    <cellStyle name="Comma 6 2 3 2 3 2" xfId="14864"/>
    <cellStyle name="Comma 6 2 3 2 3 3" xfId="21016"/>
    <cellStyle name="Comma 6 2 3 2 4" xfId="11798"/>
    <cellStyle name="Comma 6 2 3 2 5" xfId="17950"/>
    <cellStyle name="Comma 6 2 3 3" xfId="6350"/>
    <cellStyle name="Comma 6 2 3 3 2" xfId="9436"/>
    <cellStyle name="Comma 6 2 3 3 2 2" xfId="15629"/>
    <cellStyle name="Comma 6 2 3 3 2 3" xfId="21781"/>
    <cellStyle name="Comma 6 2 3 3 3" xfId="12563"/>
    <cellStyle name="Comma 6 2 3 3 4" xfId="18715"/>
    <cellStyle name="Comma 6 2 3 4" xfId="7901"/>
    <cellStyle name="Comma 6 2 3 4 2" xfId="14095"/>
    <cellStyle name="Comma 6 2 3 4 3" xfId="20247"/>
    <cellStyle name="Comma 6 2 3 5" xfId="11029"/>
    <cellStyle name="Comma 6 2 3 6" xfId="17181"/>
    <cellStyle name="Comma 6 2 4" xfId="2966"/>
    <cellStyle name="Comma 6 2 5" xfId="4752"/>
    <cellStyle name="Comma 6 2 5 2" xfId="6377"/>
    <cellStyle name="Comma 6 2 5 2 2" xfId="9463"/>
    <cellStyle name="Comma 6 2 5 2 2 2" xfId="15656"/>
    <cellStyle name="Comma 6 2 5 2 2 3" xfId="21808"/>
    <cellStyle name="Comma 6 2 5 2 3" xfId="12590"/>
    <cellStyle name="Comma 6 2 5 2 4" xfId="18742"/>
    <cellStyle name="Comma 6 2 5 3" xfId="7928"/>
    <cellStyle name="Comma 6 2 5 3 2" xfId="14122"/>
    <cellStyle name="Comma 6 2 5 3 3" xfId="20274"/>
    <cellStyle name="Comma 6 2 5 4" xfId="11056"/>
    <cellStyle name="Comma 6 2 5 5" xfId="17208"/>
    <cellStyle name="Comma 6 2 6" xfId="5590"/>
    <cellStyle name="Comma 6 2 6 2" xfId="8694"/>
    <cellStyle name="Comma 6 2 6 2 2" xfId="14887"/>
    <cellStyle name="Comma 6 2 6 2 3" xfId="21039"/>
    <cellStyle name="Comma 6 2 6 3" xfId="11821"/>
    <cellStyle name="Comma 6 2 6 4" xfId="17973"/>
    <cellStyle name="Comma 6 2 7" xfId="7159"/>
    <cellStyle name="Comma 6 2 7 2" xfId="13353"/>
    <cellStyle name="Comma 6 2 7 3" xfId="19505"/>
    <cellStyle name="Comma 6 2 8" xfId="10268"/>
    <cellStyle name="Comma 6 2 8 2" xfId="16428"/>
    <cellStyle name="Comma 6 2 8 3" xfId="22580"/>
    <cellStyle name="Comma 6 2 9" xfId="10287"/>
    <cellStyle name="Comma 6 3" xfId="1310"/>
    <cellStyle name="Comma 6 3 10" xfId="16444"/>
    <cellStyle name="Comma 6 3 2" xfId="2968"/>
    <cellStyle name="Comma 6 3 3" xfId="2969"/>
    <cellStyle name="Comma 6 3 4" xfId="4722"/>
    <cellStyle name="Comma 6 3 4 2" xfId="5498"/>
    <cellStyle name="Comma 6 3 4 2 2" xfId="7123"/>
    <cellStyle name="Comma 6 3 4 2 2 2" xfId="10209"/>
    <cellStyle name="Comma 6 3 4 2 2 2 2" xfId="16402"/>
    <cellStyle name="Comma 6 3 4 2 2 2 3" xfId="22554"/>
    <cellStyle name="Comma 6 3 4 2 2 3" xfId="13336"/>
    <cellStyle name="Comma 6 3 4 2 2 4" xfId="19488"/>
    <cellStyle name="Comma 6 3 4 2 3" xfId="8674"/>
    <cellStyle name="Comma 6 3 4 2 3 2" xfId="14868"/>
    <cellStyle name="Comma 6 3 4 2 3 3" xfId="21020"/>
    <cellStyle name="Comma 6 3 4 2 4" xfId="11802"/>
    <cellStyle name="Comma 6 3 4 2 5" xfId="17954"/>
    <cellStyle name="Comma 6 3 4 3" xfId="6354"/>
    <cellStyle name="Comma 6 3 4 3 2" xfId="9440"/>
    <cellStyle name="Comma 6 3 4 3 2 2" xfId="15633"/>
    <cellStyle name="Comma 6 3 4 3 2 3" xfId="21785"/>
    <cellStyle name="Comma 6 3 4 3 3" xfId="12567"/>
    <cellStyle name="Comma 6 3 4 3 4" xfId="18719"/>
    <cellStyle name="Comma 6 3 4 4" xfId="7905"/>
    <cellStyle name="Comma 6 3 4 4 2" xfId="14099"/>
    <cellStyle name="Comma 6 3 4 4 3" xfId="20251"/>
    <cellStyle name="Comma 6 3 4 5" xfId="11033"/>
    <cellStyle name="Comma 6 3 4 6" xfId="17185"/>
    <cellStyle name="Comma 6 3 5" xfId="2967"/>
    <cellStyle name="Comma 6 3 6" xfId="4757"/>
    <cellStyle name="Comma 6 3 6 2" xfId="6382"/>
    <cellStyle name="Comma 6 3 6 2 2" xfId="9468"/>
    <cellStyle name="Comma 6 3 6 2 2 2" xfId="15661"/>
    <cellStyle name="Comma 6 3 6 2 2 3" xfId="21813"/>
    <cellStyle name="Comma 6 3 6 2 3" xfId="12595"/>
    <cellStyle name="Comma 6 3 6 2 4" xfId="18747"/>
    <cellStyle name="Comma 6 3 6 3" xfId="7933"/>
    <cellStyle name="Comma 6 3 6 3 2" xfId="14127"/>
    <cellStyle name="Comma 6 3 6 3 3" xfId="20279"/>
    <cellStyle name="Comma 6 3 6 4" xfId="11061"/>
    <cellStyle name="Comma 6 3 6 5" xfId="17213"/>
    <cellStyle name="Comma 6 3 7" xfId="5596"/>
    <cellStyle name="Comma 6 3 7 2" xfId="8699"/>
    <cellStyle name="Comma 6 3 7 2 2" xfId="14892"/>
    <cellStyle name="Comma 6 3 7 2 3" xfId="21044"/>
    <cellStyle name="Comma 6 3 7 3" xfId="11826"/>
    <cellStyle name="Comma 6 3 7 4" xfId="17978"/>
    <cellStyle name="Comma 6 3 8" xfId="7164"/>
    <cellStyle name="Comma 6 3 8 2" xfId="13358"/>
    <cellStyle name="Comma 6 3 8 3" xfId="19510"/>
    <cellStyle name="Comma 6 3 9" xfId="10292"/>
    <cellStyle name="Comma 6 4" xfId="2970"/>
    <cellStyle name="Comma 6 5" xfId="4702"/>
    <cellStyle name="Comma 6 5 2" xfId="5490"/>
    <cellStyle name="Comma 6 5 2 2" xfId="7115"/>
    <cellStyle name="Comma 6 5 2 2 2" xfId="10201"/>
    <cellStyle name="Comma 6 5 2 2 2 2" xfId="16394"/>
    <cellStyle name="Comma 6 5 2 2 2 3" xfId="22546"/>
    <cellStyle name="Comma 6 5 2 2 3" xfId="13328"/>
    <cellStyle name="Comma 6 5 2 2 4" xfId="19480"/>
    <cellStyle name="Comma 6 5 2 3" xfId="8666"/>
    <cellStyle name="Comma 6 5 2 3 2" xfId="14860"/>
    <cellStyle name="Comma 6 5 2 3 3" xfId="21012"/>
    <cellStyle name="Comma 6 5 2 4" xfId="11794"/>
    <cellStyle name="Comma 6 5 2 5" xfId="17946"/>
    <cellStyle name="Comma 6 5 3" xfId="6346"/>
    <cellStyle name="Comma 6 5 3 2" xfId="9432"/>
    <cellStyle name="Comma 6 5 3 2 2" xfId="15625"/>
    <cellStyle name="Comma 6 5 3 2 3" xfId="21777"/>
    <cellStyle name="Comma 6 5 3 3" xfId="12559"/>
    <cellStyle name="Comma 6 5 3 4" xfId="18711"/>
    <cellStyle name="Comma 6 5 4" xfId="7897"/>
    <cellStyle name="Comma 6 5 4 2" xfId="14091"/>
    <cellStyle name="Comma 6 5 4 3" xfId="20243"/>
    <cellStyle name="Comma 6 5 5" xfId="11025"/>
    <cellStyle name="Comma 6 5 6" xfId="17177"/>
    <cellStyle name="Comma 6 6" xfId="2965"/>
    <cellStyle name="Comma 6 7" xfId="4746"/>
    <cellStyle name="Comma 6 7 2" xfId="6371"/>
    <cellStyle name="Comma 6 7 2 2" xfId="9457"/>
    <cellStyle name="Comma 6 7 2 2 2" xfId="15650"/>
    <cellStyle name="Comma 6 7 2 2 3" xfId="21802"/>
    <cellStyle name="Comma 6 7 2 3" xfId="12584"/>
    <cellStyle name="Comma 6 7 2 4" xfId="18736"/>
    <cellStyle name="Comma 6 7 3" xfId="7922"/>
    <cellStyle name="Comma 6 7 3 2" xfId="14116"/>
    <cellStyle name="Comma 6 7 3 3" xfId="20268"/>
    <cellStyle name="Comma 6 7 4" xfId="11050"/>
    <cellStyle name="Comma 6 7 5" xfId="17202"/>
    <cellStyle name="Comma 6 8" xfId="5584"/>
    <cellStyle name="Comma 6 8 2" xfId="8688"/>
    <cellStyle name="Comma 6 8 2 2" xfId="14881"/>
    <cellStyle name="Comma 6 8 2 3" xfId="21033"/>
    <cellStyle name="Comma 6 8 3" xfId="11815"/>
    <cellStyle name="Comma 6 8 4" xfId="17967"/>
    <cellStyle name="Comma 6 9" xfId="7153"/>
    <cellStyle name="Comma 6 9 2" xfId="13347"/>
    <cellStyle name="Comma 6 9 3" xfId="19499"/>
    <cellStyle name="Comma 60" xfId="2971"/>
    <cellStyle name="Comma 61" xfId="2972"/>
    <cellStyle name="Comma 62" xfId="2973"/>
    <cellStyle name="Comma 63" xfId="2974"/>
    <cellStyle name="Comma 64" xfId="2975"/>
    <cellStyle name="Comma 65" xfId="2976"/>
    <cellStyle name="Comma 66" xfId="2977"/>
    <cellStyle name="Comma 67" xfId="2978"/>
    <cellStyle name="Comma 68" xfId="2979"/>
    <cellStyle name="Comma 69" xfId="2980"/>
    <cellStyle name="Comma 7" xfId="53"/>
    <cellStyle name="Comma 7 10" xfId="22838"/>
    <cellStyle name="Comma 7 11" xfId="224"/>
    <cellStyle name="Comma 7 2" xfId="104"/>
    <cellStyle name="Comma 7 2 2" xfId="147"/>
    <cellStyle name="Comma 7 2 2 2" xfId="2982"/>
    <cellStyle name="Comma 7 2 3" xfId="875"/>
    <cellStyle name="Comma 7 3" xfId="132"/>
    <cellStyle name="Comma 7 3 2" xfId="2984"/>
    <cellStyle name="Comma 7 3 3" xfId="2985"/>
    <cellStyle name="Comma 7 3 4" xfId="2983"/>
    <cellStyle name="Comma 7 4" xfId="117"/>
    <cellStyle name="Comma 7 4 2" xfId="2986"/>
    <cellStyle name="Comma 7 5" xfId="4706"/>
    <cellStyle name="Comma 7 6" xfId="2981"/>
    <cellStyle name="Comma 7 7" xfId="1290"/>
    <cellStyle name="Comma 7 8" xfId="1171"/>
    <cellStyle name="Comma 7 9" xfId="22736"/>
    <cellStyle name="Comma 70" xfId="2987"/>
    <cellStyle name="Comma 71" xfId="2988"/>
    <cellStyle name="Comma 72" xfId="2989"/>
    <cellStyle name="Comma 73" xfId="2990"/>
    <cellStyle name="Comma 74" xfId="2991"/>
    <cellStyle name="Comma 75" xfId="2992"/>
    <cellStyle name="Comma 76" xfId="2993"/>
    <cellStyle name="Comma 77" xfId="2994"/>
    <cellStyle name="Comma 78" xfId="2995"/>
    <cellStyle name="Comma 79" xfId="2996"/>
    <cellStyle name="Comma 8" xfId="84"/>
    <cellStyle name="Comma 8 2" xfId="876"/>
    <cellStyle name="Comma 8 2 2" xfId="2999"/>
    <cellStyle name="Comma 8 2 3" xfId="3000"/>
    <cellStyle name="Comma 8 2 4" xfId="2998"/>
    <cellStyle name="Comma 8 3" xfId="4713"/>
    <cellStyle name="Comma 8 4" xfId="2997"/>
    <cellStyle name="Comma 8 5" xfId="1300"/>
    <cellStyle name="Comma 8 6" xfId="1173"/>
    <cellStyle name="Comma 8 7" xfId="22655"/>
    <cellStyle name="Comma 8 8" xfId="22839"/>
    <cellStyle name="Comma 8 9" xfId="225"/>
    <cellStyle name="Comma 80" xfId="3001"/>
    <cellStyle name="Comma 81" xfId="3002"/>
    <cellStyle name="Comma 82" xfId="3003"/>
    <cellStyle name="Comma 83" xfId="3004"/>
    <cellStyle name="Comma 84" xfId="3005"/>
    <cellStyle name="Comma 85" xfId="3006"/>
    <cellStyle name="Comma 86" xfId="3007"/>
    <cellStyle name="Comma 87" xfId="3008"/>
    <cellStyle name="Comma 88" xfId="3009"/>
    <cellStyle name="Comma 89" xfId="3010"/>
    <cellStyle name="Comma 9" xfId="120"/>
    <cellStyle name="Comma 9 10" xfId="227"/>
    <cellStyle name="Comma 9 2" xfId="878"/>
    <cellStyle name="Comma 9 2 2" xfId="3013"/>
    <cellStyle name="Comma 9 2 3" xfId="3014"/>
    <cellStyle name="Comma 9 2 4" xfId="3012"/>
    <cellStyle name="Comma 9 3" xfId="3015"/>
    <cellStyle name="Comma 9 4" xfId="4717"/>
    <cellStyle name="Comma 9 5" xfId="3011"/>
    <cellStyle name="Comma 9 6" xfId="1304"/>
    <cellStyle name="Comma 9 7" xfId="1174"/>
    <cellStyle name="Comma 9 8" xfId="22742"/>
    <cellStyle name="Comma 9 9" xfId="22841"/>
    <cellStyle name="Comma 90" xfId="3016"/>
    <cellStyle name="Comma 91" xfId="3017"/>
    <cellStyle name="Comma 92" xfId="3018"/>
    <cellStyle name="Comma 93" xfId="3019"/>
    <cellStyle name="Comma 94" xfId="3020"/>
    <cellStyle name="Comma 95" xfId="3021"/>
    <cellStyle name="Comma 96" xfId="3022"/>
    <cellStyle name="Comma 97" xfId="3023"/>
    <cellStyle name="Comma 98" xfId="3024"/>
    <cellStyle name="Comma 99" xfId="3025"/>
    <cellStyle name="Comma(+Credit)" xfId="3026"/>
    <cellStyle name="Comma0" xfId="255"/>
    <cellStyle name="Comma0 2" xfId="10226"/>
    <cellStyle name="Company Name" xfId="3027"/>
    <cellStyle name="Company Name 2" xfId="3028"/>
    <cellStyle name="Company Name 3" xfId="3029"/>
    <cellStyle name="Currency" xfId="10" builtinId="4"/>
    <cellStyle name="Currency [0] 2" xfId="1191"/>
    <cellStyle name="Currency [0] 2 2" xfId="4628"/>
    <cellStyle name="Currency [0] 2 3" xfId="1324"/>
    <cellStyle name="Currency [0] 3" xfId="1217"/>
    <cellStyle name="Currency [0] 4" xfId="1292"/>
    <cellStyle name="Currency [0] 5" xfId="4627"/>
    <cellStyle name="Currency [0] 6" xfId="4733"/>
    <cellStyle name="Currency [0] 7" xfId="7148"/>
    <cellStyle name="Currency [0] 8" xfId="10276"/>
    <cellStyle name="Currency [0] 9" xfId="1185"/>
    <cellStyle name="Currency 0.0" xfId="3030"/>
    <cellStyle name="Currency 0.00" xfId="3031"/>
    <cellStyle name="Currency 0.000" xfId="3032"/>
    <cellStyle name="Currency 10" xfId="1303"/>
    <cellStyle name="Currency 10 10" xfId="23144"/>
    <cellStyle name="Currency 10 2" xfId="3034"/>
    <cellStyle name="Currency 10 2 2" xfId="23145"/>
    <cellStyle name="Currency 10 3" xfId="3035"/>
    <cellStyle name="Currency 10 3 2" xfId="23146"/>
    <cellStyle name="Currency 10 4" xfId="3036"/>
    <cellStyle name="Currency 10 4 2" xfId="23147"/>
    <cellStyle name="Currency 10 5" xfId="3037"/>
    <cellStyle name="Currency 10 5 2" xfId="23148"/>
    <cellStyle name="Currency 10 6" xfId="3038"/>
    <cellStyle name="Currency 10 6 2" xfId="3039"/>
    <cellStyle name="Currency 10 6 3" xfId="3040"/>
    <cellStyle name="Currency 10 7" xfId="3041"/>
    <cellStyle name="Currency 10 8" xfId="4716"/>
    <cellStyle name="Currency 10 9" xfId="3033"/>
    <cellStyle name="Currency 100" xfId="3042"/>
    <cellStyle name="Currency 101" xfId="3043"/>
    <cellStyle name="Currency 102" xfId="3044"/>
    <cellStyle name="Currency 103" xfId="3045"/>
    <cellStyle name="Currency 104" xfId="3046"/>
    <cellStyle name="Currency 105" xfId="3047"/>
    <cellStyle name="Currency 106" xfId="3048"/>
    <cellStyle name="Currency 107" xfId="3049"/>
    <cellStyle name="Currency 108" xfId="3050"/>
    <cellStyle name="Currency 109" xfId="3051"/>
    <cellStyle name="Currency 11" xfId="3052"/>
    <cellStyle name="Currency 11 2" xfId="3053"/>
    <cellStyle name="Currency 11 2 2" xfId="23150"/>
    <cellStyle name="Currency 11 3" xfId="3054"/>
    <cellStyle name="Currency 11 3 2" xfId="23151"/>
    <cellStyle name="Currency 11 4" xfId="23152"/>
    <cellStyle name="Currency 11 5" xfId="23153"/>
    <cellStyle name="Currency 11 6" xfId="23149"/>
    <cellStyle name="Currency 110" xfId="3055"/>
    <cellStyle name="Currency 111" xfId="3056"/>
    <cellStyle name="Currency 112" xfId="3057"/>
    <cellStyle name="Currency 113" xfId="3058"/>
    <cellStyle name="Currency 114" xfId="3059"/>
    <cellStyle name="Currency 115" xfId="3060"/>
    <cellStyle name="Currency 116" xfId="3061"/>
    <cellStyle name="Currency 117" xfId="3062"/>
    <cellStyle name="Currency 118" xfId="3063"/>
    <cellStyle name="Currency 118 2" xfId="3064"/>
    <cellStyle name="Currency 118 2 2" xfId="3065"/>
    <cellStyle name="Currency 118 2 2 2" xfId="3066"/>
    <cellStyle name="Currency 118 2 3" xfId="3067"/>
    <cellStyle name="Currency 118 3" xfId="3068"/>
    <cellStyle name="Currency 118 3 2" xfId="3069"/>
    <cellStyle name="Currency 118 4" xfId="3070"/>
    <cellStyle name="Currency 118 4 2" xfId="3071"/>
    <cellStyle name="Currency 118 5" xfId="3072"/>
    <cellStyle name="Currency 119" xfId="3073"/>
    <cellStyle name="Currency 119 2" xfId="3074"/>
    <cellStyle name="Currency 119 2 2" xfId="3075"/>
    <cellStyle name="Currency 119 2 2 2" xfId="3076"/>
    <cellStyle name="Currency 119 2 3" xfId="3077"/>
    <cellStyle name="Currency 119 3" xfId="3078"/>
    <cellStyle name="Currency 119 3 2" xfId="3079"/>
    <cellStyle name="Currency 119 4" xfId="3080"/>
    <cellStyle name="Currency 119 4 2" xfId="3081"/>
    <cellStyle name="Currency 119 5" xfId="3082"/>
    <cellStyle name="Currency 12" xfId="3083"/>
    <cellStyle name="Currency 12 2" xfId="3084"/>
    <cellStyle name="Currency 12 2 2" xfId="23155"/>
    <cellStyle name="Currency 12 3" xfId="3085"/>
    <cellStyle name="Currency 12 3 2" xfId="23156"/>
    <cellStyle name="Currency 12 4" xfId="23157"/>
    <cellStyle name="Currency 12 5" xfId="23154"/>
    <cellStyle name="Currency 120" xfId="3086"/>
    <cellStyle name="Currency 120 2" xfId="4884"/>
    <cellStyle name="Currency 120 2 2" xfId="6509"/>
    <cellStyle name="Currency 120 2 2 2" xfId="9595"/>
    <cellStyle name="Currency 120 2 2 2 2" xfId="15788"/>
    <cellStyle name="Currency 120 2 2 2 3" xfId="21940"/>
    <cellStyle name="Currency 120 2 2 3" xfId="12722"/>
    <cellStyle name="Currency 120 2 2 4" xfId="18874"/>
    <cellStyle name="Currency 120 2 3" xfId="8060"/>
    <cellStyle name="Currency 120 2 3 2" xfId="14254"/>
    <cellStyle name="Currency 120 2 3 3" xfId="20406"/>
    <cellStyle name="Currency 120 2 4" xfId="11188"/>
    <cellStyle name="Currency 120 2 5" xfId="17340"/>
    <cellStyle name="Currency 120 3" xfId="5725"/>
    <cellStyle name="Currency 120 3 2" xfId="8826"/>
    <cellStyle name="Currency 120 3 2 2" xfId="15019"/>
    <cellStyle name="Currency 120 3 2 3" xfId="21171"/>
    <cellStyle name="Currency 120 3 3" xfId="11953"/>
    <cellStyle name="Currency 120 3 4" xfId="18105"/>
    <cellStyle name="Currency 120 4" xfId="7291"/>
    <cellStyle name="Currency 120 4 2" xfId="13485"/>
    <cellStyle name="Currency 120 4 3" xfId="19637"/>
    <cellStyle name="Currency 120 5" xfId="10419"/>
    <cellStyle name="Currency 120 6" xfId="16571"/>
    <cellStyle name="Currency 121" xfId="3087"/>
    <cellStyle name="Currency 121 2" xfId="4885"/>
    <cellStyle name="Currency 121 2 2" xfId="6510"/>
    <cellStyle name="Currency 121 2 2 2" xfId="9596"/>
    <cellStyle name="Currency 121 2 2 2 2" xfId="15789"/>
    <cellStyle name="Currency 121 2 2 2 3" xfId="21941"/>
    <cellStyle name="Currency 121 2 2 3" xfId="12723"/>
    <cellStyle name="Currency 121 2 2 4" xfId="18875"/>
    <cellStyle name="Currency 121 2 3" xfId="8061"/>
    <cellStyle name="Currency 121 2 3 2" xfId="14255"/>
    <cellStyle name="Currency 121 2 3 3" xfId="20407"/>
    <cellStyle name="Currency 121 2 4" xfId="11189"/>
    <cellStyle name="Currency 121 2 5" xfId="17341"/>
    <cellStyle name="Currency 121 3" xfId="5726"/>
    <cellStyle name="Currency 121 3 2" xfId="8827"/>
    <cellStyle name="Currency 121 3 2 2" xfId="15020"/>
    <cellStyle name="Currency 121 3 2 3" xfId="21172"/>
    <cellStyle name="Currency 121 3 3" xfId="11954"/>
    <cellStyle name="Currency 121 3 4" xfId="18106"/>
    <cellStyle name="Currency 121 4" xfId="7292"/>
    <cellStyle name="Currency 121 4 2" xfId="13486"/>
    <cellStyle name="Currency 121 4 3" xfId="19638"/>
    <cellStyle name="Currency 121 5" xfId="10420"/>
    <cellStyle name="Currency 121 6" xfId="16572"/>
    <cellStyle name="Currency 122" xfId="3088"/>
    <cellStyle name="Currency 122 2" xfId="4886"/>
    <cellStyle name="Currency 122 2 2" xfId="6511"/>
    <cellStyle name="Currency 122 2 2 2" xfId="9597"/>
    <cellStyle name="Currency 122 2 2 2 2" xfId="15790"/>
    <cellStyle name="Currency 122 2 2 2 3" xfId="21942"/>
    <cellStyle name="Currency 122 2 2 3" xfId="12724"/>
    <cellStyle name="Currency 122 2 2 4" xfId="18876"/>
    <cellStyle name="Currency 122 2 3" xfId="8062"/>
    <cellStyle name="Currency 122 2 3 2" xfId="14256"/>
    <cellStyle name="Currency 122 2 3 3" xfId="20408"/>
    <cellStyle name="Currency 122 2 4" xfId="11190"/>
    <cellStyle name="Currency 122 2 5" xfId="17342"/>
    <cellStyle name="Currency 122 3" xfId="5727"/>
    <cellStyle name="Currency 122 3 2" xfId="8828"/>
    <cellStyle name="Currency 122 3 2 2" xfId="15021"/>
    <cellStyle name="Currency 122 3 2 3" xfId="21173"/>
    <cellStyle name="Currency 122 3 3" xfId="11955"/>
    <cellStyle name="Currency 122 3 4" xfId="18107"/>
    <cellStyle name="Currency 122 4" xfId="7293"/>
    <cellStyle name="Currency 122 4 2" xfId="13487"/>
    <cellStyle name="Currency 122 4 3" xfId="19639"/>
    <cellStyle name="Currency 122 5" xfId="10421"/>
    <cellStyle name="Currency 122 6" xfId="16573"/>
    <cellStyle name="Currency 123" xfId="3089"/>
    <cellStyle name="Currency 123 2" xfId="4887"/>
    <cellStyle name="Currency 123 2 2" xfId="6512"/>
    <cellStyle name="Currency 123 2 2 2" xfId="9598"/>
    <cellStyle name="Currency 123 2 2 2 2" xfId="15791"/>
    <cellStyle name="Currency 123 2 2 2 3" xfId="21943"/>
    <cellStyle name="Currency 123 2 2 3" xfId="12725"/>
    <cellStyle name="Currency 123 2 2 4" xfId="18877"/>
    <cellStyle name="Currency 123 2 3" xfId="8063"/>
    <cellStyle name="Currency 123 2 3 2" xfId="14257"/>
    <cellStyle name="Currency 123 2 3 3" xfId="20409"/>
    <cellStyle name="Currency 123 2 4" xfId="11191"/>
    <cellStyle name="Currency 123 2 5" xfId="17343"/>
    <cellStyle name="Currency 123 3" xfId="5728"/>
    <cellStyle name="Currency 123 3 2" xfId="8829"/>
    <cellStyle name="Currency 123 3 2 2" xfId="15022"/>
    <cellStyle name="Currency 123 3 2 3" xfId="21174"/>
    <cellStyle name="Currency 123 3 3" xfId="11956"/>
    <cellStyle name="Currency 123 3 4" xfId="18108"/>
    <cellStyle name="Currency 123 4" xfId="7294"/>
    <cellStyle name="Currency 123 4 2" xfId="13488"/>
    <cellStyle name="Currency 123 4 3" xfId="19640"/>
    <cellStyle name="Currency 123 5" xfId="10422"/>
    <cellStyle name="Currency 123 6" xfId="16574"/>
    <cellStyle name="Currency 124" xfId="3090"/>
    <cellStyle name="Currency 124 2" xfId="4888"/>
    <cellStyle name="Currency 124 2 2" xfId="6513"/>
    <cellStyle name="Currency 124 2 2 2" xfId="9599"/>
    <cellStyle name="Currency 124 2 2 2 2" xfId="15792"/>
    <cellStyle name="Currency 124 2 2 2 3" xfId="21944"/>
    <cellStyle name="Currency 124 2 2 3" xfId="12726"/>
    <cellStyle name="Currency 124 2 2 4" xfId="18878"/>
    <cellStyle name="Currency 124 2 3" xfId="8064"/>
    <cellStyle name="Currency 124 2 3 2" xfId="14258"/>
    <cellStyle name="Currency 124 2 3 3" xfId="20410"/>
    <cellStyle name="Currency 124 2 4" xfId="11192"/>
    <cellStyle name="Currency 124 2 5" xfId="17344"/>
    <cellStyle name="Currency 124 3" xfId="5729"/>
    <cellStyle name="Currency 124 3 2" xfId="8830"/>
    <cellStyle name="Currency 124 3 2 2" xfId="15023"/>
    <cellStyle name="Currency 124 3 2 3" xfId="21175"/>
    <cellStyle name="Currency 124 3 3" xfId="11957"/>
    <cellStyle name="Currency 124 3 4" xfId="18109"/>
    <cellStyle name="Currency 124 4" xfId="7295"/>
    <cellStyle name="Currency 124 4 2" xfId="13489"/>
    <cellStyle name="Currency 124 4 3" xfId="19641"/>
    <cellStyle name="Currency 124 5" xfId="10423"/>
    <cellStyle name="Currency 124 6" xfId="16575"/>
    <cellStyle name="Currency 125" xfId="3091"/>
    <cellStyle name="Currency 125 2" xfId="4889"/>
    <cellStyle name="Currency 125 2 2" xfId="6514"/>
    <cellStyle name="Currency 125 2 2 2" xfId="9600"/>
    <cellStyle name="Currency 125 2 2 2 2" xfId="15793"/>
    <cellStyle name="Currency 125 2 2 2 3" xfId="21945"/>
    <cellStyle name="Currency 125 2 2 3" xfId="12727"/>
    <cellStyle name="Currency 125 2 2 4" xfId="18879"/>
    <cellStyle name="Currency 125 2 3" xfId="8065"/>
    <cellStyle name="Currency 125 2 3 2" xfId="14259"/>
    <cellStyle name="Currency 125 2 3 3" xfId="20411"/>
    <cellStyle name="Currency 125 2 4" xfId="11193"/>
    <cellStyle name="Currency 125 2 5" xfId="17345"/>
    <cellStyle name="Currency 125 3" xfId="5730"/>
    <cellStyle name="Currency 125 3 2" xfId="8831"/>
    <cellStyle name="Currency 125 3 2 2" xfId="15024"/>
    <cellStyle name="Currency 125 3 2 3" xfId="21176"/>
    <cellStyle name="Currency 125 3 3" xfId="11958"/>
    <cellStyle name="Currency 125 3 4" xfId="18110"/>
    <cellStyle name="Currency 125 4" xfId="7296"/>
    <cellStyle name="Currency 125 4 2" xfId="13490"/>
    <cellStyle name="Currency 125 4 3" xfId="19642"/>
    <cellStyle name="Currency 125 5" xfId="10424"/>
    <cellStyle name="Currency 125 6" xfId="16576"/>
    <cellStyle name="Currency 126" xfId="3092"/>
    <cellStyle name="Currency 126 2" xfId="4890"/>
    <cellStyle name="Currency 126 2 2" xfId="6515"/>
    <cellStyle name="Currency 126 2 2 2" xfId="9601"/>
    <cellStyle name="Currency 126 2 2 2 2" xfId="15794"/>
    <cellStyle name="Currency 126 2 2 2 3" xfId="21946"/>
    <cellStyle name="Currency 126 2 2 3" xfId="12728"/>
    <cellStyle name="Currency 126 2 2 4" xfId="18880"/>
    <cellStyle name="Currency 126 2 3" xfId="8066"/>
    <cellStyle name="Currency 126 2 3 2" xfId="14260"/>
    <cellStyle name="Currency 126 2 3 3" xfId="20412"/>
    <cellStyle name="Currency 126 2 4" xfId="11194"/>
    <cellStyle name="Currency 126 2 5" xfId="17346"/>
    <cellStyle name="Currency 126 3" xfId="5731"/>
    <cellStyle name="Currency 126 3 2" xfId="8832"/>
    <cellStyle name="Currency 126 3 2 2" xfId="15025"/>
    <cellStyle name="Currency 126 3 2 3" xfId="21177"/>
    <cellStyle name="Currency 126 3 3" xfId="11959"/>
    <cellStyle name="Currency 126 3 4" xfId="18111"/>
    <cellStyle name="Currency 126 4" xfId="7297"/>
    <cellStyle name="Currency 126 4 2" xfId="13491"/>
    <cellStyle name="Currency 126 4 3" xfId="19643"/>
    <cellStyle name="Currency 126 5" xfId="10425"/>
    <cellStyle name="Currency 126 6" xfId="16577"/>
    <cellStyle name="Currency 127" xfId="3093"/>
    <cellStyle name="Currency 127 2" xfId="4891"/>
    <cellStyle name="Currency 127 2 2" xfId="6516"/>
    <cellStyle name="Currency 127 2 2 2" xfId="9602"/>
    <cellStyle name="Currency 127 2 2 2 2" xfId="15795"/>
    <cellStyle name="Currency 127 2 2 2 3" xfId="21947"/>
    <cellStyle name="Currency 127 2 2 3" xfId="12729"/>
    <cellStyle name="Currency 127 2 2 4" xfId="18881"/>
    <cellStyle name="Currency 127 2 3" xfId="8067"/>
    <cellStyle name="Currency 127 2 3 2" xfId="14261"/>
    <cellStyle name="Currency 127 2 3 3" xfId="20413"/>
    <cellStyle name="Currency 127 2 4" xfId="11195"/>
    <cellStyle name="Currency 127 2 5" xfId="17347"/>
    <cellStyle name="Currency 127 3" xfId="5732"/>
    <cellStyle name="Currency 127 3 2" xfId="8833"/>
    <cellStyle name="Currency 127 3 2 2" xfId="15026"/>
    <cellStyle name="Currency 127 3 2 3" xfId="21178"/>
    <cellStyle name="Currency 127 3 3" xfId="11960"/>
    <cellStyle name="Currency 127 3 4" xfId="18112"/>
    <cellStyle name="Currency 127 4" xfId="7298"/>
    <cellStyle name="Currency 127 4 2" xfId="13492"/>
    <cellStyle name="Currency 127 4 3" xfId="19644"/>
    <cellStyle name="Currency 127 5" xfId="10426"/>
    <cellStyle name="Currency 127 6" xfId="16578"/>
    <cellStyle name="Currency 128" xfId="3094"/>
    <cellStyle name="Currency 128 2" xfId="4892"/>
    <cellStyle name="Currency 128 2 2" xfId="6517"/>
    <cellStyle name="Currency 128 2 2 2" xfId="9603"/>
    <cellStyle name="Currency 128 2 2 2 2" xfId="15796"/>
    <cellStyle name="Currency 128 2 2 2 3" xfId="21948"/>
    <cellStyle name="Currency 128 2 2 3" xfId="12730"/>
    <cellStyle name="Currency 128 2 2 4" xfId="18882"/>
    <cellStyle name="Currency 128 2 3" xfId="8068"/>
    <cellStyle name="Currency 128 2 3 2" xfId="14262"/>
    <cellStyle name="Currency 128 2 3 3" xfId="20414"/>
    <cellStyle name="Currency 128 2 4" xfId="11196"/>
    <cellStyle name="Currency 128 2 5" xfId="17348"/>
    <cellStyle name="Currency 128 3" xfId="5733"/>
    <cellStyle name="Currency 128 3 2" xfId="8834"/>
    <cellStyle name="Currency 128 3 2 2" xfId="15027"/>
    <cellStyle name="Currency 128 3 2 3" xfId="21179"/>
    <cellStyle name="Currency 128 3 3" xfId="11961"/>
    <cellStyle name="Currency 128 3 4" xfId="18113"/>
    <cellStyle name="Currency 128 4" xfId="7299"/>
    <cellStyle name="Currency 128 4 2" xfId="13493"/>
    <cellStyle name="Currency 128 4 3" xfId="19645"/>
    <cellStyle name="Currency 128 5" xfId="10427"/>
    <cellStyle name="Currency 128 6" xfId="16579"/>
    <cellStyle name="Currency 129" xfId="3095"/>
    <cellStyle name="Currency 129 2" xfId="4893"/>
    <cellStyle name="Currency 129 2 2" xfId="6518"/>
    <cellStyle name="Currency 129 2 2 2" xfId="9604"/>
    <cellStyle name="Currency 129 2 2 2 2" xfId="15797"/>
    <cellStyle name="Currency 129 2 2 2 3" xfId="21949"/>
    <cellStyle name="Currency 129 2 2 3" xfId="12731"/>
    <cellStyle name="Currency 129 2 2 4" xfId="18883"/>
    <cellStyle name="Currency 129 2 3" xfId="8069"/>
    <cellStyle name="Currency 129 2 3 2" xfId="14263"/>
    <cellStyle name="Currency 129 2 3 3" xfId="20415"/>
    <cellStyle name="Currency 129 2 4" xfId="11197"/>
    <cellStyle name="Currency 129 2 5" xfId="17349"/>
    <cellStyle name="Currency 129 3" xfId="5734"/>
    <cellStyle name="Currency 129 3 2" xfId="8835"/>
    <cellStyle name="Currency 129 3 2 2" xfId="15028"/>
    <cellStyle name="Currency 129 3 2 3" xfId="21180"/>
    <cellStyle name="Currency 129 3 3" xfId="11962"/>
    <cellStyle name="Currency 129 3 4" xfId="18114"/>
    <cellStyle name="Currency 129 4" xfId="7300"/>
    <cellStyle name="Currency 129 4 2" xfId="13494"/>
    <cellStyle name="Currency 129 4 3" xfId="19646"/>
    <cellStyle name="Currency 129 5" xfId="10428"/>
    <cellStyle name="Currency 129 6" xfId="16580"/>
    <cellStyle name="Currency 13" xfId="3096"/>
    <cellStyle name="Currency 13 2" xfId="3097"/>
    <cellStyle name="Currency 13 2 2" xfId="23159"/>
    <cellStyle name="Currency 13 3" xfId="3098"/>
    <cellStyle name="Currency 13 3 2" xfId="23160"/>
    <cellStyle name="Currency 13 4" xfId="23161"/>
    <cellStyle name="Currency 13 5" xfId="23158"/>
    <cellStyle name="Currency 130" xfId="3099"/>
    <cellStyle name="Currency 130 2" xfId="4894"/>
    <cellStyle name="Currency 130 2 2" xfId="6519"/>
    <cellStyle name="Currency 130 2 2 2" xfId="9605"/>
    <cellStyle name="Currency 130 2 2 2 2" xfId="15798"/>
    <cellStyle name="Currency 130 2 2 2 3" xfId="21950"/>
    <cellStyle name="Currency 130 2 2 3" xfId="12732"/>
    <cellStyle name="Currency 130 2 2 4" xfId="18884"/>
    <cellStyle name="Currency 130 2 3" xfId="8070"/>
    <cellStyle name="Currency 130 2 3 2" xfId="14264"/>
    <cellStyle name="Currency 130 2 3 3" xfId="20416"/>
    <cellStyle name="Currency 130 2 4" xfId="11198"/>
    <cellStyle name="Currency 130 2 5" xfId="17350"/>
    <cellStyle name="Currency 130 3" xfId="5735"/>
    <cellStyle name="Currency 130 3 2" xfId="8836"/>
    <cellStyle name="Currency 130 3 2 2" xfId="15029"/>
    <cellStyle name="Currency 130 3 2 3" xfId="21181"/>
    <cellStyle name="Currency 130 3 3" xfId="11963"/>
    <cellStyle name="Currency 130 3 4" xfId="18115"/>
    <cellStyle name="Currency 130 4" xfId="7301"/>
    <cellStyle name="Currency 130 4 2" xfId="13495"/>
    <cellStyle name="Currency 130 4 3" xfId="19647"/>
    <cellStyle name="Currency 130 5" xfId="10429"/>
    <cellStyle name="Currency 130 6" xfId="16581"/>
    <cellStyle name="Currency 131" xfId="3100"/>
    <cellStyle name="Currency 132" xfId="3101"/>
    <cellStyle name="Currency 133" xfId="3102"/>
    <cellStyle name="Currency 134" xfId="3103"/>
    <cellStyle name="Currency 135" xfId="3104"/>
    <cellStyle name="Currency 136" xfId="3105"/>
    <cellStyle name="Currency 137" xfId="3106"/>
    <cellStyle name="Currency 138" xfId="3107"/>
    <cellStyle name="Currency 139" xfId="3108"/>
    <cellStyle name="Currency 14" xfId="3109"/>
    <cellStyle name="Currency 14 2" xfId="3110"/>
    <cellStyle name="Currency 14 3" xfId="3111"/>
    <cellStyle name="Currency 14 4" xfId="23162"/>
    <cellStyle name="Currency 140" xfId="3112"/>
    <cellStyle name="Currency 141" xfId="3113"/>
    <cellStyle name="Currency 142" xfId="3114"/>
    <cellStyle name="Currency 143" xfId="3115"/>
    <cellStyle name="Currency 144" xfId="3116"/>
    <cellStyle name="Currency 145" xfId="3117"/>
    <cellStyle name="Currency 146" xfId="3118"/>
    <cellStyle name="Currency 147" xfId="3119"/>
    <cellStyle name="Currency 148" xfId="3120"/>
    <cellStyle name="Currency 149" xfId="3121"/>
    <cellStyle name="Currency 15" xfId="3122"/>
    <cellStyle name="Currency 15 2" xfId="3123"/>
    <cellStyle name="Currency 15 3" xfId="3124"/>
    <cellStyle name="Currency 15 4" xfId="23163"/>
    <cellStyle name="Currency 150" xfId="3125"/>
    <cellStyle name="Currency 151" xfId="3126"/>
    <cellStyle name="Currency 152" xfId="3127"/>
    <cellStyle name="Currency 153" xfId="3128"/>
    <cellStyle name="Currency 154" xfId="3129"/>
    <cellStyle name="Currency 155" xfId="3130"/>
    <cellStyle name="Currency 156" xfId="3131"/>
    <cellStyle name="Currency 157" xfId="3132"/>
    <cellStyle name="Currency 158" xfId="3133"/>
    <cellStyle name="Currency 159" xfId="3134"/>
    <cellStyle name="Currency 159 2" xfId="4895"/>
    <cellStyle name="Currency 159 2 2" xfId="6520"/>
    <cellStyle name="Currency 159 2 2 2" xfId="9606"/>
    <cellStyle name="Currency 159 2 2 2 2" xfId="15799"/>
    <cellStyle name="Currency 159 2 2 2 3" xfId="21951"/>
    <cellStyle name="Currency 159 2 2 3" xfId="12733"/>
    <cellStyle name="Currency 159 2 2 4" xfId="18885"/>
    <cellStyle name="Currency 159 2 3" xfId="8071"/>
    <cellStyle name="Currency 159 2 3 2" xfId="14265"/>
    <cellStyle name="Currency 159 2 3 3" xfId="20417"/>
    <cellStyle name="Currency 159 2 4" xfId="11199"/>
    <cellStyle name="Currency 159 2 5" xfId="17351"/>
    <cellStyle name="Currency 159 3" xfId="5736"/>
    <cellStyle name="Currency 159 3 2" xfId="8837"/>
    <cellStyle name="Currency 159 3 2 2" xfId="15030"/>
    <cellStyle name="Currency 159 3 2 3" xfId="21182"/>
    <cellStyle name="Currency 159 3 3" xfId="11964"/>
    <cellStyle name="Currency 159 3 4" xfId="18116"/>
    <cellStyle name="Currency 159 4" xfId="7302"/>
    <cellStyle name="Currency 159 4 2" xfId="13496"/>
    <cellStyle name="Currency 159 4 3" xfId="19648"/>
    <cellStyle name="Currency 159 5" xfId="10430"/>
    <cellStyle name="Currency 159 6" xfId="16582"/>
    <cellStyle name="Currency 16" xfId="3135"/>
    <cellStyle name="Currency 16 2" xfId="3136"/>
    <cellStyle name="Currency 16 3" xfId="3137"/>
    <cellStyle name="Currency 16 4" xfId="23164"/>
    <cellStyle name="Currency 160" xfId="1323"/>
    <cellStyle name="Currency 161" xfId="4624"/>
    <cellStyle name="Currency 162" xfId="4731"/>
    <cellStyle name="Currency 162 2" xfId="4736"/>
    <cellStyle name="Currency 162 3" xfId="6363"/>
    <cellStyle name="Currency 162 3 2" xfId="9449"/>
    <cellStyle name="Currency 162 3 2 2" xfId="15642"/>
    <cellStyle name="Currency 162 3 2 3" xfId="21794"/>
    <cellStyle name="Currency 162 3 3" xfId="12576"/>
    <cellStyle name="Currency 162 3 4" xfId="18728"/>
    <cellStyle name="Currency 162 4" xfId="7914"/>
    <cellStyle name="Currency 162 4 2" xfId="14108"/>
    <cellStyle name="Currency 162 4 3" xfId="20260"/>
    <cellStyle name="Currency 162 5" xfId="11042"/>
    <cellStyle name="Currency 162 6" xfId="17194"/>
    <cellStyle name="Currency 163" xfId="5505"/>
    <cellStyle name="Currency 164" xfId="5573"/>
    <cellStyle name="Currency 165" xfId="5513"/>
    <cellStyle name="Currency 166" xfId="5564"/>
    <cellStyle name="Currency 167" xfId="5524"/>
    <cellStyle name="Currency 168" xfId="5510"/>
    <cellStyle name="Currency 169" xfId="5566"/>
    <cellStyle name="Currency 17" xfId="3138"/>
    <cellStyle name="Currency 17 2" xfId="3139"/>
    <cellStyle name="Currency 17 3" xfId="3140"/>
    <cellStyle name="Currency 170" xfId="5522"/>
    <cellStyle name="Currency 171" xfId="5562"/>
    <cellStyle name="Currency 172" xfId="5553"/>
    <cellStyle name="Currency 173" xfId="5527"/>
    <cellStyle name="Currency 174" xfId="5549"/>
    <cellStyle name="Currency 175" xfId="5534"/>
    <cellStyle name="Currency 176" xfId="5530"/>
    <cellStyle name="Currency 177" xfId="5546"/>
    <cellStyle name="Currency 178" xfId="5533"/>
    <cellStyle name="Currency 179" xfId="4740"/>
    <cellStyle name="Currency 179 2" xfId="6365"/>
    <cellStyle name="Currency 179 2 2" xfId="9451"/>
    <cellStyle name="Currency 179 2 2 2" xfId="15644"/>
    <cellStyle name="Currency 179 2 2 3" xfId="21796"/>
    <cellStyle name="Currency 179 2 3" xfId="12578"/>
    <cellStyle name="Currency 179 2 4" xfId="18730"/>
    <cellStyle name="Currency 179 3" xfId="7916"/>
    <cellStyle name="Currency 179 3 2" xfId="14110"/>
    <cellStyle name="Currency 179 3 3" xfId="20262"/>
    <cellStyle name="Currency 179 4" xfId="11044"/>
    <cellStyle name="Currency 179 5" xfId="17196"/>
    <cellStyle name="Currency 18" xfId="3141"/>
    <cellStyle name="Currency 18 2" xfId="3142"/>
    <cellStyle name="Currency 18 3" xfId="3143"/>
    <cellStyle name="Currency 180" xfId="7145"/>
    <cellStyle name="Currency 181" xfId="10216"/>
    <cellStyle name="Currency 182" xfId="10220"/>
    <cellStyle name="Currency 183" xfId="10273"/>
    <cellStyle name="Currency 184" xfId="1182"/>
    <cellStyle name="Currency 185" xfId="1190"/>
    <cellStyle name="Currency 186" xfId="22586"/>
    <cellStyle name="Currency 187" xfId="22581"/>
    <cellStyle name="Currency 188" xfId="22589"/>
    <cellStyle name="Currency 189" xfId="207"/>
    <cellStyle name="Currency 19" xfId="3144"/>
    <cellStyle name="Currency 19 2" xfId="3145"/>
    <cellStyle name="Currency 19 3" xfId="3146"/>
    <cellStyle name="Currency 190" xfId="23121"/>
    <cellStyle name="Currency 191" xfId="23123"/>
    <cellStyle name="Currency 192" xfId="23124"/>
    <cellStyle name="Currency 193" xfId="23125"/>
    <cellStyle name="Currency 194" xfId="23122"/>
    <cellStyle name="Currency 195" xfId="23119"/>
    <cellStyle name="Currency 196" xfId="23120"/>
    <cellStyle name="Currency 197" xfId="23126"/>
    <cellStyle name="Currency 198" xfId="23127"/>
    <cellStyle name="Currency 199" xfId="23128"/>
    <cellStyle name="Currency 2" xfId="11"/>
    <cellStyle name="Currency 2 10" xfId="333"/>
    <cellStyle name="Currency 2 10 2" xfId="4646"/>
    <cellStyle name="Currency 2 10 3" xfId="3148"/>
    <cellStyle name="Currency 2 11" xfId="327"/>
    <cellStyle name="Currency 2 11 2" xfId="4647"/>
    <cellStyle name="Currency 2 11 3" xfId="3149"/>
    <cellStyle name="Currency 2 12" xfId="353"/>
    <cellStyle name="Currency 2 12 2" xfId="4648"/>
    <cellStyle name="Currency 2 12 3" xfId="3150"/>
    <cellStyle name="Currency 2 13" xfId="368"/>
    <cellStyle name="Currency 2 13 2" xfId="4649"/>
    <cellStyle name="Currency 2 13 3" xfId="3151"/>
    <cellStyle name="Currency 2 14" xfId="383"/>
    <cellStyle name="Currency 2 14 2" xfId="4650"/>
    <cellStyle name="Currency 2 14 3" xfId="3152"/>
    <cellStyle name="Currency 2 15" xfId="399"/>
    <cellStyle name="Currency 2 15 2" xfId="4651"/>
    <cellStyle name="Currency 2 15 3" xfId="3153"/>
    <cellStyle name="Currency 2 16" xfId="437"/>
    <cellStyle name="Currency 2 16 2" xfId="4652"/>
    <cellStyle name="Currency 2 16 3" xfId="3154"/>
    <cellStyle name="Currency 2 17" xfId="458"/>
    <cellStyle name="Currency 2 17 2" xfId="4653"/>
    <cellStyle name="Currency 2 17 3" xfId="3155"/>
    <cellStyle name="Currency 2 18" xfId="472"/>
    <cellStyle name="Currency 2 18 2" xfId="4654"/>
    <cellStyle name="Currency 2 18 3" xfId="3156"/>
    <cellStyle name="Currency 2 19" xfId="486"/>
    <cellStyle name="Currency 2 19 2" xfId="4655"/>
    <cellStyle name="Currency 2 19 3" xfId="3157"/>
    <cellStyle name="Currency 2 2" xfId="12"/>
    <cellStyle name="Currency 2 2 10" xfId="3159"/>
    <cellStyle name="Currency 2 2 10 2" xfId="4898"/>
    <cellStyle name="Currency 2 2 10 2 2" xfId="6523"/>
    <cellStyle name="Currency 2 2 10 2 2 2" xfId="9609"/>
    <cellStyle name="Currency 2 2 10 2 2 2 2" xfId="15802"/>
    <cellStyle name="Currency 2 2 10 2 2 2 3" xfId="21954"/>
    <cellStyle name="Currency 2 2 10 2 2 3" xfId="12736"/>
    <cellStyle name="Currency 2 2 10 2 2 4" xfId="18888"/>
    <cellStyle name="Currency 2 2 10 2 3" xfId="8074"/>
    <cellStyle name="Currency 2 2 10 2 3 2" xfId="14268"/>
    <cellStyle name="Currency 2 2 10 2 3 3" xfId="20420"/>
    <cellStyle name="Currency 2 2 10 2 4" xfId="11202"/>
    <cellStyle name="Currency 2 2 10 2 5" xfId="17354"/>
    <cellStyle name="Currency 2 2 10 3" xfId="5739"/>
    <cellStyle name="Currency 2 2 10 3 2" xfId="8840"/>
    <cellStyle name="Currency 2 2 10 3 2 2" xfId="15033"/>
    <cellStyle name="Currency 2 2 10 3 2 3" xfId="21185"/>
    <cellStyle name="Currency 2 2 10 3 3" xfId="11967"/>
    <cellStyle name="Currency 2 2 10 3 4" xfId="18119"/>
    <cellStyle name="Currency 2 2 10 4" xfId="7305"/>
    <cellStyle name="Currency 2 2 10 4 2" xfId="13499"/>
    <cellStyle name="Currency 2 2 10 4 3" xfId="19651"/>
    <cellStyle name="Currency 2 2 10 5" xfId="10433"/>
    <cellStyle name="Currency 2 2 10 6" xfId="16585"/>
    <cellStyle name="Currency 2 2 11" xfId="3160"/>
    <cellStyle name="Currency 2 2 11 2" xfId="4899"/>
    <cellStyle name="Currency 2 2 11 2 2" xfId="6524"/>
    <cellStyle name="Currency 2 2 11 2 2 2" xfId="9610"/>
    <cellStyle name="Currency 2 2 11 2 2 2 2" xfId="15803"/>
    <cellStyle name="Currency 2 2 11 2 2 2 3" xfId="21955"/>
    <cellStyle name="Currency 2 2 11 2 2 3" xfId="12737"/>
    <cellStyle name="Currency 2 2 11 2 2 4" xfId="18889"/>
    <cellStyle name="Currency 2 2 11 2 3" xfId="8075"/>
    <cellStyle name="Currency 2 2 11 2 3 2" xfId="14269"/>
    <cellStyle name="Currency 2 2 11 2 3 3" xfId="20421"/>
    <cellStyle name="Currency 2 2 11 2 4" xfId="11203"/>
    <cellStyle name="Currency 2 2 11 2 5" xfId="17355"/>
    <cellStyle name="Currency 2 2 11 3" xfId="5740"/>
    <cellStyle name="Currency 2 2 11 3 2" xfId="8841"/>
    <cellStyle name="Currency 2 2 11 3 2 2" xfId="15034"/>
    <cellStyle name="Currency 2 2 11 3 2 3" xfId="21186"/>
    <cellStyle name="Currency 2 2 11 3 3" xfId="11968"/>
    <cellStyle name="Currency 2 2 11 3 4" xfId="18120"/>
    <cellStyle name="Currency 2 2 11 4" xfId="7306"/>
    <cellStyle name="Currency 2 2 11 4 2" xfId="13500"/>
    <cellStyle name="Currency 2 2 11 4 3" xfId="19652"/>
    <cellStyle name="Currency 2 2 11 5" xfId="10434"/>
    <cellStyle name="Currency 2 2 11 6" xfId="16586"/>
    <cellStyle name="Currency 2 2 12" xfId="3161"/>
    <cellStyle name="Currency 2 2 12 2" xfId="4900"/>
    <cellStyle name="Currency 2 2 12 2 2" xfId="6525"/>
    <cellStyle name="Currency 2 2 12 2 2 2" xfId="9611"/>
    <cellStyle name="Currency 2 2 12 2 2 2 2" xfId="15804"/>
    <cellStyle name="Currency 2 2 12 2 2 2 3" xfId="21956"/>
    <cellStyle name="Currency 2 2 12 2 2 3" xfId="12738"/>
    <cellStyle name="Currency 2 2 12 2 2 4" xfId="18890"/>
    <cellStyle name="Currency 2 2 12 2 3" xfId="8076"/>
    <cellStyle name="Currency 2 2 12 2 3 2" xfId="14270"/>
    <cellStyle name="Currency 2 2 12 2 3 3" xfId="20422"/>
    <cellStyle name="Currency 2 2 12 2 4" xfId="11204"/>
    <cellStyle name="Currency 2 2 12 2 5" xfId="17356"/>
    <cellStyle name="Currency 2 2 12 3" xfId="5741"/>
    <cellStyle name="Currency 2 2 12 3 2" xfId="8842"/>
    <cellStyle name="Currency 2 2 12 3 2 2" xfId="15035"/>
    <cellStyle name="Currency 2 2 12 3 2 3" xfId="21187"/>
    <cellStyle name="Currency 2 2 12 3 3" xfId="11969"/>
    <cellStyle name="Currency 2 2 12 3 4" xfId="18121"/>
    <cellStyle name="Currency 2 2 12 4" xfId="7307"/>
    <cellStyle name="Currency 2 2 12 4 2" xfId="13501"/>
    <cellStyle name="Currency 2 2 12 4 3" xfId="19653"/>
    <cellStyle name="Currency 2 2 12 5" xfId="10435"/>
    <cellStyle name="Currency 2 2 12 6" xfId="16587"/>
    <cellStyle name="Currency 2 2 13" xfId="3162"/>
    <cellStyle name="Currency 2 2 13 2" xfId="4901"/>
    <cellStyle name="Currency 2 2 13 2 2" xfId="6526"/>
    <cellStyle name="Currency 2 2 13 2 2 2" xfId="9612"/>
    <cellStyle name="Currency 2 2 13 2 2 2 2" xfId="15805"/>
    <cellStyle name="Currency 2 2 13 2 2 2 3" xfId="21957"/>
    <cellStyle name="Currency 2 2 13 2 2 3" xfId="12739"/>
    <cellStyle name="Currency 2 2 13 2 2 4" xfId="18891"/>
    <cellStyle name="Currency 2 2 13 2 3" xfId="8077"/>
    <cellStyle name="Currency 2 2 13 2 3 2" xfId="14271"/>
    <cellStyle name="Currency 2 2 13 2 3 3" xfId="20423"/>
    <cellStyle name="Currency 2 2 13 2 4" xfId="11205"/>
    <cellStyle name="Currency 2 2 13 2 5" xfId="17357"/>
    <cellStyle name="Currency 2 2 13 3" xfId="5742"/>
    <cellStyle name="Currency 2 2 13 3 2" xfId="8843"/>
    <cellStyle name="Currency 2 2 13 3 2 2" xfId="15036"/>
    <cellStyle name="Currency 2 2 13 3 2 3" xfId="21188"/>
    <cellStyle name="Currency 2 2 13 3 3" xfId="11970"/>
    <cellStyle name="Currency 2 2 13 3 4" xfId="18122"/>
    <cellStyle name="Currency 2 2 13 4" xfId="7308"/>
    <cellStyle name="Currency 2 2 13 4 2" xfId="13502"/>
    <cellStyle name="Currency 2 2 13 4 3" xfId="19654"/>
    <cellStyle name="Currency 2 2 13 5" xfId="10436"/>
    <cellStyle name="Currency 2 2 13 6" xfId="16588"/>
    <cellStyle name="Currency 2 2 14" xfId="3163"/>
    <cellStyle name="Currency 2 2 14 2" xfId="4902"/>
    <cellStyle name="Currency 2 2 14 2 2" xfId="6527"/>
    <cellStyle name="Currency 2 2 14 2 2 2" xfId="9613"/>
    <cellStyle name="Currency 2 2 14 2 2 2 2" xfId="15806"/>
    <cellStyle name="Currency 2 2 14 2 2 2 3" xfId="21958"/>
    <cellStyle name="Currency 2 2 14 2 2 3" xfId="12740"/>
    <cellStyle name="Currency 2 2 14 2 2 4" xfId="18892"/>
    <cellStyle name="Currency 2 2 14 2 3" xfId="8078"/>
    <cellStyle name="Currency 2 2 14 2 3 2" xfId="14272"/>
    <cellStyle name="Currency 2 2 14 2 3 3" xfId="20424"/>
    <cellStyle name="Currency 2 2 14 2 4" xfId="11206"/>
    <cellStyle name="Currency 2 2 14 2 5" xfId="17358"/>
    <cellStyle name="Currency 2 2 14 3" xfId="5743"/>
    <cellStyle name="Currency 2 2 14 3 2" xfId="8844"/>
    <cellStyle name="Currency 2 2 14 3 2 2" xfId="15037"/>
    <cellStyle name="Currency 2 2 14 3 2 3" xfId="21189"/>
    <cellStyle name="Currency 2 2 14 3 3" xfId="11971"/>
    <cellStyle name="Currency 2 2 14 3 4" xfId="18123"/>
    <cellStyle name="Currency 2 2 14 4" xfId="7309"/>
    <cellStyle name="Currency 2 2 14 4 2" xfId="13503"/>
    <cellStyle name="Currency 2 2 14 4 3" xfId="19655"/>
    <cellStyle name="Currency 2 2 14 5" xfId="10437"/>
    <cellStyle name="Currency 2 2 14 6" xfId="16589"/>
    <cellStyle name="Currency 2 2 15" xfId="3164"/>
    <cellStyle name="Currency 2 2 15 2" xfId="4903"/>
    <cellStyle name="Currency 2 2 15 2 2" xfId="6528"/>
    <cellStyle name="Currency 2 2 15 2 2 2" xfId="9614"/>
    <cellStyle name="Currency 2 2 15 2 2 2 2" xfId="15807"/>
    <cellStyle name="Currency 2 2 15 2 2 2 3" xfId="21959"/>
    <cellStyle name="Currency 2 2 15 2 2 3" xfId="12741"/>
    <cellStyle name="Currency 2 2 15 2 2 4" xfId="18893"/>
    <cellStyle name="Currency 2 2 15 2 3" xfId="8079"/>
    <cellStyle name="Currency 2 2 15 2 3 2" xfId="14273"/>
    <cellStyle name="Currency 2 2 15 2 3 3" xfId="20425"/>
    <cellStyle name="Currency 2 2 15 2 4" xfId="11207"/>
    <cellStyle name="Currency 2 2 15 2 5" xfId="17359"/>
    <cellStyle name="Currency 2 2 15 3" xfId="5744"/>
    <cellStyle name="Currency 2 2 15 3 2" xfId="8845"/>
    <cellStyle name="Currency 2 2 15 3 2 2" xfId="15038"/>
    <cellStyle name="Currency 2 2 15 3 2 3" xfId="21190"/>
    <cellStyle name="Currency 2 2 15 3 3" xfId="11972"/>
    <cellStyle name="Currency 2 2 15 3 4" xfId="18124"/>
    <cellStyle name="Currency 2 2 15 4" xfId="7310"/>
    <cellStyle name="Currency 2 2 15 4 2" xfId="13504"/>
    <cellStyle name="Currency 2 2 15 4 3" xfId="19656"/>
    <cellStyle name="Currency 2 2 15 5" xfId="10438"/>
    <cellStyle name="Currency 2 2 15 6" xfId="16590"/>
    <cellStyle name="Currency 2 2 16" xfId="3165"/>
    <cellStyle name="Currency 2 2 16 2" xfId="4904"/>
    <cellStyle name="Currency 2 2 16 2 2" xfId="6529"/>
    <cellStyle name="Currency 2 2 16 2 2 2" xfId="9615"/>
    <cellStyle name="Currency 2 2 16 2 2 2 2" xfId="15808"/>
    <cellStyle name="Currency 2 2 16 2 2 2 3" xfId="21960"/>
    <cellStyle name="Currency 2 2 16 2 2 3" xfId="12742"/>
    <cellStyle name="Currency 2 2 16 2 2 4" xfId="18894"/>
    <cellStyle name="Currency 2 2 16 2 3" xfId="8080"/>
    <cellStyle name="Currency 2 2 16 2 3 2" xfId="14274"/>
    <cellStyle name="Currency 2 2 16 2 3 3" xfId="20426"/>
    <cellStyle name="Currency 2 2 16 2 4" xfId="11208"/>
    <cellStyle name="Currency 2 2 16 2 5" xfId="17360"/>
    <cellStyle name="Currency 2 2 16 3" xfId="5745"/>
    <cellStyle name="Currency 2 2 16 3 2" xfId="8846"/>
    <cellStyle name="Currency 2 2 16 3 2 2" xfId="15039"/>
    <cellStyle name="Currency 2 2 16 3 2 3" xfId="21191"/>
    <cellStyle name="Currency 2 2 16 3 3" xfId="11973"/>
    <cellStyle name="Currency 2 2 16 3 4" xfId="18125"/>
    <cellStyle name="Currency 2 2 16 4" xfId="7311"/>
    <cellStyle name="Currency 2 2 16 4 2" xfId="13505"/>
    <cellStyle name="Currency 2 2 16 4 3" xfId="19657"/>
    <cellStyle name="Currency 2 2 16 5" xfId="10439"/>
    <cellStyle name="Currency 2 2 16 6" xfId="16591"/>
    <cellStyle name="Currency 2 2 17" xfId="3166"/>
    <cellStyle name="Currency 2 2 17 2" xfId="4905"/>
    <cellStyle name="Currency 2 2 17 2 2" xfId="6530"/>
    <cellStyle name="Currency 2 2 17 2 2 2" xfId="9616"/>
    <cellStyle name="Currency 2 2 17 2 2 2 2" xfId="15809"/>
    <cellStyle name="Currency 2 2 17 2 2 2 3" xfId="21961"/>
    <cellStyle name="Currency 2 2 17 2 2 3" xfId="12743"/>
    <cellStyle name="Currency 2 2 17 2 2 4" xfId="18895"/>
    <cellStyle name="Currency 2 2 17 2 3" xfId="8081"/>
    <cellStyle name="Currency 2 2 17 2 3 2" xfId="14275"/>
    <cellStyle name="Currency 2 2 17 2 3 3" xfId="20427"/>
    <cellStyle name="Currency 2 2 17 2 4" xfId="11209"/>
    <cellStyle name="Currency 2 2 17 2 5" xfId="17361"/>
    <cellStyle name="Currency 2 2 17 3" xfId="5746"/>
    <cellStyle name="Currency 2 2 17 3 2" xfId="8847"/>
    <cellStyle name="Currency 2 2 17 3 2 2" xfId="15040"/>
    <cellStyle name="Currency 2 2 17 3 2 3" xfId="21192"/>
    <cellStyle name="Currency 2 2 17 3 3" xfId="11974"/>
    <cellStyle name="Currency 2 2 17 3 4" xfId="18126"/>
    <cellStyle name="Currency 2 2 17 4" xfId="7312"/>
    <cellStyle name="Currency 2 2 17 4 2" xfId="13506"/>
    <cellStyle name="Currency 2 2 17 4 3" xfId="19658"/>
    <cellStyle name="Currency 2 2 17 5" xfId="10440"/>
    <cellStyle name="Currency 2 2 17 6" xfId="16592"/>
    <cellStyle name="Currency 2 2 18" xfId="3167"/>
    <cellStyle name="Currency 2 2 18 2" xfId="4906"/>
    <cellStyle name="Currency 2 2 18 2 2" xfId="6531"/>
    <cellStyle name="Currency 2 2 18 2 2 2" xfId="9617"/>
    <cellStyle name="Currency 2 2 18 2 2 2 2" xfId="15810"/>
    <cellStyle name="Currency 2 2 18 2 2 2 3" xfId="21962"/>
    <cellStyle name="Currency 2 2 18 2 2 3" xfId="12744"/>
    <cellStyle name="Currency 2 2 18 2 2 4" xfId="18896"/>
    <cellStyle name="Currency 2 2 18 2 3" xfId="8082"/>
    <cellStyle name="Currency 2 2 18 2 3 2" xfId="14276"/>
    <cellStyle name="Currency 2 2 18 2 3 3" xfId="20428"/>
    <cellStyle name="Currency 2 2 18 2 4" xfId="11210"/>
    <cellStyle name="Currency 2 2 18 2 5" xfId="17362"/>
    <cellStyle name="Currency 2 2 18 3" xfId="5747"/>
    <cellStyle name="Currency 2 2 18 3 2" xfId="8848"/>
    <cellStyle name="Currency 2 2 18 3 2 2" xfId="15041"/>
    <cellStyle name="Currency 2 2 18 3 2 3" xfId="21193"/>
    <cellStyle name="Currency 2 2 18 3 3" xfId="11975"/>
    <cellStyle name="Currency 2 2 18 3 4" xfId="18127"/>
    <cellStyle name="Currency 2 2 18 4" xfId="7313"/>
    <cellStyle name="Currency 2 2 18 4 2" xfId="13507"/>
    <cellStyle name="Currency 2 2 18 4 3" xfId="19659"/>
    <cellStyle name="Currency 2 2 18 5" xfId="10441"/>
    <cellStyle name="Currency 2 2 18 6" xfId="16593"/>
    <cellStyle name="Currency 2 2 19" xfId="3168"/>
    <cellStyle name="Currency 2 2 2" xfId="3169"/>
    <cellStyle name="Currency 2 2 2 2" xfId="3170"/>
    <cellStyle name="Currency 2 2 2 2 2" xfId="4907"/>
    <cellStyle name="Currency 2 2 2 2 2 2" xfId="6532"/>
    <cellStyle name="Currency 2 2 2 2 2 2 2" xfId="9618"/>
    <cellStyle name="Currency 2 2 2 2 2 2 2 2" xfId="15811"/>
    <cellStyle name="Currency 2 2 2 2 2 2 2 3" xfId="21963"/>
    <cellStyle name="Currency 2 2 2 2 2 2 3" xfId="12745"/>
    <cellStyle name="Currency 2 2 2 2 2 2 4" xfId="18897"/>
    <cellStyle name="Currency 2 2 2 2 2 3" xfId="8083"/>
    <cellStyle name="Currency 2 2 2 2 2 3 2" xfId="14277"/>
    <cellStyle name="Currency 2 2 2 2 2 3 3" xfId="20429"/>
    <cellStyle name="Currency 2 2 2 2 2 4" xfId="11211"/>
    <cellStyle name="Currency 2 2 2 2 2 5" xfId="17363"/>
    <cellStyle name="Currency 2 2 2 2 3" xfId="5748"/>
    <cellStyle name="Currency 2 2 2 2 3 2" xfId="8849"/>
    <cellStyle name="Currency 2 2 2 2 3 2 2" xfId="15042"/>
    <cellStyle name="Currency 2 2 2 2 3 2 3" xfId="21194"/>
    <cellStyle name="Currency 2 2 2 2 3 3" xfId="11976"/>
    <cellStyle name="Currency 2 2 2 2 3 4" xfId="18128"/>
    <cellStyle name="Currency 2 2 2 2 4" xfId="7314"/>
    <cellStyle name="Currency 2 2 2 2 4 2" xfId="13508"/>
    <cellStyle name="Currency 2 2 2 2 4 3" xfId="19660"/>
    <cellStyle name="Currency 2 2 2 2 5" xfId="10442"/>
    <cellStyle name="Currency 2 2 2 2 6" xfId="16594"/>
    <cellStyle name="Currency 2 2 2 3" xfId="3171"/>
    <cellStyle name="Currency 2 2 2 3 2" xfId="4908"/>
    <cellStyle name="Currency 2 2 2 3 2 2" xfId="6533"/>
    <cellStyle name="Currency 2 2 2 3 2 2 2" xfId="9619"/>
    <cellStyle name="Currency 2 2 2 3 2 2 2 2" xfId="15812"/>
    <cellStyle name="Currency 2 2 2 3 2 2 2 3" xfId="21964"/>
    <cellStyle name="Currency 2 2 2 3 2 2 3" xfId="12746"/>
    <cellStyle name="Currency 2 2 2 3 2 2 4" xfId="18898"/>
    <cellStyle name="Currency 2 2 2 3 2 3" xfId="8084"/>
    <cellStyle name="Currency 2 2 2 3 2 3 2" xfId="14278"/>
    <cellStyle name="Currency 2 2 2 3 2 3 3" xfId="20430"/>
    <cellStyle name="Currency 2 2 2 3 2 4" xfId="11212"/>
    <cellStyle name="Currency 2 2 2 3 2 5" xfId="17364"/>
    <cellStyle name="Currency 2 2 2 3 3" xfId="5749"/>
    <cellStyle name="Currency 2 2 2 3 3 2" xfId="8850"/>
    <cellStyle name="Currency 2 2 2 3 3 2 2" xfId="15043"/>
    <cellStyle name="Currency 2 2 2 3 3 2 3" xfId="21195"/>
    <cellStyle name="Currency 2 2 2 3 3 3" xfId="11977"/>
    <cellStyle name="Currency 2 2 2 3 3 4" xfId="18129"/>
    <cellStyle name="Currency 2 2 2 3 4" xfId="7315"/>
    <cellStyle name="Currency 2 2 2 3 4 2" xfId="13509"/>
    <cellStyle name="Currency 2 2 2 3 4 3" xfId="19661"/>
    <cellStyle name="Currency 2 2 2 3 5" xfId="10443"/>
    <cellStyle name="Currency 2 2 2 3 6" xfId="16595"/>
    <cellStyle name="Currency 2 2 2 4" xfId="3172"/>
    <cellStyle name="Currency 2 2 2 4 2" xfId="4909"/>
    <cellStyle name="Currency 2 2 2 4 2 2" xfId="6534"/>
    <cellStyle name="Currency 2 2 2 4 2 2 2" xfId="9620"/>
    <cellStyle name="Currency 2 2 2 4 2 2 2 2" xfId="15813"/>
    <cellStyle name="Currency 2 2 2 4 2 2 2 3" xfId="21965"/>
    <cellStyle name="Currency 2 2 2 4 2 2 3" xfId="12747"/>
    <cellStyle name="Currency 2 2 2 4 2 2 4" xfId="18899"/>
    <cellStyle name="Currency 2 2 2 4 2 3" xfId="8085"/>
    <cellStyle name="Currency 2 2 2 4 2 3 2" xfId="14279"/>
    <cellStyle name="Currency 2 2 2 4 2 3 3" xfId="20431"/>
    <cellStyle name="Currency 2 2 2 4 2 4" xfId="11213"/>
    <cellStyle name="Currency 2 2 2 4 2 5" xfId="17365"/>
    <cellStyle name="Currency 2 2 2 4 3" xfId="5750"/>
    <cellStyle name="Currency 2 2 2 4 3 2" xfId="8851"/>
    <cellStyle name="Currency 2 2 2 4 3 2 2" xfId="15044"/>
    <cellStyle name="Currency 2 2 2 4 3 2 3" xfId="21196"/>
    <cellStyle name="Currency 2 2 2 4 3 3" xfId="11978"/>
    <cellStyle name="Currency 2 2 2 4 3 4" xfId="18130"/>
    <cellStyle name="Currency 2 2 2 4 4" xfId="7316"/>
    <cellStyle name="Currency 2 2 2 4 4 2" xfId="13510"/>
    <cellStyle name="Currency 2 2 2 4 4 3" xfId="19662"/>
    <cellStyle name="Currency 2 2 2 4 5" xfId="10444"/>
    <cellStyle name="Currency 2 2 2 4 6" xfId="16596"/>
    <cellStyle name="Currency 2 2 2 5" xfId="3173"/>
    <cellStyle name="Currency 2 2 2 5 2" xfId="4910"/>
    <cellStyle name="Currency 2 2 2 5 2 2" xfId="6535"/>
    <cellStyle name="Currency 2 2 2 5 2 2 2" xfId="9621"/>
    <cellStyle name="Currency 2 2 2 5 2 2 2 2" xfId="15814"/>
    <cellStyle name="Currency 2 2 2 5 2 2 2 3" xfId="21966"/>
    <cellStyle name="Currency 2 2 2 5 2 2 3" xfId="12748"/>
    <cellStyle name="Currency 2 2 2 5 2 2 4" xfId="18900"/>
    <cellStyle name="Currency 2 2 2 5 2 3" xfId="8086"/>
    <cellStyle name="Currency 2 2 2 5 2 3 2" xfId="14280"/>
    <cellStyle name="Currency 2 2 2 5 2 3 3" xfId="20432"/>
    <cellStyle name="Currency 2 2 2 5 2 4" xfId="11214"/>
    <cellStyle name="Currency 2 2 2 5 2 5" xfId="17366"/>
    <cellStyle name="Currency 2 2 2 5 3" xfId="5751"/>
    <cellStyle name="Currency 2 2 2 5 3 2" xfId="8852"/>
    <cellStyle name="Currency 2 2 2 5 3 2 2" xfId="15045"/>
    <cellStyle name="Currency 2 2 2 5 3 2 3" xfId="21197"/>
    <cellStyle name="Currency 2 2 2 5 3 3" xfId="11979"/>
    <cellStyle name="Currency 2 2 2 5 3 4" xfId="18131"/>
    <cellStyle name="Currency 2 2 2 5 4" xfId="7317"/>
    <cellStyle name="Currency 2 2 2 5 4 2" xfId="13511"/>
    <cellStyle name="Currency 2 2 2 5 4 3" xfId="19663"/>
    <cellStyle name="Currency 2 2 2 5 5" xfId="10445"/>
    <cellStyle name="Currency 2 2 2 5 6" xfId="16597"/>
    <cellStyle name="Currency 2 2 20" xfId="3158"/>
    <cellStyle name="Currency 2 2 20 2" xfId="4897"/>
    <cellStyle name="Currency 2 2 20 2 2" xfId="6522"/>
    <cellStyle name="Currency 2 2 20 2 2 2" xfId="9608"/>
    <cellStyle name="Currency 2 2 20 2 2 2 2" xfId="15801"/>
    <cellStyle name="Currency 2 2 20 2 2 2 3" xfId="21953"/>
    <cellStyle name="Currency 2 2 20 2 2 3" xfId="12735"/>
    <cellStyle name="Currency 2 2 20 2 2 4" xfId="18887"/>
    <cellStyle name="Currency 2 2 20 2 3" xfId="8073"/>
    <cellStyle name="Currency 2 2 20 2 3 2" xfId="14267"/>
    <cellStyle name="Currency 2 2 20 2 3 3" xfId="20419"/>
    <cellStyle name="Currency 2 2 20 2 4" xfId="11201"/>
    <cellStyle name="Currency 2 2 20 2 5" xfId="17353"/>
    <cellStyle name="Currency 2 2 20 3" xfId="5738"/>
    <cellStyle name="Currency 2 2 20 3 2" xfId="8839"/>
    <cellStyle name="Currency 2 2 20 3 2 2" xfId="15032"/>
    <cellStyle name="Currency 2 2 20 3 2 3" xfId="21184"/>
    <cellStyle name="Currency 2 2 20 3 3" xfId="11966"/>
    <cellStyle name="Currency 2 2 20 3 4" xfId="18118"/>
    <cellStyle name="Currency 2 2 20 4" xfId="7304"/>
    <cellStyle name="Currency 2 2 20 4 2" xfId="13498"/>
    <cellStyle name="Currency 2 2 20 4 3" xfId="19650"/>
    <cellStyle name="Currency 2 2 20 5" xfId="10432"/>
    <cellStyle name="Currency 2 2 20 6" xfId="16584"/>
    <cellStyle name="Currency 2 2 21" xfId="23166"/>
    <cellStyle name="Currency 2 2 3" xfId="3174"/>
    <cellStyle name="Currency 2 2 3 10" xfId="16598"/>
    <cellStyle name="Currency 2 2 3 2" xfId="3175"/>
    <cellStyle name="Currency 2 2 3 2 2" xfId="4912"/>
    <cellStyle name="Currency 2 2 3 2 2 2" xfId="6537"/>
    <cellStyle name="Currency 2 2 3 2 2 2 2" xfId="9623"/>
    <cellStyle name="Currency 2 2 3 2 2 2 2 2" xfId="15816"/>
    <cellStyle name="Currency 2 2 3 2 2 2 2 3" xfId="21968"/>
    <cellStyle name="Currency 2 2 3 2 2 2 3" xfId="12750"/>
    <cellStyle name="Currency 2 2 3 2 2 2 4" xfId="18902"/>
    <cellStyle name="Currency 2 2 3 2 2 3" xfId="8088"/>
    <cellStyle name="Currency 2 2 3 2 2 3 2" xfId="14282"/>
    <cellStyle name="Currency 2 2 3 2 2 3 3" xfId="20434"/>
    <cellStyle name="Currency 2 2 3 2 2 4" xfId="11216"/>
    <cellStyle name="Currency 2 2 3 2 2 5" xfId="17368"/>
    <cellStyle name="Currency 2 2 3 2 3" xfId="5753"/>
    <cellStyle name="Currency 2 2 3 2 3 2" xfId="8854"/>
    <cellStyle name="Currency 2 2 3 2 3 2 2" xfId="15047"/>
    <cellStyle name="Currency 2 2 3 2 3 2 3" xfId="21199"/>
    <cellStyle name="Currency 2 2 3 2 3 3" xfId="11981"/>
    <cellStyle name="Currency 2 2 3 2 3 4" xfId="18133"/>
    <cellStyle name="Currency 2 2 3 2 4" xfId="7319"/>
    <cellStyle name="Currency 2 2 3 2 4 2" xfId="13513"/>
    <cellStyle name="Currency 2 2 3 2 4 3" xfId="19665"/>
    <cellStyle name="Currency 2 2 3 2 5" xfId="10447"/>
    <cellStyle name="Currency 2 2 3 2 6" xfId="16599"/>
    <cellStyle name="Currency 2 2 3 3" xfId="3176"/>
    <cellStyle name="Currency 2 2 3 3 2" xfId="4913"/>
    <cellStyle name="Currency 2 2 3 3 2 2" xfId="6538"/>
    <cellStyle name="Currency 2 2 3 3 2 2 2" xfId="9624"/>
    <cellStyle name="Currency 2 2 3 3 2 2 2 2" xfId="15817"/>
    <cellStyle name="Currency 2 2 3 3 2 2 2 3" xfId="21969"/>
    <cellStyle name="Currency 2 2 3 3 2 2 3" xfId="12751"/>
    <cellStyle name="Currency 2 2 3 3 2 2 4" xfId="18903"/>
    <cellStyle name="Currency 2 2 3 3 2 3" xfId="8089"/>
    <cellStyle name="Currency 2 2 3 3 2 3 2" xfId="14283"/>
    <cellStyle name="Currency 2 2 3 3 2 3 3" xfId="20435"/>
    <cellStyle name="Currency 2 2 3 3 2 4" xfId="11217"/>
    <cellStyle name="Currency 2 2 3 3 2 5" xfId="17369"/>
    <cellStyle name="Currency 2 2 3 3 3" xfId="5754"/>
    <cellStyle name="Currency 2 2 3 3 3 2" xfId="8855"/>
    <cellStyle name="Currency 2 2 3 3 3 2 2" xfId="15048"/>
    <cellStyle name="Currency 2 2 3 3 3 2 3" xfId="21200"/>
    <cellStyle name="Currency 2 2 3 3 3 3" xfId="11982"/>
    <cellStyle name="Currency 2 2 3 3 3 4" xfId="18134"/>
    <cellStyle name="Currency 2 2 3 3 4" xfId="7320"/>
    <cellStyle name="Currency 2 2 3 3 4 2" xfId="13514"/>
    <cellStyle name="Currency 2 2 3 3 4 3" xfId="19666"/>
    <cellStyle name="Currency 2 2 3 3 5" xfId="10448"/>
    <cellStyle name="Currency 2 2 3 3 6" xfId="16600"/>
    <cellStyle name="Currency 2 2 3 4" xfId="3177"/>
    <cellStyle name="Currency 2 2 3 4 2" xfId="4914"/>
    <cellStyle name="Currency 2 2 3 4 2 2" xfId="6539"/>
    <cellStyle name="Currency 2 2 3 4 2 2 2" xfId="9625"/>
    <cellStyle name="Currency 2 2 3 4 2 2 2 2" xfId="15818"/>
    <cellStyle name="Currency 2 2 3 4 2 2 2 3" xfId="21970"/>
    <cellStyle name="Currency 2 2 3 4 2 2 3" xfId="12752"/>
    <cellStyle name="Currency 2 2 3 4 2 2 4" xfId="18904"/>
    <cellStyle name="Currency 2 2 3 4 2 3" xfId="8090"/>
    <cellStyle name="Currency 2 2 3 4 2 3 2" xfId="14284"/>
    <cellStyle name="Currency 2 2 3 4 2 3 3" xfId="20436"/>
    <cellStyle name="Currency 2 2 3 4 2 4" xfId="11218"/>
    <cellStyle name="Currency 2 2 3 4 2 5" xfId="17370"/>
    <cellStyle name="Currency 2 2 3 4 3" xfId="5755"/>
    <cellStyle name="Currency 2 2 3 4 3 2" xfId="8856"/>
    <cellStyle name="Currency 2 2 3 4 3 2 2" xfId="15049"/>
    <cellStyle name="Currency 2 2 3 4 3 2 3" xfId="21201"/>
    <cellStyle name="Currency 2 2 3 4 3 3" xfId="11983"/>
    <cellStyle name="Currency 2 2 3 4 3 4" xfId="18135"/>
    <cellStyle name="Currency 2 2 3 4 4" xfId="7321"/>
    <cellStyle name="Currency 2 2 3 4 4 2" xfId="13515"/>
    <cellStyle name="Currency 2 2 3 4 4 3" xfId="19667"/>
    <cellStyle name="Currency 2 2 3 4 5" xfId="10449"/>
    <cellStyle name="Currency 2 2 3 4 6" xfId="16601"/>
    <cellStyle name="Currency 2 2 3 5" xfId="3178"/>
    <cellStyle name="Currency 2 2 3 5 2" xfId="4915"/>
    <cellStyle name="Currency 2 2 3 5 2 2" xfId="6540"/>
    <cellStyle name="Currency 2 2 3 5 2 2 2" xfId="9626"/>
    <cellStyle name="Currency 2 2 3 5 2 2 2 2" xfId="15819"/>
    <cellStyle name="Currency 2 2 3 5 2 2 2 3" xfId="21971"/>
    <cellStyle name="Currency 2 2 3 5 2 2 3" xfId="12753"/>
    <cellStyle name="Currency 2 2 3 5 2 2 4" xfId="18905"/>
    <cellStyle name="Currency 2 2 3 5 2 3" xfId="8091"/>
    <cellStyle name="Currency 2 2 3 5 2 3 2" xfId="14285"/>
    <cellStyle name="Currency 2 2 3 5 2 3 3" xfId="20437"/>
    <cellStyle name="Currency 2 2 3 5 2 4" xfId="11219"/>
    <cellStyle name="Currency 2 2 3 5 2 5" xfId="17371"/>
    <cellStyle name="Currency 2 2 3 5 3" xfId="5756"/>
    <cellStyle name="Currency 2 2 3 5 3 2" xfId="8857"/>
    <cellStyle name="Currency 2 2 3 5 3 2 2" xfId="15050"/>
    <cellStyle name="Currency 2 2 3 5 3 2 3" xfId="21202"/>
    <cellStyle name="Currency 2 2 3 5 3 3" xfId="11984"/>
    <cellStyle name="Currency 2 2 3 5 3 4" xfId="18136"/>
    <cellStyle name="Currency 2 2 3 5 4" xfId="7322"/>
    <cellStyle name="Currency 2 2 3 5 4 2" xfId="13516"/>
    <cellStyle name="Currency 2 2 3 5 4 3" xfId="19668"/>
    <cellStyle name="Currency 2 2 3 5 5" xfId="10450"/>
    <cellStyle name="Currency 2 2 3 5 6" xfId="16602"/>
    <cellStyle name="Currency 2 2 3 6" xfId="4911"/>
    <cellStyle name="Currency 2 2 3 6 2" xfId="6536"/>
    <cellStyle name="Currency 2 2 3 6 2 2" xfId="9622"/>
    <cellStyle name="Currency 2 2 3 6 2 2 2" xfId="15815"/>
    <cellStyle name="Currency 2 2 3 6 2 2 3" xfId="21967"/>
    <cellStyle name="Currency 2 2 3 6 2 3" xfId="12749"/>
    <cellStyle name="Currency 2 2 3 6 2 4" xfId="18901"/>
    <cellStyle name="Currency 2 2 3 6 3" xfId="8087"/>
    <cellStyle name="Currency 2 2 3 6 3 2" xfId="14281"/>
    <cellStyle name="Currency 2 2 3 6 3 3" xfId="20433"/>
    <cellStyle name="Currency 2 2 3 6 4" xfId="11215"/>
    <cellStyle name="Currency 2 2 3 6 5" xfId="17367"/>
    <cellStyle name="Currency 2 2 3 7" xfId="5752"/>
    <cellStyle name="Currency 2 2 3 7 2" xfId="8853"/>
    <cellStyle name="Currency 2 2 3 7 2 2" xfId="15046"/>
    <cellStyle name="Currency 2 2 3 7 2 3" xfId="21198"/>
    <cellStyle name="Currency 2 2 3 7 3" xfId="11980"/>
    <cellStyle name="Currency 2 2 3 7 4" xfId="18132"/>
    <cellStyle name="Currency 2 2 3 8" xfId="7318"/>
    <cellStyle name="Currency 2 2 3 8 2" xfId="13512"/>
    <cellStyle name="Currency 2 2 3 8 3" xfId="19664"/>
    <cellStyle name="Currency 2 2 3 9" xfId="10446"/>
    <cellStyle name="Currency 2 2 4" xfId="3179"/>
    <cellStyle name="Currency 2 2 4 2" xfId="4916"/>
    <cellStyle name="Currency 2 2 4 2 2" xfId="6541"/>
    <cellStyle name="Currency 2 2 4 2 2 2" xfId="9627"/>
    <cellStyle name="Currency 2 2 4 2 2 2 2" xfId="15820"/>
    <cellStyle name="Currency 2 2 4 2 2 2 3" xfId="21972"/>
    <cellStyle name="Currency 2 2 4 2 2 3" xfId="12754"/>
    <cellStyle name="Currency 2 2 4 2 2 4" xfId="18906"/>
    <cellStyle name="Currency 2 2 4 2 3" xfId="8092"/>
    <cellStyle name="Currency 2 2 4 2 3 2" xfId="14286"/>
    <cellStyle name="Currency 2 2 4 2 3 3" xfId="20438"/>
    <cellStyle name="Currency 2 2 4 2 4" xfId="11220"/>
    <cellStyle name="Currency 2 2 4 2 5" xfId="17372"/>
    <cellStyle name="Currency 2 2 4 3" xfId="5757"/>
    <cellStyle name="Currency 2 2 4 3 2" xfId="8858"/>
    <cellStyle name="Currency 2 2 4 3 2 2" xfId="15051"/>
    <cellStyle name="Currency 2 2 4 3 2 3" xfId="21203"/>
    <cellStyle name="Currency 2 2 4 3 3" xfId="11985"/>
    <cellStyle name="Currency 2 2 4 3 4" xfId="18137"/>
    <cellStyle name="Currency 2 2 4 4" xfId="7323"/>
    <cellStyle name="Currency 2 2 4 4 2" xfId="13517"/>
    <cellStyle name="Currency 2 2 4 4 3" xfId="19669"/>
    <cellStyle name="Currency 2 2 4 5" xfId="10451"/>
    <cellStyle name="Currency 2 2 4 6" xfId="16603"/>
    <cellStyle name="Currency 2 2 5" xfId="3180"/>
    <cellStyle name="Currency 2 2 5 2" xfId="4917"/>
    <cellStyle name="Currency 2 2 5 2 2" xfId="6542"/>
    <cellStyle name="Currency 2 2 5 2 2 2" xfId="9628"/>
    <cellStyle name="Currency 2 2 5 2 2 2 2" xfId="15821"/>
    <cellStyle name="Currency 2 2 5 2 2 2 3" xfId="21973"/>
    <cellStyle name="Currency 2 2 5 2 2 3" xfId="12755"/>
    <cellStyle name="Currency 2 2 5 2 2 4" xfId="18907"/>
    <cellStyle name="Currency 2 2 5 2 3" xfId="8093"/>
    <cellStyle name="Currency 2 2 5 2 3 2" xfId="14287"/>
    <cellStyle name="Currency 2 2 5 2 3 3" xfId="20439"/>
    <cellStyle name="Currency 2 2 5 2 4" xfId="11221"/>
    <cellStyle name="Currency 2 2 5 2 5" xfId="17373"/>
    <cellStyle name="Currency 2 2 5 3" xfId="5758"/>
    <cellStyle name="Currency 2 2 5 3 2" xfId="8859"/>
    <cellStyle name="Currency 2 2 5 3 2 2" xfId="15052"/>
    <cellStyle name="Currency 2 2 5 3 2 3" xfId="21204"/>
    <cellStyle name="Currency 2 2 5 3 3" xfId="11986"/>
    <cellStyle name="Currency 2 2 5 3 4" xfId="18138"/>
    <cellStyle name="Currency 2 2 5 4" xfId="7324"/>
    <cellStyle name="Currency 2 2 5 4 2" xfId="13518"/>
    <cellStyle name="Currency 2 2 5 4 3" xfId="19670"/>
    <cellStyle name="Currency 2 2 5 5" xfId="10452"/>
    <cellStyle name="Currency 2 2 5 6" xfId="16604"/>
    <cellStyle name="Currency 2 2 6" xfId="3181"/>
    <cellStyle name="Currency 2 2 6 2" xfId="4918"/>
    <cellStyle name="Currency 2 2 6 2 2" xfId="6543"/>
    <cellStyle name="Currency 2 2 6 2 2 2" xfId="9629"/>
    <cellStyle name="Currency 2 2 6 2 2 2 2" xfId="15822"/>
    <cellStyle name="Currency 2 2 6 2 2 2 3" xfId="21974"/>
    <cellStyle name="Currency 2 2 6 2 2 3" xfId="12756"/>
    <cellStyle name="Currency 2 2 6 2 2 4" xfId="18908"/>
    <cellStyle name="Currency 2 2 6 2 3" xfId="8094"/>
    <cellStyle name="Currency 2 2 6 2 3 2" xfId="14288"/>
    <cellStyle name="Currency 2 2 6 2 3 3" xfId="20440"/>
    <cellStyle name="Currency 2 2 6 2 4" xfId="11222"/>
    <cellStyle name="Currency 2 2 6 2 5" xfId="17374"/>
    <cellStyle name="Currency 2 2 6 3" xfId="5759"/>
    <cellStyle name="Currency 2 2 6 3 2" xfId="8860"/>
    <cellStyle name="Currency 2 2 6 3 2 2" xfId="15053"/>
    <cellStyle name="Currency 2 2 6 3 2 3" xfId="21205"/>
    <cellStyle name="Currency 2 2 6 3 3" xfId="11987"/>
    <cellStyle name="Currency 2 2 6 3 4" xfId="18139"/>
    <cellStyle name="Currency 2 2 6 4" xfId="7325"/>
    <cellStyle name="Currency 2 2 6 4 2" xfId="13519"/>
    <cellStyle name="Currency 2 2 6 4 3" xfId="19671"/>
    <cellStyle name="Currency 2 2 6 5" xfId="10453"/>
    <cellStyle name="Currency 2 2 6 6" xfId="16605"/>
    <cellStyle name="Currency 2 2 7" xfId="3182"/>
    <cellStyle name="Currency 2 2 7 2" xfId="4919"/>
    <cellStyle name="Currency 2 2 7 2 2" xfId="6544"/>
    <cellStyle name="Currency 2 2 7 2 2 2" xfId="9630"/>
    <cellStyle name="Currency 2 2 7 2 2 2 2" xfId="15823"/>
    <cellStyle name="Currency 2 2 7 2 2 2 3" xfId="21975"/>
    <cellStyle name="Currency 2 2 7 2 2 3" xfId="12757"/>
    <cellStyle name="Currency 2 2 7 2 2 4" xfId="18909"/>
    <cellStyle name="Currency 2 2 7 2 3" xfId="8095"/>
    <cellStyle name="Currency 2 2 7 2 3 2" xfId="14289"/>
    <cellStyle name="Currency 2 2 7 2 3 3" xfId="20441"/>
    <cellStyle name="Currency 2 2 7 2 4" xfId="11223"/>
    <cellStyle name="Currency 2 2 7 2 5" xfId="17375"/>
    <cellStyle name="Currency 2 2 7 3" xfId="5760"/>
    <cellStyle name="Currency 2 2 7 3 2" xfId="8861"/>
    <cellStyle name="Currency 2 2 7 3 2 2" xfId="15054"/>
    <cellStyle name="Currency 2 2 7 3 2 3" xfId="21206"/>
    <cellStyle name="Currency 2 2 7 3 3" xfId="11988"/>
    <cellStyle name="Currency 2 2 7 3 4" xfId="18140"/>
    <cellStyle name="Currency 2 2 7 4" xfId="7326"/>
    <cellStyle name="Currency 2 2 7 4 2" xfId="13520"/>
    <cellStyle name="Currency 2 2 7 4 3" xfId="19672"/>
    <cellStyle name="Currency 2 2 7 5" xfId="10454"/>
    <cellStyle name="Currency 2 2 7 6" xfId="16606"/>
    <cellStyle name="Currency 2 2 8" xfId="3183"/>
    <cellStyle name="Currency 2 2 8 2" xfId="4920"/>
    <cellStyle name="Currency 2 2 8 2 2" xfId="6545"/>
    <cellStyle name="Currency 2 2 8 2 2 2" xfId="9631"/>
    <cellStyle name="Currency 2 2 8 2 2 2 2" xfId="15824"/>
    <cellStyle name="Currency 2 2 8 2 2 2 3" xfId="21976"/>
    <cellStyle name="Currency 2 2 8 2 2 3" xfId="12758"/>
    <cellStyle name="Currency 2 2 8 2 2 4" xfId="18910"/>
    <cellStyle name="Currency 2 2 8 2 3" xfId="8096"/>
    <cellStyle name="Currency 2 2 8 2 3 2" xfId="14290"/>
    <cellStyle name="Currency 2 2 8 2 3 3" xfId="20442"/>
    <cellStyle name="Currency 2 2 8 2 4" xfId="11224"/>
    <cellStyle name="Currency 2 2 8 2 5" xfId="17376"/>
    <cellStyle name="Currency 2 2 8 3" xfId="5761"/>
    <cellStyle name="Currency 2 2 8 3 2" xfId="8862"/>
    <cellStyle name="Currency 2 2 8 3 2 2" xfId="15055"/>
    <cellStyle name="Currency 2 2 8 3 2 3" xfId="21207"/>
    <cellStyle name="Currency 2 2 8 3 3" xfId="11989"/>
    <cellStyle name="Currency 2 2 8 3 4" xfId="18141"/>
    <cellStyle name="Currency 2 2 8 4" xfId="7327"/>
    <cellStyle name="Currency 2 2 8 4 2" xfId="13521"/>
    <cellStyle name="Currency 2 2 8 4 3" xfId="19673"/>
    <cellStyle name="Currency 2 2 8 5" xfId="10455"/>
    <cellStyle name="Currency 2 2 8 6" xfId="16607"/>
    <cellStyle name="Currency 2 2 9" xfId="3184"/>
    <cellStyle name="Currency 2 2 9 2" xfId="4921"/>
    <cellStyle name="Currency 2 2 9 2 2" xfId="6546"/>
    <cellStyle name="Currency 2 2 9 2 2 2" xfId="9632"/>
    <cellStyle name="Currency 2 2 9 2 2 2 2" xfId="15825"/>
    <cellStyle name="Currency 2 2 9 2 2 2 3" xfId="21977"/>
    <cellStyle name="Currency 2 2 9 2 2 3" xfId="12759"/>
    <cellStyle name="Currency 2 2 9 2 2 4" xfId="18911"/>
    <cellStyle name="Currency 2 2 9 2 3" xfId="8097"/>
    <cellStyle name="Currency 2 2 9 2 3 2" xfId="14291"/>
    <cellStyle name="Currency 2 2 9 2 3 3" xfId="20443"/>
    <cellStyle name="Currency 2 2 9 2 4" xfId="11225"/>
    <cellStyle name="Currency 2 2 9 2 5" xfId="17377"/>
    <cellStyle name="Currency 2 2 9 3" xfId="5762"/>
    <cellStyle name="Currency 2 2 9 3 2" xfId="8863"/>
    <cellStyle name="Currency 2 2 9 3 2 2" xfId="15056"/>
    <cellStyle name="Currency 2 2 9 3 2 3" xfId="21208"/>
    <cellStyle name="Currency 2 2 9 3 3" xfId="11990"/>
    <cellStyle name="Currency 2 2 9 3 4" xfId="18142"/>
    <cellStyle name="Currency 2 2 9 4" xfId="7328"/>
    <cellStyle name="Currency 2 2 9 4 2" xfId="13522"/>
    <cellStyle name="Currency 2 2 9 4 3" xfId="19674"/>
    <cellStyle name="Currency 2 2 9 5" xfId="10456"/>
    <cellStyle name="Currency 2 2 9 6" xfId="16608"/>
    <cellStyle name="Currency 2 20" xfId="528"/>
    <cellStyle name="Currency 2 20 2" xfId="3185"/>
    <cellStyle name="Currency 2 21" xfId="555"/>
    <cellStyle name="Currency 2 21 2" xfId="3186"/>
    <cellStyle name="Currency 2 22" xfId="583"/>
    <cellStyle name="Currency 2 22 2" xfId="3187"/>
    <cellStyle name="Currency 2 23" xfId="558"/>
    <cellStyle name="Currency 2 23 2" xfId="3188"/>
    <cellStyle name="Currency 2 24" xfId="632"/>
    <cellStyle name="Currency 2 24 2" xfId="3189"/>
    <cellStyle name="Currency 2 24 3" xfId="3190"/>
    <cellStyle name="Currency 2 25" xfId="674"/>
    <cellStyle name="Currency 2 25 2" xfId="3192"/>
    <cellStyle name="Currency 2 25 3" xfId="3191"/>
    <cellStyle name="Currency 2 26" xfId="693"/>
    <cellStyle name="Currency 2 26 2" xfId="3194"/>
    <cellStyle name="Currency 2 26 3" xfId="3193"/>
    <cellStyle name="Currency 2 27" xfId="725"/>
    <cellStyle name="Currency 2 27 2" xfId="4896"/>
    <cellStyle name="Currency 2 27 2 2" xfId="6521"/>
    <cellStyle name="Currency 2 27 2 2 2" xfId="9607"/>
    <cellStyle name="Currency 2 27 2 2 2 2" xfId="15800"/>
    <cellStyle name="Currency 2 27 2 2 2 3" xfId="21952"/>
    <cellStyle name="Currency 2 27 2 2 3" xfId="12734"/>
    <cellStyle name="Currency 2 27 2 2 4" xfId="18886"/>
    <cellStyle name="Currency 2 27 2 3" xfId="8072"/>
    <cellStyle name="Currency 2 27 2 3 2" xfId="14266"/>
    <cellStyle name="Currency 2 27 2 3 3" xfId="20418"/>
    <cellStyle name="Currency 2 27 2 4" xfId="11200"/>
    <cellStyle name="Currency 2 27 2 5" xfId="17352"/>
    <cellStyle name="Currency 2 27 3" xfId="5737"/>
    <cellStyle name="Currency 2 27 3 2" xfId="8838"/>
    <cellStyle name="Currency 2 27 3 2 2" xfId="15031"/>
    <cellStyle name="Currency 2 27 3 2 3" xfId="21183"/>
    <cellStyle name="Currency 2 27 3 3" xfId="11965"/>
    <cellStyle name="Currency 2 27 3 4" xfId="18117"/>
    <cellStyle name="Currency 2 27 4" xfId="7303"/>
    <cellStyle name="Currency 2 27 4 2" xfId="13497"/>
    <cellStyle name="Currency 2 27 4 3" xfId="19649"/>
    <cellStyle name="Currency 2 27 5" xfId="10431"/>
    <cellStyle name="Currency 2 27 6" xfId="16583"/>
    <cellStyle name="Currency 2 27 7" xfId="3147"/>
    <cellStyle name="Currency 2 28" xfId="752"/>
    <cellStyle name="Currency 2 28 2" xfId="10223"/>
    <cellStyle name="Currency 2 29" xfId="778"/>
    <cellStyle name="Currency 2 3" xfId="56"/>
    <cellStyle name="Currency 2 3 2" xfId="3196"/>
    <cellStyle name="Currency 2 3 3" xfId="4656"/>
    <cellStyle name="Currency 2 3 4" xfId="3195"/>
    <cellStyle name="Currency 2 3 5" xfId="10256"/>
    <cellStyle name="Currency 2 3 6" xfId="23167"/>
    <cellStyle name="Currency 2 30" xfId="802"/>
    <cellStyle name="Currency 2 31" xfId="193"/>
    <cellStyle name="Currency 2 32" xfId="23165"/>
    <cellStyle name="Currency 2 4" xfId="249"/>
    <cellStyle name="Currency 2 4 2" xfId="4657"/>
    <cellStyle name="Currency 2 4 3" xfId="3197"/>
    <cellStyle name="Currency 2 5" xfId="267"/>
    <cellStyle name="Currency 2 6" xfId="262"/>
    <cellStyle name="Currency 2 6 2" xfId="4658"/>
    <cellStyle name="Currency 2 6 3" xfId="3198"/>
    <cellStyle name="Currency 2 7" xfId="280"/>
    <cellStyle name="Currency 2 7 2" xfId="4659"/>
    <cellStyle name="Currency 2 7 3" xfId="3199"/>
    <cellStyle name="Currency 2 8" xfId="330"/>
    <cellStyle name="Currency 2 8 2" xfId="4660"/>
    <cellStyle name="Currency 2 8 3" xfId="3200"/>
    <cellStyle name="Currency 2 9" xfId="284"/>
    <cellStyle name="Currency 2 9 2" xfId="4661"/>
    <cellStyle name="Currency 2 9 3" xfId="3201"/>
    <cellStyle name="Currency 20" xfId="3202"/>
    <cellStyle name="Currency 20 2" xfId="3203"/>
    <cellStyle name="Currency 20 3" xfId="3204"/>
    <cellStyle name="Currency 21" xfId="3205"/>
    <cellStyle name="Currency 22" xfId="3206"/>
    <cellStyle name="Currency 23" xfId="3207"/>
    <cellStyle name="Currency 24" xfId="3208"/>
    <cellStyle name="Currency 25" xfId="3209"/>
    <cellStyle name="Currency 26" xfId="3210"/>
    <cellStyle name="Currency 27" xfId="3211"/>
    <cellStyle name="Currency 28" xfId="3212"/>
    <cellStyle name="Currency 29" xfId="3213"/>
    <cellStyle name="Currency 3" xfId="13"/>
    <cellStyle name="Currency 3 10" xfId="328"/>
    <cellStyle name="Currency 3 10 2" xfId="4922"/>
    <cellStyle name="Currency 3 10 2 2" xfId="6547"/>
    <cellStyle name="Currency 3 10 2 2 2" xfId="9633"/>
    <cellStyle name="Currency 3 10 2 2 2 2" xfId="15826"/>
    <cellStyle name="Currency 3 10 2 2 2 3" xfId="21978"/>
    <cellStyle name="Currency 3 10 2 2 3" xfId="12760"/>
    <cellStyle name="Currency 3 10 2 2 4" xfId="18912"/>
    <cellStyle name="Currency 3 10 2 3" xfId="8098"/>
    <cellStyle name="Currency 3 10 2 3 2" xfId="14292"/>
    <cellStyle name="Currency 3 10 2 3 3" xfId="20444"/>
    <cellStyle name="Currency 3 10 2 4" xfId="11226"/>
    <cellStyle name="Currency 3 10 2 5" xfId="17378"/>
    <cellStyle name="Currency 3 10 3" xfId="5763"/>
    <cellStyle name="Currency 3 10 3 2" xfId="8864"/>
    <cellStyle name="Currency 3 10 3 2 2" xfId="15057"/>
    <cellStyle name="Currency 3 10 3 2 3" xfId="21209"/>
    <cellStyle name="Currency 3 10 3 3" xfId="11991"/>
    <cellStyle name="Currency 3 10 3 4" xfId="18143"/>
    <cellStyle name="Currency 3 10 4" xfId="7329"/>
    <cellStyle name="Currency 3 10 4 2" xfId="13523"/>
    <cellStyle name="Currency 3 10 4 3" xfId="19675"/>
    <cellStyle name="Currency 3 10 5" xfId="10457"/>
    <cellStyle name="Currency 3 10 6" xfId="16609"/>
    <cellStyle name="Currency 3 10 7" xfId="3214"/>
    <cellStyle name="Currency 3 11" xfId="342"/>
    <cellStyle name="Currency 3 11 2" xfId="4923"/>
    <cellStyle name="Currency 3 11 2 2" xfId="6548"/>
    <cellStyle name="Currency 3 11 2 2 2" xfId="9634"/>
    <cellStyle name="Currency 3 11 2 2 2 2" xfId="15827"/>
    <cellStyle name="Currency 3 11 2 2 2 3" xfId="21979"/>
    <cellStyle name="Currency 3 11 2 2 3" xfId="12761"/>
    <cellStyle name="Currency 3 11 2 2 4" xfId="18913"/>
    <cellStyle name="Currency 3 11 2 3" xfId="8099"/>
    <cellStyle name="Currency 3 11 2 3 2" xfId="14293"/>
    <cellStyle name="Currency 3 11 2 3 3" xfId="20445"/>
    <cellStyle name="Currency 3 11 2 4" xfId="11227"/>
    <cellStyle name="Currency 3 11 2 5" xfId="17379"/>
    <cellStyle name="Currency 3 11 3" xfId="5764"/>
    <cellStyle name="Currency 3 11 3 2" xfId="8865"/>
    <cellStyle name="Currency 3 11 3 2 2" xfId="15058"/>
    <cellStyle name="Currency 3 11 3 2 3" xfId="21210"/>
    <cellStyle name="Currency 3 11 3 3" xfId="11992"/>
    <cellStyle name="Currency 3 11 3 4" xfId="18144"/>
    <cellStyle name="Currency 3 11 4" xfId="7330"/>
    <cellStyle name="Currency 3 11 4 2" xfId="13524"/>
    <cellStyle name="Currency 3 11 4 3" xfId="19676"/>
    <cellStyle name="Currency 3 11 5" xfId="10458"/>
    <cellStyle name="Currency 3 11 6" xfId="16610"/>
    <cellStyle name="Currency 3 11 7" xfId="3215"/>
    <cellStyle name="Currency 3 12" xfId="361"/>
    <cellStyle name="Currency 3 12 2" xfId="4924"/>
    <cellStyle name="Currency 3 12 2 2" xfId="6549"/>
    <cellStyle name="Currency 3 12 2 2 2" xfId="9635"/>
    <cellStyle name="Currency 3 12 2 2 2 2" xfId="15828"/>
    <cellStyle name="Currency 3 12 2 2 2 3" xfId="21980"/>
    <cellStyle name="Currency 3 12 2 2 3" xfId="12762"/>
    <cellStyle name="Currency 3 12 2 2 4" xfId="18914"/>
    <cellStyle name="Currency 3 12 2 3" xfId="8100"/>
    <cellStyle name="Currency 3 12 2 3 2" xfId="14294"/>
    <cellStyle name="Currency 3 12 2 3 3" xfId="20446"/>
    <cellStyle name="Currency 3 12 2 4" xfId="11228"/>
    <cellStyle name="Currency 3 12 2 5" xfId="17380"/>
    <cellStyle name="Currency 3 12 3" xfId="5765"/>
    <cellStyle name="Currency 3 12 3 2" xfId="8866"/>
    <cellStyle name="Currency 3 12 3 2 2" xfId="15059"/>
    <cellStyle name="Currency 3 12 3 2 3" xfId="21211"/>
    <cellStyle name="Currency 3 12 3 3" xfId="11993"/>
    <cellStyle name="Currency 3 12 3 4" xfId="18145"/>
    <cellStyle name="Currency 3 12 4" xfId="7331"/>
    <cellStyle name="Currency 3 12 4 2" xfId="13525"/>
    <cellStyle name="Currency 3 12 4 3" xfId="19677"/>
    <cellStyle name="Currency 3 12 5" xfId="10459"/>
    <cellStyle name="Currency 3 12 6" xfId="16611"/>
    <cellStyle name="Currency 3 12 7" xfId="3216"/>
    <cellStyle name="Currency 3 13" xfId="376"/>
    <cellStyle name="Currency 3 13 2" xfId="4925"/>
    <cellStyle name="Currency 3 13 2 2" xfId="6550"/>
    <cellStyle name="Currency 3 13 2 2 2" xfId="9636"/>
    <cellStyle name="Currency 3 13 2 2 2 2" xfId="15829"/>
    <cellStyle name="Currency 3 13 2 2 2 3" xfId="21981"/>
    <cellStyle name="Currency 3 13 2 2 3" xfId="12763"/>
    <cellStyle name="Currency 3 13 2 2 4" xfId="18915"/>
    <cellStyle name="Currency 3 13 2 3" xfId="8101"/>
    <cellStyle name="Currency 3 13 2 3 2" xfId="14295"/>
    <cellStyle name="Currency 3 13 2 3 3" xfId="20447"/>
    <cellStyle name="Currency 3 13 2 4" xfId="11229"/>
    <cellStyle name="Currency 3 13 2 5" xfId="17381"/>
    <cellStyle name="Currency 3 13 3" xfId="5766"/>
    <cellStyle name="Currency 3 13 3 2" xfId="8867"/>
    <cellStyle name="Currency 3 13 3 2 2" xfId="15060"/>
    <cellStyle name="Currency 3 13 3 2 3" xfId="21212"/>
    <cellStyle name="Currency 3 13 3 3" xfId="11994"/>
    <cellStyle name="Currency 3 13 3 4" xfId="18146"/>
    <cellStyle name="Currency 3 13 4" xfId="7332"/>
    <cellStyle name="Currency 3 13 4 2" xfId="13526"/>
    <cellStyle name="Currency 3 13 4 3" xfId="19678"/>
    <cellStyle name="Currency 3 13 5" xfId="10460"/>
    <cellStyle name="Currency 3 13 6" xfId="16612"/>
    <cellStyle name="Currency 3 13 7" xfId="3217"/>
    <cellStyle name="Currency 3 14" xfId="428"/>
    <cellStyle name="Currency 3 14 2" xfId="4926"/>
    <cellStyle name="Currency 3 14 2 2" xfId="6551"/>
    <cellStyle name="Currency 3 14 2 2 2" xfId="9637"/>
    <cellStyle name="Currency 3 14 2 2 2 2" xfId="15830"/>
    <cellStyle name="Currency 3 14 2 2 2 3" xfId="21982"/>
    <cellStyle name="Currency 3 14 2 2 3" xfId="12764"/>
    <cellStyle name="Currency 3 14 2 2 4" xfId="18916"/>
    <cellStyle name="Currency 3 14 2 3" xfId="8102"/>
    <cellStyle name="Currency 3 14 2 3 2" xfId="14296"/>
    <cellStyle name="Currency 3 14 2 3 3" xfId="20448"/>
    <cellStyle name="Currency 3 14 2 4" xfId="11230"/>
    <cellStyle name="Currency 3 14 2 5" xfId="17382"/>
    <cellStyle name="Currency 3 14 3" xfId="5767"/>
    <cellStyle name="Currency 3 14 3 2" xfId="8868"/>
    <cellStyle name="Currency 3 14 3 2 2" xfId="15061"/>
    <cellStyle name="Currency 3 14 3 2 3" xfId="21213"/>
    <cellStyle name="Currency 3 14 3 3" xfId="11995"/>
    <cellStyle name="Currency 3 14 3 4" xfId="18147"/>
    <cellStyle name="Currency 3 14 4" xfId="7333"/>
    <cellStyle name="Currency 3 14 4 2" xfId="13527"/>
    <cellStyle name="Currency 3 14 4 3" xfId="19679"/>
    <cellStyle name="Currency 3 14 5" xfId="10461"/>
    <cellStyle name="Currency 3 14 6" xfId="16613"/>
    <cellStyle name="Currency 3 14 7" xfId="3218"/>
    <cellStyle name="Currency 3 15" xfId="461"/>
    <cellStyle name="Currency 3 15 2" xfId="4927"/>
    <cellStyle name="Currency 3 15 2 2" xfId="6552"/>
    <cellStyle name="Currency 3 15 2 2 2" xfId="9638"/>
    <cellStyle name="Currency 3 15 2 2 2 2" xfId="15831"/>
    <cellStyle name="Currency 3 15 2 2 2 3" xfId="21983"/>
    <cellStyle name="Currency 3 15 2 2 3" xfId="12765"/>
    <cellStyle name="Currency 3 15 2 2 4" xfId="18917"/>
    <cellStyle name="Currency 3 15 2 3" xfId="8103"/>
    <cellStyle name="Currency 3 15 2 3 2" xfId="14297"/>
    <cellStyle name="Currency 3 15 2 3 3" xfId="20449"/>
    <cellStyle name="Currency 3 15 2 4" xfId="11231"/>
    <cellStyle name="Currency 3 15 2 5" xfId="17383"/>
    <cellStyle name="Currency 3 15 3" xfId="5768"/>
    <cellStyle name="Currency 3 15 3 2" xfId="8869"/>
    <cellStyle name="Currency 3 15 3 2 2" xfId="15062"/>
    <cellStyle name="Currency 3 15 3 2 3" xfId="21214"/>
    <cellStyle name="Currency 3 15 3 3" xfId="11996"/>
    <cellStyle name="Currency 3 15 3 4" xfId="18148"/>
    <cellStyle name="Currency 3 15 4" xfId="7334"/>
    <cellStyle name="Currency 3 15 4 2" xfId="13528"/>
    <cellStyle name="Currency 3 15 4 3" xfId="19680"/>
    <cellStyle name="Currency 3 15 5" xfId="10462"/>
    <cellStyle name="Currency 3 15 6" xfId="16614"/>
    <cellStyle name="Currency 3 15 7" xfId="3219"/>
    <cellStyle name="Currency 3 16" xfId="484"/>
    <cellStyle name="Currency 3 16 2" xfId="4928"/>
    <cellStyle name="Currency 3 16 2 2" xfId="6553"/>
    <cellStyle name="Currency 3 16 2 2 2" xfId="9639"/>
    <cellStyle name="Currency 3 16 2 2 2 2" xfId="15832"/>
    <cellStyle name="Currency 3 16 2 2 2 3" xfId="21984"/>
    <cellStyle name="Currency 3 16 2 2 3" xfId="12766"/>
    <cellStyle name="Currency 3 16 2 2 4" xfId="18918"/>
    <cellStyle name="Currency 3 16 2 3" xfId="8104"/>
    <cellStyle name="Currency 3 16 2 3 2" xfId="14298"/>
    <cellStyle name="Currency 3 16 2 3 3" xfId="20450"/>
    <cellStyle name="Currency 3 16 2 4" xfId="11232"/>
    <cellStyle name="Currency 3 16 2 5" xfId="17384"/>
    <cellStyle name="Currency 3 16 3" xfId="5769"/>
    <cellStyle name="Currency 3 16 3 2" xfId="8870"/>
    <cellStyle name="Currency 3 16 3 2 2" xfId="15063"/>
    <cellStyle name="Currency 3 16 3 2 3" xfId="21215"/>
    <cellStyle name="Currency 3 16 3 3" xfId="11997"/>
    <cellStyle name="Currency 3 16 3 4" xfId="18149"/>
    <cellStyle name="Currency 3 16 4" xfId="7335"/>
    <cellStyle name="Currency 3 16 4 2" xfId="13529"/>
    <cellStyle name="Currency 3 16 4 3" xfId="19681"/>
    <cellStyle name="Currency 3 16 5" xfId="10463"/>
    <cellStyle name="Currency 3 16 6" xfId="16615"/>
    <cellStyle name="Currency 3 16 7" xfId="3220"/>
    <cellStyle name="Currency 3 17" xfId="498"/>
    <cellStyle name="Currency 3 17 2" xfId="4929"/>
    <cellStyle name="Currency 3 17 2 2" xfId="6554"/>
    <cellStyle name="Currency 3 17 2 2 2" xfId="9640"/>
    <cellStyle name="Currency 3 17 2 2 2 2" xfId="15833"/>
    <cellStyle name="Currency 3 17 2 2 2 3" xfId="21985"/>
    <cellStyle name="Currency 3 17 2 2 3" xfId="12767"/>
    <cellStyle name="Currency 3 17 2 2 4" xfId="18919"/>
    <cellStyle name="Currency 3 17 2 3" xfId="8105"/>
    <cellStyle name="Currency 3 17 2 3 2" xfId="14299"/>
    <cellStyle name="Currency 3 17 2 3 3" xfId="20451"/>
    <cellStyle name="Currency 3 17 2 4" xfId="11233"/>
    <cellStyle name="Currency 3 17 2 5" xfId="17385"/>
    <cellStyle name="Currency 3 17 3" xfId="5770"/>
    <cellStyle name="Currency 3 17 3 2" xfId="8871"/>
    <cellStyle name="Currency 3 17 3 2 2" xfId="15064"/>
    <cellStyle name="Currency 3 17 3 2 3" xfId="21216"/>
    <cellStyle name="Currency 3 17 3 3" xfId="11998"/>
    <cellStyle name="Currency 3 17 3 4" xfId="18150"/>
    <cellStyle name="Currency 3 17 4" xfId="7336"/>
    <cellStyle name="Currency 3 17 4 2" xfId="13530"/>
    <cellStyle name="Currency 3 17 4 3" xfId="19682"/>
    <cellStyle name="Currency 3 17 5" xfId="10464"/>
    <cellStyle name="Currency 3 17 6" xfId="16616"/>
    <cellStyle name="Currency 3 17 7" xfId="3221"/>
    <cellStyle name="Currency 3 18" xfId="505"/>
    <cellStyle name="Currency 3 18 2" xfId="4930"/>
    <cellStyle name="Currency 3 18 2 2" xfId="6555"/>
    <cellStyle name="Currency 3 18 2 2 2" xfId="9641"/>
    <cellStyle name="Currency 3 18 2 2 2 2" xfId="15834"/>
    <cellStyle name="Currency 3 18 2 2 2 3" xfId="21986"/>
    <cellStyle name="Currency 3 18 2 2 3" xfId="12768"/>
    <cellStyle name="Currency 3 18 2 2 4" xfId="18920"/>
    <cellStyle name="Currency 3 18 2 3" xfId="8106"/>
    <cellStyle name="Currency 3 18 2 3 2" xfId="14300"/>
    <cellStyle name="Currency 3 18 2 3 3" xfId="20452"/>
    <cellStyle name="Currency 3 18 2 4" xfId="11234"/>
    <cellStyle name="Currency 3 18 2 5" xfId="17386"/>
    <cellStyle name="Currency 3 18 3" xfId="5771"/>
    <cellStyle name="Currency 3 18 3 2" xfId="8872"/>
    <cellStyle name="Currency 3 18 3 2 2" xfId="15065"/>
    <cellStyle name="Currency 3 18 3 2 3" xfId="21217"/>
    <cellStyle name="Currency 3 18 3 3" xfId="11999"/>
    <cellStyle name="Currency 3 18 3 4" xfId="18151"/>
    <cellStyle name="Currency 3 18 4" xfId="7337"/>
    <cellStyle name="Currency 3 18 4 2" xfId="13531"/>
    <cellStyle name="Currency 3 18 4 3" xfId="19683"/>
    <cellStyle name="Currency 3 18 5" xfId="10465"/>
    <cellStyle name="Currency 3 18 6" xfId="16617"/>
    <cellStyle name="Currency 3 18 7" xfId="3222"/>
    <cellStyle name="Currency 3 19" xfId="520"/>
    <cellStyle name="Currency 3 19 2" xfId="4931"/>
    <cellStyle name="Currency 3 19 2 2" xfId="6556"/>
    <cellStyle name="Currency 3 19 2 2 2" xfId="9642"/>
    <cellStyle name="Currency 3 19 2 2 2 2" xfId="15835"/>
    <cellStyle name="Currency 3 19 2 2 2 3" xfId="21987"/>
    <cellStyle name="Currency 3 19 2 2 3" xfId="12769"/>
    <cellStyle name="Currency 3 19 2 2 4" xfId="18921"/>
    <cellStyle name="Currency 3 19 2 3" xfId="8107"/>
    <cellStyle name="Currency 3 19 2 3 2" xfId="14301"/>
    <cellStyle name="Currency 3 19 2 3 3" xfId="20453"/>
    <cellStyle name="Currency 3 19 2 4" xfId="11235"/>
    <cellStyle name="Currency 3 19 2 5" xfId="17387"/>
    <cellStyle name="Currency 3 19 3" xfId="5772"/>
    <cellStyle name="Currency 3 19 3 2" xfId="8873"/>
    <cellStyle name="Currency 3 19 3 2 2" xfId="15066"/>
    <cellStyle name="Currency 3 19 3 2 3" xfId="21218"/>
    <cellStyle name="Currency 3 19 3 3" xfId="12000"/>
    <cellStyle name="Currency 3 19 3 4" xfId="18152"/>
    <cellStyle name="Currency 3 19 4" xfId="7338"/>
    <cellStyle name="Currency 3 19 4 2" xfId="13532"/>
    <cellStyle name="Currency 3 19 4 3" xfId="19684"/>
    <cellStyle name="Currency 3 19 5" xfId="10466"/>
    <cellStyle name="Currency 3 19 6" xfId="16618"/>
    <cellStyle name="Currency 3 19 7" xfId="3223"/>
    <cellStyle name="Currency 3 2" xfId="57"/>
    <cellStyle name="Currency 3 2 10" xfId="23169"/>
    <cellStyle name="Currency 3 2 2" xfId="252"/>
    <cellStyle name="Currency 3 2 2 2" xfId="4932"/>
    <cellStyle name="Currency 3 2 2 2 2" xfId="6557"/>
    <cellStyle name="Currency 3 2 2 2 2 2" xfId="9643"/>
    <cellStyle name="Currency 3 2 2 2 2 2 2" xfId="15836"/>
    <cellStyle name="Currency 3 2 2 2 2 2 3" xfId="21988"/>
    <cellStyle name="Currency 3 2 2 2 2 3" xfId="12770"/>
    <cellStyle name="Currency 3 2 2 2 2 4" xfId="18922"/>
    <cellStyle name="Currency 3 2 2 2 3" xfId="8108"/>
    <cellStyle name="Currency 3 2 2 2 3 2" xfId="14302"/>
    <cellStyle name="Currency 3 2 2 2 3 3" xfId="20454"/>
    <cellStyle name="Currency 3 2 2 2 4" xfId="11236"/>
    <cellStyle name="Currency 3 2 2 2 5" xfId="17388"/>
    <cellStyle name="Currency 3 2 2 3" xfId="5773"/>
    <cellStyle name="Currency 3 2 2 3 2" xfId="8874"/>
    <cellStyle name="Currency 3 2 2 3 2 2" xfId="15067"/>
    <cellStyle name="Currency 3 2 2 3 2 3" xfId="21219"/>
    <cellStyle name="Currency 3 2 2 3 3" xfId="12001"/>
    <cellStyle name="Currency 3 2 2 3 4" xfId="18153"/>
    <cellStyle name="Currency 3 2 2 4" xfId="7339"/>
    <cellStyle name="Currency 3 2 2 4 2" xfId="13533"/>
    <cellStyle name="Currency 3 2 2 4 3" xfId="19685"/>
    <cellStyle name="Currency 3 2 2 5" xfId="10467"/>
    <cellStyle name="Currency 3 2 2 6" xfId="16619"/>
    <cellStyle name="Currency 3 2 2 7" xfId="3225"/>
    <cellStyle name="Currency 3 2 3" xfId="3226"/>
    <cellStyle name="Currency 3 2 3 2" xfId="4933"/>
    <cellStyle name="Currency 3 2 3 2 2" xfId="6558"/>
    <cellStyle name="Currency 3 2 3 2 2 2" xfId="9644"/>
    <cellStyle name="Currency 3 2 3 2 2 2 2" xfId="15837"/>
    <cellStyle name="Currency 3 2 3 2 2 2 3" xfId="21989"/>
    <cellStyle name="Currency 3 2 3 2 2 3" xfId="12771"/>
    <cellStyle name="Currency 3 2 3 2 2 4" xfId="18923"/>
    <cellStyle name="Currency 3 2 3 2 3" xfId="8109"/>
    <cellStyle name="Currency 3 2 3 2 3 2" xfId="14303"/>
    <cellStyle name="Currency 3 2 3 2 3 3" xfId="20455"/>
    <cellStyle name="Currency 3 2 3 2 4" xfId="11237"/>
    <cellStyle name="Currency 3 2 3 2 5" xfId="17389"/>
    <cellStyle name="Currency 3 2 3 3" xfId="5774"/>
    <cellStyle name="Currency 3 2 3 3 2" xfId="8875"/>
    <cellStyle name="Currency 3 2 3 3 2 2" xfId="15068"/>
    <cellStyle name="Currency 3 2 3 3 2 3" xfId="21220"/>
    <cellStyle name="Currency 3 2 3 3 3" xfId="12002"/>
    <cellStyle name="Currency 3 2 3 3 4" xfId="18154"/>
    <cellStyle name="Currency 3 2 3 4" xfId="7340"/>
    <cellStyle name="Currency 3 2 3 4 2" xfId="13534"/>
    <cellStyle name="Currency 3 2 3 4 3" xfId="19686"/>
    <cellStyle name="Currency 3 2 3 5" xfId="10468"/>
    <cellStyle name="Currency 3 2 3 6" xfId="16620"/>
    <cellStyle name="Currency 3 2 4" xfId="3227"/>
    <cellStyle name="Currency 3 2 4 2" xfId="4934"/>
    <cellStyle name="Currency 3 2 4 2 2" xfId="6559"/>
    <cellStyle name="Currency 3 2 4 2 2 2" xfId="9645"/>
    <cellStyle name="Currency 3 2 4 2 2 2 2" xfId="15838"/>
    <cellStyle name="Currency 3 2 4 2 2 2 3" xfId="21990"/>
    <cellStyle name="Currency 3 2 4 2 2 3" xfId="12772"/>
    <cellStyle name="Currency 3 2 4 2 2 4" xfId="18924"/>
    <cellStyle name="Currency 3 2 4 2 3" xfId="8110"/>
    <cellStyle name="Currency 3 2 4 2 3 2" xfId="14304"/>
    <cellStyle name="Currency 3 2 4 2 3 3" xfId="20456"/>
    <cellStyle name="Currency 3 2 4 2 4" xfId="11238"/>
    <cellStyle name="Currency 3 2 4 2 5" xfId="17390"/>
    <cellStyle name="Currency 3 2 4 3" xfId="5775"/>
    <cellStyle name="Currency 3 2 4 3 2" xfId="8876"/>
    <cellStyle name="Currency 3 2 4 3 2 2" xfId="15069"/>
    <cellStyle name="Currency 3 2 4 3 2 3" xfId="21221"/>
    <cellStyle name="Currency 3 2 4 3 3" xfId="12003"/>
    <cellStyle name="Currency 3 2 4 3 4" xfId="18155"/>
    <cellStyle name="Currency 3 2 4 4" xfId="7341"/>
    <cellStyle name="Currency 3 2 4 4 2" xfId="13535"/>
    <cellStyle name="Currency 3 2 4 4 3" xfId="19687"/>
    <cellStyle name="Currency 3 2 4 5" xfId="10469"/>
    <cellStyle name="Currency 3 2 4 6" xfId="16621"/>
    <cellStyle name="Currency 3 2 5" xfId="3228"/>
    <cellStyle name="Currency 3 2 5 2" xfId="4935"/>
    <cellStyle name="Currency 3 2 5 2 2" xfId="6560"/>
    <cellStyle name="Currency 3 2 5 2 2 2" xfId="9646"/>
    <cellStyle name="Currency 3 2 5 2 2 2 2" xfId="15839"/>
    <cellStyle name="Currency 3 2 5 2 2 2 3" xfId="21991"/>
    <cellStyle name="Currency 3 2 5 2 2 3" xfId="12773"/>
    <cellStyle name="Currency 3 2 5 2 2 4" xfId="18925"/>
    <cellStyle name="Currency 3 2 5 2 3" xfId="8111"/>
    <cellStyle name="Currency 3 2 5 2 3 2" xfId="14305"/>
    <cellStyle name="Currency 3 2 5 2 3 3" xfId="20457"/>
    <cellStyle name="Currency 3 2 5 2 4" xfId="11239"/>
    <cellStyle name="Currency 3 2 5 2 5" xfId="17391"/>
    <cellStyle name="Currency 3 2 5 3" xfId="5776"/>
    <cellStyle name="Currency 3 2 5 3 2" xfId="8877"/>
    <cellStyle name="Currency 3 2 5 3 2 2" xfId="15070"/>
    <cellStyle name="Currency 3 2 5 3 2 3" xfId="21222"/>
    <cellStyle name="Currency 3 2 5 3 3" xfId="12004"/>
    <cellStyle name="Currency 3 2 5 3 4" xfId="18156"/>
    <cellStyle name="Currency 3 2 5 4" xfId="7342"/>
    <cellStyle name="Currency 3 2 5 4 2" xfId="13536"/>
    <cellStyle name="Currency 3 2 5 4 3" xfId="19688"/>
    <cellStyle name="Currency 3 2 5 5" xfId="10470"/>
    <cellStyle name="Currency 3 2 5 6" xfId="16622"/>
    <cellStyle name="Currency 3 2 6" xfId="3229"/>
    <cellStyle name="Currency 3 2 7" xfId="3230"/>
    <cellStyle name="Currency 3 2 8" xfId="10262"/>
    <cellStyle name="Currency 3 2 9" xfId="3224"/>
    <cellStyle name="Currency 3 20" xfId="548"/>
    <cellStyle name="Currency 3 20 2" xfId="4936"/>
    <cellStyle name="Currency 3 20 2 2" xfId="6561"/>
    <cellStyle name="Currency 3 20 2 2 2" xfId="9647"/>
    <cellStyle name="Currency 3 20 2 2 2 2" xfId="15840"/>
    <cellStyle name="Currency 3 20 2 2 2 3" xfId="21992"/>
    <cellStyle name="Currency 3 20 2 2 3" xfId="12774"/>
    <cellStyle name="Currency 3 20 2 2 4" xfId="18926"/>
    <cellStyle name="Currency 3 20 2 3" xfId="8112"/>
    <cellStyle name="Currency 3 20 2 3 2" xfId="14306"/>
    <cellStyle name="Currency 3 20 2 3 3" xfId="20458"/>
    <cellStyle name="Currency 3 20 2 4" xfId="11240"/>
    <cellStyle name="Currency 3 20 2 5" xfId="17392"/>
    <cellStyle name="Currency 3 20 3" xfId="5777"/>
    <cellStyle name="Currency 3 20 3 2" xfId="8878"/>
    <cellStyle name="Currency 3 20 3 2 2" xfId="15071"/>
    <cellStyle name="Currency 3 20 3 2 3" xfId="21223"/>
    <cellStyle name="Currency 3 20 3 3" xfId="12005"/>
    <cellStyle name="Currency 3 20 3 4" xfId="18157"/>
    <cellStyle name="Currency 3 20 4" xfId="7343"/>
    <cellStyle name="Currency 3 20 4 2" xfId="13537"/>
    <cellStyle name="Currency 3 20 4 3" xfId="19689"/>
    <cellStyle name="Currency 3 20 5" xfId="10471"/>
    <cellStyle name="Currency 3 20 6" xfId="16623"/>
    <cellStyle name="Currency 3 20 7" xfId="3231"/>
    <cellStyle name="Currency 3 21" xfId="616"/>
    <cellStyle name="Currency 3 21 2" xfId="4937"/>
    <cellStyle name="Currency 3 21 2 2" xfId="6562"/>
    <cellStyle name="Currency 3 21 2 2 2" xfId="9648"/>
    <cellStyle name="Currency 3 21 2 2 2 2" xfId="15841"/>
    <cellStyle name="Currency 3 21 2 2 2 3" xfId="21993"/>
    <cellStyle name="Currency 3 21 2 2 3" xfId="12775"/>
    <cellStyle name="Currency 3 21 2 2 4" xfId="18927"/>
    <cellStyle name="Currency 3 21 2 3" xfId="8113"/>
    <cellStyle name="Currency 3 21 2 3 2" xfId="14307"/>
    <cellStyle name="Currency 3 21 2 3 3" xfId="20459"/>
    <cellStyle name="Currency 3 21 2 4" xfId="11241"/>
    <cellStyle name="Currency 3 21 2 5" xfId="17393"/>
    <cellStyle name="Currency 3 21 3" xfId="5778"/>
    <cellStyle name="Currency 3 21 3 2" xfId="8879"/>
    <cellStyle name="Currency 3 21 3 2 2" xfId="15072"/>
    <cellStyle name="Currency 3 21 3 2 3" xfId="21224"/>
    <cellStyle name="Currency 3 21 3 3" xfId="12006"/>
    <cellStyle name="Currency 3 21 3 4" xfId="18158"/>
    <cellStyle name="Currency 3 21 4" xfId="7344"/>
    <cellStyle name="Currency 3 21 4 2" xfId="13538"/>
    <cellStyle name="Currency 3 21 4 3" xfId="19690"/>
    <cellStyle name="Currency 3 21 5" xfId="10472"/>
    <cellStyle name="Currency 3 21 6" xfId="16624"/>
    <cellStyle name="Currency 3 21 7" xfId="3232"/>
    <cellStyle name="Currency 3 22" xfId="665"/>
    <cellStyle name="Currency 3 22 2" xfId="3234"/>
    <cellStyle name="Currency 3 22 3" xfId="3235"/>
    <cellStyle name="Currency 3 22 4" xfId="3233"/>
    <cellStyle name="Currency 3 23" xfId="676"/>
    <cellStyle name="Currency 3 23 2" xfId="10227"/>
    <cellStyle name="Currency 3 24" xfId="705"/>
    <cellStyle name="Currency 3 25" xfId="685"/>
    <cellStyle name="Currency 3 26" xfId="717"/>
    <cellStyle name="Currency 3 27" xfId="745"/>
    <cellStyle name="Currency 3 28" xfId="771"/>
    <cellStyle name="Currency 3 29" xfId="851"/>
    <cellStyle name="Currency 3 3" xfId="88"/>
    <cellStyle name="Currency 3 3 10" xfId="7345"/>
    <cellStyle name="Currency 3 3 10 2" xfId="13539"/>
    <cellStyle name="Currency 3 3 10 3" xfId="19691"/>
    <cellStyle name="Currency 3 3 11" xfId="10257"/>
    <cellStyle name="Currency 3 3 12" xfId="10473"/>
    <cellStyle name="Currency 3 3 13" xfId="16625"/>
    <cellStyle name="Currency 3 3 14" xfId="3236"/>
    <cellStyle name="Currency 3 3 15" xfId="214"/>
    <cellStyle name="Currency 3 3 16" xfId="23170"/>
    <cellStyle name="Currency 3 3 2" xfId="261"/>
    <cellStyle name="Currency 3 3 2 2" xfId="4939"/>
    <cellStyle name="Currency 3 3 2 2 2" xfId="6564"/>
    <cellStyle name="Currency 3 3 2 2 2 2" xfId="9650"/>
    <cellStyle name="Currency 3 3 2 2 2 2 2" xfId="15843"/>
    <cellStyle name="Currency 3 3 2 2 2 2 3" xfId="21995"/>
    <cellStyle name="Currency 3 3 2 2 2 3" xfId="12777"/>
    <cellStyle name="Currency 3 3 2 2 2 4" xfId="18929"/>
    <cellStyle name="Currency 3 3 2 2 3" xfId="8115"/>
    <cellStyle name="Currency 3 3 2 2 3 2" xfId="14309"/>
    <cellStyle name="Currency 3 3 2 2 3 3" xfId="20461"/>
    <cellStyle name="Currency 3 3 2 2 4" xfId="11243"/>
    <cellStyle name="Currency 3 3 2 2 5" xfId="17395"/>
    <cellStyle name="Currency 3 3 2 3" xfId="5780"/>
    <cellStyle name="Currency 3 3 2 3 2" xfId="8881"/>
    <cellStyle name="Currency 3 3 2 3 2 2" xfId="15074"/>
    <cellStyle name="Currency 3 3 2 3 2 3" xfId="21226"/>
    <cellStyle name="Currency 3 3 2 3 3" xfId="12008"/>
    <cellStyle name="Currency 3 3 2 3 4" xfId="18160"/>
    <cellStyle name="Currency 3 3 2 4" xfId="7346"/>
    <cellStyle name="Currency 3 3 2 4 2" xfId="13540"/>
    <cellStyle name="Currency 3 3 2 4 3" xfId="19692"/>
    <cellStyle name="Currency 3 3 2 5" xfId="10474"/>
    <cellStyle name="Currency 3 3 2 6" xfId="16626"/>
    <cellStyle name="Currency 3 3 2 7" xfId="3237"/>
    <cellStyle name="Currency 3 3 3" xfId="3238"/>
    <cellStyle name="Currency 3 3 3 2" xfId="4940"/>
    <cellStyle name="Currency 3 3 3 2 2" xfId="6565"/>
    <cellStyle name="Currency 3 3 3 2 2 2" xfId="9651"/>
    <cellStyle name="Currency 3 3 3 2 2 2 2" xfId="15844"/>
    <cellStyle name="Currency 3 3 3 2 2 2 3" xfId="21996"/>
    <cellStyle name="Currency 3 3 3 2 2 3" xfId="12778"/>
    <cellStyle name="Currency 3 3 3 2 2 4" xfId="18930"/>
    <cellStyle name="Currency 3 3 3 2 3" xfId="8116"/>
    <cellStyle name="Currency 3 3 3 2 3 2" xfId="14310"/>
    <cellStyle name="Currency 3 3 3 2 3 3" xfId="20462"/>
    <cellStyle name="Currency 3 3 3 2 4" xfId="11244"/>
    <cellStyle name="Currency 3 3 3 2 5" xfId="17396"/>
    <cellStyle name="Currency 3 3 3 3" xfId="5781"/>
    <cellStyle name="Currency 3 3 3 3 2" xfId="8882"/>
    <cellStyle name="Currency 3 3 3 3 2 2" xfId="15075"/>
    <cellStyle name="Currency 3 3 3 3 2 3" xfId="21227"/>
    <cellStyle name="Currency 3 3 3 3 3" xfId="12009"/>
    <cellStyle name="Currency 3 3 3 3 4" xfId="18161"/>
    <cellStyle name="Currency 3 3 3 4" xfId="7347"/>
    <cellStyle name="Currency 3 3 3 4 2" xfId="13541"/>
    <cellStyle name="Currency 3 3 3 4 3" xfId="19693"/>
    <cellStyle name="Currency 3 3 3 5" xfId="10475"/>
    <cellStyle name="Currency 3 3 3 6" xfId="16627"/>
    <cellStyle name="Currency 3 3 4" xfId="3239"/>
    <cellStyle name="Currency 3 3 4 2" xfId="4941"/>
    <cellStyle name="Currency 3 3 4 2 2" xfId="6566"/>
    <cellStyle name="Currency 3 3 4 2 2 2" xfId="9652"/>
    <cellStyle name="Currency 3 3 4 2 2 2 2" xfId="15845"/>
    <cellStyle name="Currency 3 3 4 2 2 2 3" xfId="21997"/>
    <cellStyle name="Currency 3 3 4 2 2 3" xfId="12779"/>
    <cellStyle name="Currency 3 3 4 2 2 4" xfId="18931"/>
    <cellStyle name="Currency 3 3 4 2 3" xfId="8117"/>
    <cellStyle name="Currency 3 3 4 2 3 2" xfId="14311"/>
    <cellStyle name="Currency 3 3 4 2 3 3" xfId="20463"/>
    <cellStyle name="Currency 3 3 4 2 4" xfId="11245"/>
    <cellStyle name="Currency 3 3 4 2 5" xfId="17397"/>
    <cellStyle name="Currency 3 3 4 3" xfId="5782"/>
    <cellStyle name="Currency 3 3 4 3 2" xfId="8883"/>
    <cellStyle name="Currency 3 3 4 3 2 2" xfId="15076"/>
    <cellStyle name="Currency 3 3 4 3 2 3" xfId="21228"/>
    <cellStyle name="Currency 3 3 4 3 3" xfId="12010"/>
    <cellStyle name="Currency 3 3 4 3 4" xfId="18162"/>
    <cellStyle name="Currency 3 3 4 4" xfId="7348"/>
    <cellStyle name="Currency 3 3 4 4 2" xfId="13542"/>
    <cellStyle name="Currency 3 3 4 4 3" xfId="19694"/>
    <cellStyle name="Currency 3 3 4 5" xfId="10476"/>
    <cellStyle name="Currency 3 3 4 6" xfId="16628"/>
    <cellStyle name="Currency 3 3 5" xfId="3240"/>
    <cellStyle name="Currency 3 3 5 2" xfId="4942"/>
    <cellStyle name="Currency 3 3 5 2 2" xfId="6567"/>
    <cellStyle name="Currency 3 3 5 2 2 2" xfId="9653"/>
    <cellStyle name="Currency 3 3 5 2 2 2 2" xfId="15846"/>
    <cellStyle name="Currency 3 3 5 2 2 2 3" xfId="21998"/>
    <cellStyle name="Currency 3 3 5 2 2 3" xfId="12780"/>
    <cellStyle name="Currency 3 3 5 2 2 4" xfId="18932"/>
    <cellStyle name="Currency 3 3 5 2 3" xfId="8118"/>
    <cellStyle name="Currency 3 3 5 2 3 2" xfId="14312"/>
    <cellStyle name="Currency 3 3 5 2 3 3" xfId="20464"/>
    <cellStyle name="Currency 3 3 5 2 4" xfId="11246"/>
    <cellStyle name="Currency 3 3 5 2 5" xfId="17398"/>
    <cellStyle name="Currency 3 3 5 3" xfId="5783"/>
    <cellStyle name="Currency 3 3 5 3 2" xfId="8884"/>
    <cellStyle name="Currency 3 3 5 3 2 2" xfId="15077"/>
    <cellStyle name="Currency 3 3 5 3 2 3" xfId="21229"/>
    <cellStyle name="Currency 3 3 5 3 3" xfId="12011"/>
    <cellStyle name="Currency 3 3 5 3 4" xfId="18163"/>
    <cellStyle name="Currency 3 3 5 4" xfId="7349"/>
    <cellStyle name="Currency 3 3 5 4 2" xfId="13543"/>
    <cellStyle name="Currency 3 3 5 4 3" xfId="19695"/>
    <cellStyle name="Currency 3 3 5 5" xfId="10477"/>
    <cellStyle name="Currency 3 3 5 6" xfId="16629"/>
    <cellStyle name="Currency 3 3 6" xfId="3241"/>
    <cellStyle name="Currency 3 3 6 2" xfId="4943"/>
    <cellStyle name="Currency 3 3 6 2 2" xfId="6568"/>
    <cellStyle name="Currency 3 3 6 2 2 2" xfId="9654"/>
    <cellStyle name="Currency 3 3 6 2 2 2 2" xfId="15847"/>
    <cellStyle name="Currency 3 3 6 2 2 2 3" xfId="21999"/>
    <cellStyle name="Currency 3 3 6 2 2 3" xfId="12781"/>
    <cellStyle name="Currency 3 3 6 2 2 4" xfId="18933"/>
    <cellStyle name="Currency 3 3 6 2 3" xfId="8119"/>
    <cellStyle name="Currency 3 3 6 2 3 2" xfId="14313"/>
    <cellStyle name="Currency 3 3 6 2 3 3" xfId="20465"/>
    <cellStyle name="Currency 3 3 6 2 4" xfId="11247"/>
    <cellStyle name="Currency 3 3 6 2 5" xfId="17399"/>
    <cellStyle name="Currency 3 3 6 3" xfId="5784"/>
    <cellStyle name="Currency 3 3 6 3 2" xfId="8885"/>
    <cellStyle name="Currency 3 3 6 3 2 2" xfId="15078"/>
    <cellStyle name="Currency 3 3 6 3 2 3" xfId="21230"/>
    <cellStyle name="Currency 3 3 6 3 3" xfId="12012"/>
    <cellStyle name="Currency 3 3 6 3 4" xfId="18164"/>
    <cellStyle name="Currency 3 3 6 4" xfId="7350"/>
    <cellStyle name="Currency 3 3 6 4 2" xfId="13544"/>
    <cellStyle name="Currency 3 3 6 4 3" xfId="19696"/>
    <cellStyle name="Currency 3 3 6 5" xfId="10478"/>
    <cellStyle name="Currency 3 3 6 6" xfId="16630"/>
    <cellStyle name="Currency 3 3 7" xfId="3242"/>
    <cellStyle name="Currency 3 3 8" xfId="4938"/>
    <cellStyle name="Currency 3 3 8 2" xfId="6563"/>
    <cellStyle name="Currency 3 3 8 2 2" xfId="9649"/>
    <cellStyle name="Currency 3 3 8 2 2 2" xfId="15842"/>
    <cellStyle name="Currency 3 3 8 2 2 3" xfId="21994"/>
    <cellStyle name="Currency 3 3 8 2 3" xfId="12776"/>
    <cellStyle name="Currency 3 3 8 2 4" xfId="18928"/>
    <cellStyle name="Currency 3 3 8 3" xfId="8114"/>
    <cellStyle name="Currency 3 3 8 3 2" xfId="14308"/>
    <cellStyle name="Currency 3 3 8 3 3" xfId="20460"/>
    <cellStyle name="Currency 3 3 8 4" xfId="11242"/>
    <cellStyle name="Currency 3 3 8 5" xfId="17394"/>
    <cellStyle name="Currency 3 3 9" xfId="5779"/>
    <cellStyle name="Currency 3 3 9 2" xfId="8880"/>
    <cellStyle name="Currency 3 3 9 2 2" xfId="15073"/>
    <cellStyle name="Currency 3 3 9 2 3" xfId="21225"/>
    <cellStyle name="Currency 3 3 9 3" xfId="12007"/>
    <cellStyle name="Currency 3 3 9 4" xfId="18159"/>
    <cellStyle name="Currency 3 30" xfId="855"/>
    <cellStyle name="Currency 3 31" xfId="1162"/>
    <cellStyle name="Currency 3 32" xfId="22818"/>
    <cellStyle name="Currency 3 33" xfId="197"/>
    <cellStyle name="Currency 3 34" xfId="23168"/>
    <cellStyle name="Currency 3 4" xfId="289"/>
    <cellStyle name="Currency 3 4 2" xfId="3244"/>
    <cellStyle name="Currency 3 4 2 2" xfId="4945"/>
    <cellStyle name="Currency 3 4 2 2 2" xfId="6570"/>
    <cellStyle name="Currency 3 4 2 2 2 2" xfId="9656"/>
    <cellStyle name="Currency 3 4 2 2 2 2 2" xfId="15849"/>
    <cellStyle name="Currency 3 4 2 2 2 2 3" xfId="22001"/>
    <cellStyle name="Currency 3 4 2 2 2 3" xfId="12783"/>
    <cellStyle name="Currency 3 4 2 2 2 4" xfId="18935"/>
    <cellStyle name="Currency 3 4 2 2 3" xfId="8121"/>
    <cellStyle name="Currency 3 4 2 2 3 2" xfId="14315"/>
    <cellStyle name="Currency 3 4 2 2 3 3" xfId="20467"/>
    <cellStyle name="Currency 3 4 2 2 4" xfId="11249"/>
    <cellStyle name="Currency 3 4 2 2 5" xfId="17401"/>
    <cellStyle name="Currency 3 4 2 3" xfId="5786"/>
    <cellStyle name="Currency 3 4 2 3 2" xfId="8887"/>
    <cellStyle name="Currency 3 4 2 3 2 2" xfId="15080"/>
    <cellStyle name="Currency 3 4 2 3 2 3" xfId="21232"/>
    <cellStyle name="Currency 3 4 2 3 3" xfId="12014"/>
    <cellStyle name="Currency 3 4 2 3 4" xfId="18166"/>
    <cellStyle name="Currency 3 4 2 4" xfId="7352"/>
    <cellStyle name="Currency 3 4 2 4 2" xfId="13546"/>
    <cellStyle name="Currency 3 4 2 4 3" xfId="19698"/>
    <cellStyle name="Currency 3 4 2 5" xfId="10480"/>
    <cellStyle name="Currency 3 4 2 6" xfId="16632"/>
    <cellStyle name="Currency 3 4 3" xfId="4944"/>
    <cellStyle name="Currency 3 4 3 2" xfId="6569"/>
    <cellStyle name="Currency 3 4 3 2 2" xfId="9655"/>
    <cellStyle name="Currency 3 4 3 2 2 2" xfId="15848"/>
    <cellStyle name="Currency 3 4 3 2 2 3" xfId="22000"/>
    <cellStyle name="Currency 3 4 3 2 3" xfId="12782"/>
    <cellStyle name="Currency 3 4 3 2 4" xfId="18934"/>
    <cellStyle name="Currency 3 4 3 3" xfId="8120"/>
    <cellStyle name="Currency 3 4 3 3 2" xfId="14314"/>
    <cellStyle name="Currency 3 4 3 3 3" xfId="20466"/>
    <cellStyle name="Currency 3 4 3 4" xfId="11248"/>
    <cellStyle name="Currency 3 4 3 5" xfId="17400"/>
    <cellStyle name="Currency 3 4 4" xfId="5785"/>
    <cellStyle name="Currency 3 4 4 2" xfId="8886"/>
    <cellStyle name="Currency 3 4 4 2 2" xfId="15079"/>
    <cellStyle name="Currency 3 4 4 2 3" xfId="21231"/>
    <cellStyle name="Currency 3 4 4 3" xfId="12013"/>
    <cellStyle name="Currency 3 4 4 4" xfId="18165"/>
    <cellStyle name="Currency 3 4 5" xfId="7351"/>
    <cellStyle name="Currency 3 4 5 2" xfId="13545"/>
    <cellStyle name="Currency 3 4 5 3" xfId="19697"/>
    <cellStyle name="Currency 3 4 6" xfId="10479"/>
    <cellStyle name="Currency 3 4 7" xfId="16631"/>
    <cellStyle name="Currency 3 4 8" xfId="3243"/>
    <cellStyle name="Currency 3 4 9" xfId="23171"/>
    <cellStyle name="Currency 3 5" xfId="315"/>
    <cellStyle name="Currency 3 5 2" xfId="3246"/>
    <cellStyle name="Currency 3 5 2 2" xfId="4947"/>
    <cellStyle name="Currency 3 5 2 2 2" xfId="6572"/>
    <cellStyle name="Currency 3 5 2 2 2 2" xfId="9658"/>
    <cellStyle name="Currency 3 5 2 2 2 2 2" xfId="15851"/>
    <cellStyle name="Currency 3 5 2 2 2 2 3" xfId="22003"/>
    <cellStyle name="Currency 3 5 2 2 2 3" xfId="12785"/>
    <cellStyle name="Currency 3 5 2 2 2 4" xfId="18937"/>
    <cellStyle name="Currency 3 5 2 2 3" xfId="8123"/>
    <cellStyle name="Currency 3 5 2 2 3 2" xfId="14317"/>
    <cellStyle name="Currency 3 5 2 2 3 3" xfId="20469"/>
    <cellStyle name="Currency 3 5 2 2 4" xfId="11251"/>
    <cellStyle name="Currency 3 5 2 2 5" xfId="17403"/>
    <cellStyle name="Currency 3 5 2 3" xfId="5788"/>
    <cellStyle name="Currency 3 5 2 3 2" xfId="8889"/>
    <cellStyle name="Currency 3 5 2 3 2 2" xfId="15082"/>
    <cellStyle name="Currency 3 5 2 3 2 3" xfId="21234"/>
    <cellStyle name="Currency 3 5 2 3 3" xfId="12016"/>
    <cellStyle name="Currency 3 5 2 3 4" xfId="18168"/>
    <cellStyle name="Currency 3 5 2 4" xfId="7354"/>
    <cellStyle name="Currency 3 5 2 4 2" xfId="13548"/>
    <cellStyle name="Currency 3 5 2 4 3" xfId="19700"/>
    <cellStyle name="Currency 3 5 2 5" xfId="10482"/>
    <cellStyle name="Currency 3 5 2 6" xfId="16634"/>
    <cellStyle name="Currency 3 5 3" xfId="4946"/>
    <cellStyle name="Currency 3 5 3 2" xfId="6571"/>
    <cellStyle name="Currency 3 5 3 2 2" xfId="9657"/>
    <cellStyle name="Currency 3 5 3 2 2 2" xfId="15850"/>
    <cellStyle name="Currency 3 5 3 2 2 3" xfId="22002"/>
    <cellStyle name="Currency 3 5 3 2 3" xfId="12784"/>
    <cellStyle name="Currency 3 5 3 2 4" xfId="18936"/>
    <cellStyle name="Currency 3 5 3 3" xfId="8122"/>
    <cellStyle name="Currency 3 5 3 3 2" xfId="14316"/>
    <cellStyle name="Currency 3 5 3 3 3" xfId="20468"/>
    <cellStyle name="Currency 3 5 3 4" xfId="11250"/>
    <cellStyle name="Currency 3 5 3 5" xfId="17402"/>
    <cellStyle name="Currency 3 5 4" xfId="5787"/>
    <cellStyle name="Currency 3 5 4 2" xfId="8888"/>
    <cellStyle name="Currency 3 5 4 2 2" xfId="15081"/>
    <cellStyle name="Currency 3 5 4 2 3" xfId="21233"/>
    <cellStyle name="Currency 3 5 4 3" xfId="12015"/>
    <cellStyle name="Currency 3 5 4 4" xfId="18167"/>
    <cellStyle name="Currency 3 5 5" xfId="7353"/>
    <cellStyle name="Currency 3 5 5 2" xfId="13547"/>
    <cellStyle name="Currency 3 5 5 3" xfId="19699"/>
    <cellStyle name="Currency 3 5 6" xfId="10481"/>
    <cellStyle name="Currency 3 5 7" xfId="16633"/>
    <cellStyle name="Currency 3 5 8" xfId="3245"/>
    <cellStyle name="Currency 3 5 9" xfId="23172"/>
    <cellStyle name="Currency 3 6" xfId="306"/>
    <cellStyle name="Currency 3 6 2" xfId="3248"/>
    <cellStyle name="Currency 3 6 2 2" xfId="4949"/>
    <cellStyle name="Currency 3 6 2 2 2" xfId="6574"/>
    <cellStyle name="Currency 3 6 2 2 2 2" xfId="9660"/>
    <cellStyle name="Currency 3 6 2 2 2 2 2" xfId="15853"/>
    <cellStyle name="Currency 3 6 2 2 2 2 3" xfId="22005"/>
    <cellStyle name="Currency 3 6 2 2 2 3" xfId="12787"/>
    <cellStyle name="Currency 3 6 2 2 2 4" xfId="18939"/>
    <cellStyle name="Currency 3 6 2 2 3" xfId="8125"/>
    <cellStyle name="Currency 3 6 2 2 3 2" xfId="14319"/>
    <cellStyle name="Currency 3 6 2 2 3 3" xfId="20471"/>
    <cellStyle name="Currency 3 6 2 2 4" xfId="11253"/>
    <cellStyle name="Currency 3 6 2 2 5" xfId="17405"/>
    <cellStyle name="Currency 3 6 2 3" xfId="5790"/>
    <cellStyle name="Currency 3 6 2 3 2" xfId="8891"/>
    <cellStyle name="Currency 3 6 2 3 2 2" xfId="15084"/>
    <cellStyle name="Currency 3 6 2 3 2 3" xfId="21236"/>
    <cellStyle name="Currency 3 6 2 3 3" xfId="12018"/>
    <cellStyle name="Currency 3 6 2 3 4" xfId="18170"/>
    <cellStyle name="Currency 3 6 2 4" xfId="7356"/>
    <cellStyle name="Currency 3 6 2 4 2" xfId="13550"/>
    <cellStyle name="Currency 3 6 2 4 3" xfId="19702"/>
    <cellStyle name="Currency 3 6 2 5" xfId="10484"/>
    <cellStyle name="Currency 3 6 2 6" xfId="16636"/>
    <cellStyle name="Currency 3 6 3" xfId="4948"/>
    <cellStyle name="Currency 3 6 3 2" xfId="6573"/>
    <cellStyle name="Currency 3 6 3 2 2" xfId="9659"/>
    <cellStyle name="Currency 3 6 3 2 2 2" xfId="15852"/>
    <cellStyle name="Currency 3 6 3 2 2 3" xfId="22004"/>
    <cellStyle name="Currency 3 6 3 2 3" xfId="12786"/>
    <cellStyle name="Currency 3 6 3 2 4" xfId="18938"/>
    <cellStyle name="Currency 3 6 3 3" xfId="8124"/>
    <cellStyle name="Currency 3 6 3 3 2" xfId="14318"/>
    <cellStyle name="Currency 3 6 3 3 3" xfId="20470"/>
    <cellStyle name="Currency 3 6 3 4" xfId="11252"/>
    <cellStyle name="Currency 3 6 3 5" xfId="17404"/>
    <cellStyle name="Currency 3 6 4" xfId="5789"/>
    <cellStyle name="Currency 3 6 4 2" xfId="8890"/>
    <cellStyle name="Currency 3 6 4 2 2" xfId="15083"/>
    <cellStyle name="Currency 3 6 4 2 3" xfId="21235"/>
    <cellStyle name="Currency 3 6 4 3" xfId="12017"/>
    <cellStyle name="Currency 3 6 4 4" xfId="18169"/>
    <cellStyle name="Currency 3 6 5" xfId="7355"/>
    <cellStyle name="Currency 3 6 5 2" xfId="13549"/>
    <cellStyle name="Currency 3 6 5 3" xfId="19701"/>
    <cellStyle name="Currency 3 6 6" xfId="10483"/>
    <cellStyle name="Currency 3 6 7" xfId="16635"/>
    <cellStyle name="Currency 3 6 8" xfId="3247"/>
    <cellStyle name="Currency 3 7" xfId="344"/>
    <cellStyle name="Currency 3 7 2" xfId="4950"/>
    <cellStyle name="Currency 3 7 2 2" xfId="6575"/>
    <cellStyle name="Currency 3 7 2 2 2" xfId="9661"/>
    <cellStyle name="Currency 3 7 2 2 2 2" xfId="15854"/>
    <cellStyle name="Currency 3 7 2 2 2 3" xfId="22006"/>
    <cellStyle name="Currency 3 7 2 2 3" xfId="12788"/>
    <cellStyle name="Currency 3 7 2 2 4" xfId="18940"/>
    <cellStyle name="Currency 3 7 2 3" xfId="8126"/>
    <cellStyle name="Currency 3 7 2 3 2" xfId="14320"/>
    <cellStyle name="Currency 3 7 2 3 3" xfId="20472"/>
    <cellStyle name="Currency 3 7 2 4" xfId="11254"/>
    <cellStyle name="Currency 3 7 2 5" xfId="17406"/>
    <cellStyle name="Currency 3 7 3" xfId="5791"/>
    <cellStyle name="Currency 3 7 3 2" xfId="8892"/>
    <cellStyle name="Currency 3 7 3 2 2" xfId="15085"/>
    <cellStyle name="Currency 3 7 3 2 3" xfId="21237"/>
    <cellStyle name="Currency 3 7 3 3" xfId="12019"/>
    <cellStyle name="Currency 3 7 3 4" xfId="18171"/>
    <cellStyle name="Currency 3 7 4" xfId="7357"/>
    <cellStyle name="Currency 3 7 4 2" xfId="13551"/>
    <cellStyle name="Currency 3 7 4 3" xfId="19703"/>
    <cellStyle name="Currency 3 7 5" xfId="10485"/>
    <cellStyle name="Currency 3 7 6" xfId="16637"/>
    <cellStyle name="Currency 3 7 7" xfId="3249"/>
    <cellStyle name="Currency 3 8" xfId="312"/>
    <cellStyle name="Currency 3 8 2" xfId="4951"/>
    <cellStyle name="Currency 3 8 2 2" xfId="6576"/>
    <cellStyle name="Currency 3 8 2 2 2" xfId="9662"/>
    <cellStyle name="Currency 3 8 2 2 2 2" xfId="15855"/>
    <cellStyle name="Currency 3 8 2 2 2 3" xfId="22007"/>
    <cellStyle name="Currency 3 8 2 2 3" xfId="12789"/>
    <cellStyle name="Currency 3 8 2 2 4" xfId="18941"/>
    <cellStyle name="Currency 3 8 2 3" xfId="8127"/>
    <cellStyle name="Currency 3 8 2 3 2" xfId="14321"/>
    <cellStyle name="Currency 3 8 2 3 3" xfId="20473"/>
    <cellStyle name="Currency 3 8 2 4" xfId="11255"/>
    <cellStyle name="Currency 3 8 2 5" xfId="17407"/>
    <cellStyle name="Currency 3 8 3" xfId="5792"/>
    <cellStyle name="Currency 3 8 3 2" xfId="8893"/>
    <cellStyle name="Currency 3 8 3 2 2" xfId="15086"/>
    <cellStyle name="Currency 3 8 3 2 3" xfId="21238"/>
    <cellStyle name="Currency 3 8 3 3" xfId="12020"/>
    <cellStyle name="Currency 3 8 3 4" xfId="18172"/>
    <cellStyle name="Currency 3 8 4" xfId="7358"/>
    <cellStyle name="Currency 3 8 4 2" xfId="13552"/>
    <cellStyle name="Currency 3 8 4 3" xfId="19704"/>
    <cellStyle name="Currency 3 8 5" xfId="10486"/>
    <cellStyle name="Currency 3 8 6" xfId="16638"/>
    <cellStyle name="Currency 3 8 7" xfId="3250"/>
    <cellStyle name="Currency 3 9" xfId="305"/>
    <cellStyle name="Currency 3 9 2" xfId="4952"/>
    <cellStyle name="Currency 3 9 2 2" xfId="6577"/>
    <cellStyle name="Currency 3 9 2 2 2" xfId="9663"/>
    <cellStyle name="Currency 3 9 2 2 2 2" xfId="15856"/>
    <cellStyle name="Currency 3 9 2 2 2 3" xfId="22008"/>
    <cellStyle name="Currency 3 9 2 2 3" xfId="12790"/>
    <cellStyle name="Currency 3 9 2 2 4" xfId="18942"/>
    <cellStyle name="Currency 3 9 2 3" xfId="8128"/>
    <cellStyle name="Currency 3 9 2 3 2" xfId="14322"/>
    <cellStyle name="Currency 3 9 2 3 3" xfId="20474"/>
    <cellStyle name="Currency 3 9 2 4" xfId="11256"/>
    <cellStyle name="Currency 3 9 2 5" xfId="17408"/>
    <cellStyle name="Currency 3 9 3" xfId="5793"/>
    <cellStyle name="Currency 3 9 3 2" xfId="8894"/>
    <cellStyle name="Currency 3 9 3 2 2" xfId="15087"/>
    <cellStyle name="Currency 3 9 3 2 3" xfId="21239"/>
    <cellStyle name="Currency 3 9 3 3" xfId="12021"/>
    <cellStyle name="Currency 3 9 3 4" xfId="18173"/>
    <cellStyle name="Currency 3 9 4" xfId="7359"/>
    <cellStyle name="Currency 3 9 4 2" xfId="13553"/>
    <cellStyle name="Currency 3 9 4 3" xfId="19705"/>
    <cellStyle name="Currency 3 9 5" xfId="10487"/>
    <cellStyle name="Currency 3 9 6" xfId="16639"/>
    <cellStyle name="Currency 3 9 7" xfId="3251"/>
    <cellStyle name="Currency 30" xfId="3252"/>
    <cellStyle name="Currency 31" xfId="3253"/>
    <cellStyle name="Currency 32" xfId="3254"/>
    <cellStyle name="Currency 33" xfId="3255"/>
    <cellStyle name="Currency 34" xfId="3256"/>
    <cellStyle name="Currency 35" xfId="3257"/>
    <cellStyle name="Currency 36" xfId="3258"/>
    <cellStyle name="Currency 37" xfId="3259"/>
    <cellStyle name="Currency 38" xfId="3260"/>
    <cellStyle name="Currency 39" xfId="3261"/>
    <cellStyle name="Currency 4" xfId="58"/>
    <cellStyle name="Currency 4 2" xfId="3263"/>
    <cellStyle name="Currency 4 2 2" xfId="10247"/>
    <cellStyle name="Currency 4 2 2 2" xfId="16419"/>
    <cellStyle name="Currency 4 2 2 3" xfId="22571"/>
    <cellStyle name="Currency 4 2 3" xfId="10229"/>
    <cellStyle name="Currency 4 2 3 2" xfId="16410"/>
    <cellStyle name="Currency 4 2 3 3" xfId="22562"/>
    <cellStyle name="Currency 4 2 4" xfId="23174"/>
    <cellStyle name="Currency 4 3" xfId="3264"/>
    <cellStyle name="Currency 4 3 2" xfId="3265"/>
    <cellStyle name="Currency 4 3 3" xfId="3266"/>
    <cellStyle name="Currency 4 3 4" xfId="3267"/>
    <cellStyle name="Currency 4 3 5" xfId="10246"/>
    <cellStyle name="Currency 4 3 5 2" xfId="16418"/>
    <cellStyle name="Currency 4 3 5 3" xfId="22570"/>
    <cellStyle name="Currency 4 3 6" xfId="23175"/>
    <cellStyle name="Currency 4 4" xfId="3268"/>
    <cellStyle name="Currency 4 4 2" xfId="10263"/>
    <cellStyle name="Currency 4 4 3" xfId="23176"/>
    <cellStyle name="Currency 4 5" xfId="4662"/>
    <cellStyle name="Currency 4 5 2" xfId="23177"/>
    <cellStyle name="Currency 4 6" xfId="3262"/>
    <cellStyle name="Currency 4 7" xfId="10228"/>
    <cellStyle name="Currency 4 7 2" xfId="16409"/>
    <cellStyle name="Currency 4 7 3" xfId="22561"/>
    <cellStyle name="Currency 4 8" xfId="1220"/>
    <cellStyle name="Currency 4 9" xfId="23173"/>
    <cellStyle name="Currency 40" xfId="3269"/>
    <cellStyle name="Currency 41" xfId="3270"/>
    <cellStyle name="Currency 42" xfId="3271"/>
    <cellStyle name="Currency 43" xfId="3272"/>
    <cellStyle name="Currency 44" xfId="3273"/>
    <cellStyle name="Currency 45" xfId="3274"/>
    <cellStyle name="Currency 46" xfId="3275"/>
    <cellStyle name="Currency 47" xfId="3276"/>
    <cellStyle name="Currency 48" xfId="3277"/>
    <cellStyle name="Currency 49" xfId="3278"/>
    <cellStyle name="Currency 5" xfId="59"/>
    <cellStyle name="Currency 5 10" xfId="16429"/>
    <cellStyle name="Currency 5 11" xfId="1221"/>
    <cellStyle name="Currency 5 12" xfId="23178"/>
    <cellStyle name="Currency 5 2" xfId="1293"/>
    <cellStyle name="Currency 5 2 10" xfId="16435"/>
    <cellStyle name="Currency 5 2 11" xfId="23179"/>
    <cellStyle name="Currency 5 2 2" xfId="1312"/>
    <cellStyle name="Currency 5 2 2 2" xfId="4724"/>
    <cellStyle name="Currency 5 2 2 2 2" xfId="5500"/>
    <cellStyle name="Currency 5 2 2 2 2 2" xfId="7125"/>
    <cellStyle name="Currency 5 2 2 2 2 2 2" xfId="10211"/>
    <cellStyle name="Currency 5 2 2 2 2 2 2 2" xfId="16404"/>
    <cellStyle name="Currency 5 2 2 2 2 2 2 3" xfId="22556"/>
    <cellStyle name="Currency 5 2 2 2 2 2 3" xfId="13338"/>
    <cellStyle name="Currency 5 2 2 2 2 2 4" xfId="19490"/>
    <cellStyle name="Currency 5 2 2 2 2 3" xfId="8676"/>
    <cellStyle name="Currency 5 2 2 2 2 3 2" xfId="14870"/>
    <cellStyle name="Currency 5 2 2 2 2 3 3" xfId="21022"/>
    <cellStyle name="Currency 5 2 2 2 2 4" xfId="11804"/>
    <cellStyle name="Currency 5 2 2 2 2 5" xfId="17956"/>
    <cellStyle name="Currency 5 2 2 2 3" xfId="6356"/>
    <cellStyle name="Currency 5 2 2 2 3 2" xfId="9442"/>
    <cellStyle name="Currency 5 2 2 2 3 2 2" xfId="15635"/>
    <cellStyle name="Currency 5 2 2 2 3 2 3" xfId="21787"/>
    <cellStyle name="Currency 5 2 2 2 3 3" xfId="12569"/>
    <cellStyle name="Currency 5 2 2 2 3 4" xfId="18721"/>
    <cellStyle name="Currency 5 2 2 2 4" xfId="7907"/>
    <cellStyle name="Currency 5 2 2 2 4 2" xfId="14101"/>
    <cellStyle name="Currency 5 2 2 2 4 3" xfId="20253"/>
    <cellStyle name="Currency 5 2 2 2 5" xfId="11035"/>
    <cellStyle name="Currency 5 2 2 2 6" xfId="17187"/>
    <cellStyle name="Currency 5 2 2 3" xfId="3281"/>
    <cellStyle name="Currency 5 2 2 4" xfId="4759"/>
    <cellStyle name="Currency 5 2 2 4 2" xfId="6384"/>
    <cellStyle name="Currency 5 2 2 4 2 2" xfId="9470"/>
    <cellStyle name="Currency 5 2 2 4 2 2 2" xfId="15663"/>
    <cellStyle name="Currency 5 2 2 4 2 2 3" xfId="21815"/>
    <cellStyle name="Currency 5 2 2 4 2 3" xfId="12597"/>
    <cellStyle name="Currency 5 2 2 4 2 4" xfId="18749"/>
    <cellStyle name="Currency 5 2 2 4 3" xfId="7935"/>
    <cellStyle name="Currency 5 2 2 4 3 2" xfId="14129"/>
    <cellStyle name="Currency 5 2 2 4 3 3" xfId="20281"/>
    <cellStyle name="Currency 5 2 2 4 4" xfId="11063"/>
    <cellStyle name="Currency 5 2 2 4 5" xfId="17215"/>
    <cellStyle name="Currency 5 2 2 5" xfId="5598"/>
    <cellStyle name="Currency 5 2 2 5 2" xfId="8701"/>
    <cellStyle name="Currency 5 2 2 5 2 2" xfId="14894"/>
    <cellStyle name="Currency 5 2 2 5 2 3" xfId="21046"/>
    <cellStyle name="Currency 5 2 2 5 3" xfId="11828"/>
    <cellStyle name="Currency 5 2 2 5 4" xfId="17980"/>
    <cellStyle name="Currency 5 2 2 6" xfId="7166"/>
    <cellStyle name="Currency 5 2 2 6 2" xfId="13360"/>
    <cellStyle name="Currency 5 2 2 6 3" xfId="19512"/>
    <cellStyle name="Currency 5 2 2 7" xfId="10294"/>
    <cellStyle name="Currency 5 2 2 8" xfId="16446"/>
    <cellStyle name="Currency 5 2 3" xfId="3282"/>
    <cellStyle name="Currency 5 2 4" xfId="4707"/>
    <cellStyle name="Currency 5 2 4 2" xfId="5491"/>
    <cellStyle name="Currency 5 2 4 2 2" xfId="7116"/>
    <cellStyle name="Currency 5 2 4 2 2 2" xfId="10202"/>
    <cellStyle name="Currency 5 2 4 2 2 2 2" xfId="16395"/>
    <cellStyle name="Currency 5 2 4 2 2 2 3" xfId="22547"/>
    <cellStyle name="Currency 5 2 4 2 2 3" xfId="13329"/>
    <cellStyle name="Currency 5 2 4 2 2 4" xfId="19481"/>
    <cellStyle name="Currency 5 2 4 2 3" xfId="8667"/>
    <cellStyle name="Currency 5 2 4 2 3 2" xfId="14861"/>
    <cellStyle name="Currency 5 2 4 2 3 3" xfId="21013"/>
    <cellStyle name="Currency 5 2 4 2 4" xfId="11795"/>
    <cellStyle name="Currency 5 2 4 2 5" xfId="17947"/>
    <cellStyle name="Currency 5 2 4 3" xfId="6347"/>
    <cellStyle name="Currency 5 2 4 3 2" xfId="9433"/>
    <cellStyle name="Currency 5 2 4 3 2 2" xfId="15626"/>
    <cellStyle name="Currency 5 2 4 3 2 3" xfId="21778"/>
    <cellStyle name="Currency 5 2 4 3 3" xfId="12560"/>
    <cellStyle name="Currency 5 2 4 3 4" xfId="18712"/>
    <cellStyle name="Currency 5 2 4 4" xfId="7898"/>
    <cellStyle name="Currency 5 2 4 4 2" xfId="14092"/>
    <cellStyle name="Currency 5 2 4 4 3" xfId="20244"/>
    <cellStyle name="Currency 5 2 4 5" xfId="11026"/>
    <cellStyle name="Currency 5 2 4 6" xfId="17178"/>
    <cellStyle name="Currency 5 2 5" xfId="3280"/>
    <cellStyle name="Currency 5 2 6" xfId="4748"/>
    <cellStyle name="Currency 5 2 6 2" xfId="6373"/>
    <cellStyle name="Currency 5 2 6 2 2" xfId="9459"/>
    <cellStyle name="Currency 5 2 6 2 2 2" xfId="15652"/>
    <cellStyle name="Currency 5 2 6 2 2 3" xfId="21804"/>
    <cellStyle name="Currency 5 2 6 2 3" xfId="12586"/>
    <cellStyle name="Currency 5 2 6 2 4" xfId="18738"/>
    <cellStyle name="Currency 5 2 6 3" xfId="7924"/>
    <cellStyle name="Currency 5 2 6 3 2" xfId="14118"/>
    <cellStyle name="Currency 5 2 6 3 3" xfId="20270"/>
    <cellStyle name="Currency 5 2 6 4" xfId="11052"/>
    <cellStyle name="Currency 5 2 6 5" xfId="17204"/>
    <cellStyle name="Currency 5 2 7" xfId="5586"/>
    <cellStyle name="Currency 5 2 7 2" xfId="8690"/>
    <cellStyle name="Currency 5 2 7 2 2" xfId="14883"/>
    <cellStyle name="Currency 5 2 7 2 3" xfId="21035"/>
    <cellStyle name="Currency 5 2 7 3" xfId="11817"/>
    <cellStyle name="Currency 5 2 7 4" xfId="17969"/>
    <cellStyle name="Currency 5 2 8" xfId="7155"/>
    <cellStyle name="Currency 5 2 8 2" xfId="13349"/>
    <cellStyle name="Currency 5 2 8 3" xfId="19501"/>
    <cellStyle name="Currency 5 2 9" xfId="10283"/>
    <cellStyle name="Currency 5 3" xfId="1306"/>
    <cellStyle name="Currency 5 3 2" xfId="4719"/>
    <cellStyle name="Currency 5 3 2 2" xfId="5495"/>
    <cellStyle name="Currency 5 3 2 2 2" xfId="7120"/>
    <cellStyle name="Currency 5 3 2 2 2 2" xfId="10206"/>
    <cellStyle name="Currency 5 3 2 2 2 2 2" xfId="16399"/>
    <cellStyle name="Currency 5 3 2 2 2 2 3" xfId="22551"/>
    <cellStyle name="Currency 5 3 2 2 2 3" xfId="13333"/>
    <cellStyle name="Currency 5 3 2 2 2 4" xfId="19485"/>
    <cellStyle name="Currency 5 3 2 2 3" xfId="8671"/>
    <cellStyle name="Currency 5 3 2 2 3 2" xfId="14865"/>
    <cellStyle name="Currency 5 3 2 2 3 3" xfId="21017"/>
    <cellStyle name="Currency 5 3 2 2 4" xfId="11799"/>
    <cellStyle name="Currency 5 3 2 2 5" xfId="17951"/>
    <cellStyle name="Currency 5 3 2 3" xfId="6351"/>
    <cellStyle name="Currency 5 3 2 3 2" xfId="9437"/>
    <cellStyle name="Currency 5 3 2 3 2 2" xfId="15630"/>
    <cellStyle name="Currency 5 3 2 3 2 3" xfId="21782"/>
    <cellStyle name="Currency 5 3 2 3 3" xfId="12564"/>
    <cellStyle name="Currency 5 3 2 3 4" xfId="18716"/>
    <cellStyle name="Currency 5 3 2 4" xfId="7902"/>
    <cellStyle name="Currency 5 3 2 4 2" xfId="14096"/>
    <cellStyle name="Currency 5 3 2 4 3" xfId="20248"/>
    <cellStyle name="Currency 5 3 2 5" xfId="11030"/>
    <cellStyle name="Currency 5 3 2 6" xfId="17182"/>
    <cellStyle name="Currency 5 3 3" xfId="3283"/>
    <cellStyle name="Currency 5 3 4" xfId="4753"/>
    <cellStyle name="Currency 5 3 4 2" xfId="6378"/>
    <cellStyle name="Currency 5 3 4 2 2" xfId="9464"/>
    <cellStyle name="Currency 5 3 4 2 2 2" xfId="15657"/>
    <cellStyle name="Currency 5 3 4 2 2 3" xfId="21809"/>
    <cellStyle name="Currency 5 3 4 2 3" xfId="12591"/>
    <cellStyle name="Currency 5 3 4 2 4" xfId="18743"/>
    <cellStyle name="Currency 5 3 4 3" xfId="7929"/>
    <cellStyle name="Currency 5 3 4 3 2" xfId="14123"/>
    <cellStyle name="Currency 5 3 4 3 3" xfId="20275"/>
    <cellStyle name="Currency 5 3 4 4" xfId="11057"/>
    <cellStyle name="Currency 5 3 4 5" xfId="17209"/>
    <cellStyle name="Currency 5 3 5" xfId="5592"/>
    <cellStyle name="Currency 5 3 5 2" xfId="8695"/>
    <cellStyle name="Currency 5 3 5 2 2" xfId="14888"/>
    <cellStyle name="Currency 5 3 5 2 3" xfId="21040"/>
    <cellStyle name="Currency 5 3 5 3" xfId="11822"/>
    <cellStyle name="Currency 5 3 5 4" xfId="17974"/>
    <cellStyle name="Currency 5 3 6" xfId="7160"/>
    <cellStyle name="Currency 5 3 6 2" xfId="13354"/>
    <cellStyle name="Currency 5 3 6 3" xfId="19506"/>
    <cellStyle name="Currency 5 3 7" xfId="10288"/>
    <cellStyle name="Currency 5 3 8" xfId="16440"/>
    <cellStyle name="Currency 5 3 9" xfId="23180"/>
    <cellStyle name="Currency 5 4" xfId="4663"/>
    <cellStyle name="Currency 5 4 2" xfId="5487"/>
    <cellStyle name="Currency 5 4 2 2" xfId="7112"/>
    <cellStyle name="Currency 5 4 2 2 2" xfId="10198"/>
    <cellStyle name="Currency 5 4 2 2 2 2" xfId="16391"/>
    <cellStyle name="Currency 5 4 2 2 2 3" xfId="22543"/>
    <cellStyle name="Currency 5 4 2 2 3" xfId="13325"/>
    <cellStyle name="Currency 5 4 2 2 4" xfId="19477"/>
    <cellStyle name="Currency 5 4 2 3" xfId="8663"/>
    <cellStyle name="Currency 5 4 2 3 2" xfId="14857"/>
    <cellStyle name="Currency 5 4 2 3 3" xfId="21009"/>
    <cellStyle name="Currency 5 4 2 4" xfId="11791"/>
    <cellStyle name="Currency 5 4 2 5" xfId="17943"/>
    <cellStyle name="Currency 5 4 3" xfId="6342"/>
    <cellStyle name="Currency 5 4 3 2" xfId="9429"/>
    <cellStyle name="Currency 5 4 3 2 2" xfId="15622"/>
    <cellStyle name="Currency 5 4 3 2 3" xfId="21774"/>
    <cellStyle name="Currency 5 4 3 3" xfId="12556"/>
    <cellStyle name="Currency 5 4 3 4" xfId="18708"/>
    <cellStyle name="Currency 5 4 4" xfId="7894"/>
    <cellStyle name="Currency 5 4 4 2" xfId="14088"/>
    <cellStyle name="Currency 5 4 4 3" xfId="20240"/>
    <cellStyle name="Currency 5 4 5" xfId="11022"/>
    <cellStyle name="Currency 5 4 6" xfId="17174"/>
    <cellStyle name="Currency 5 4 7" xfId="23181"/>
    <cellStyle name="Currency 5 5" xfId="3279"/>
    <cellStyle name="Currency 5 5 2" xfId="23182"/>
    <cellStyle name="Currency 5 6" xfId="4732"/>
    <cellStyle name="Currency 5 6 2" xfId="6364"/>
    <cellStyle name="Currency 5 6 2 2" xfId="9450"/>
    <cellStyle name="Currency 5 6 2 2 2" xfId="15643"/>
    <cellStyle name="Currency 5 6 2 2 3" xfId="21795"/>
    <cellStyle name="Currency 5 6 2 3" xfId="12577"/>
    <cellStyle name="Currency 5 6 2 4" xfId="18729"/>
    <cellStyle name="Currency 5 6 3" xfId="7915"/>
    <cellStyle name="Currency 5 6 3 2" xfId="14109"/>
    <cellStyle name="Currency 5 6 3 3" xfId="20261"/>
    <cellStyle name="Currency 5 6 4" xfId="11043"/>
    <cellStyle name="Currency 5 6 5" xfId="17195"/>
    <cellStyle name="Currency 5 7" xfId="5580"/>
    <cellStyle name="Currency 5 7 2" xfId="8684"/>
    <cellStyle name="Currency 5 7 2 2" xfId="14877"/>
    <cellStyle name="Currency 5 7 2 3" xfId="21029"/>
    <cellStyle name="Currency 5 7 3" xfId="11811"/>
    <cellStyle name="Currency 5 7 4" xfId="17963"/>
    <cellStyle name="Currency 5 8" xfId="7149"/>
    <cellStyle name="Currency 5 8 2" xfId="13343"/>
    <cellStyle name="Currency 5 8 3" xfId="19495"/>
    <cellStyle name="Currency 5 9" xfId="10277"/>
    <cellStyle name="Currency 50" xfId="3284"/>
    <cellStyle name="Currency 51" xfId="3285"/>
    <cellStyle name="Currency 52" xfId="3286"/>
    <cellStyle name="Currency 53" xfId="3287"/>
    <cellStyle name="Currency 54" xfId="3288"/>
    <cellStyle name="Currency 55" xfId="3289"/>
    <cellStyle name="Currency 56" xfId="3290"/>
    <cellStyle name="Currency 57" xfId="3291"/>
    <cellStyle name="Currency 58" xfId="3292"/>
    <cellStyle name="Currency 59" xfId="3293"/>
    <cellStyle name="Currency 6" xfId="1156"/>
    <cellStyle name="Currency 6 2" xfId="3295"/>
    <cellStyle name="Currency 6 2 2" xfId="3296"/>
    <cellStyle name="Currency 6 2 3" xfId="3297"/>
    <cellStyle name="Currency 6 2 4" xfId="23184"/>
    <cellStyle name="Currency 6 3" xfId="3298"/>
    <cellStyle name="Currency 6 3 2" xfId="23185"/>
    <cellStyle name="Currency 6 4" xfId="4705"/>
    <cellStyle name="Currency 6 4 2" xfId="23186"/>
    <cellStyle name="Currency 6 5" xfId="3294"/>
    <cellStyle name="Currency 6 5 2" xfId="23187"/>
    <cellStyle name="Currency 6 6" xfId="1289"/>
    <cellStyle name="Currency 6 7" xfId="23183"/>
    <cellStyle name="Currency 60" xfId="3299"/>
    <cellStyle name="Currency 61" xfId="3300"/>
    <cellStyle name="Currency 62" xfId="3301"/>
    <cellStyle name="Currency 63" xfId="3302"/>
    <cellStyle name="Currency 64" xfId="3303"/>
    <cellStyle name="Currency 65" xfId="3304"/>
    <cellStyle name="Currency 66" xfId="3305"/>
    <cellStyle name="Currency 67" xfId="3306"/>
    <cellStyle name="Currency 68" xfId="3307"/>
    <cellStyle name="Currency 69" xfId="3308"/>
    <cellStyle name="Currency 7" xfId="1299"/>
    <cellStyle name="Currency 7 2" xfId="3310"/>
    <cellStyle name="Currency 7 2 2" xfId="3311"/>
    <cellStyle name="Currency 7 2 3" xfId="3312"/>
    <cellStyle name="Currency 7 2 4" xfId="10248"/>
    <cellStyle name="Currency 7 2 4 2" xfId="16420"/>
    <cellStyle name="Currency 7 2 4 3" xfId="22572"/>
    <cellStyle name="Currency 7 2 5" xfId="23189"/>
    <cellStyle name="Currency 7 3" xfId="3313"/>
    <cellStyle name="Currency 7 3 2" xfId="23190"/>
    <cellStyle name="Currency 7 4" xfId="4712"/>
    <cellStyle name="Currency 7 4 2" xfId="23191"/>
    <cellStyle name="Currency 7 5" xfId="3309"/>
    <cellStyle name="Currency 7 5 2" xfId="23192"/>
    <cellStyle name="Currency 7 6" xfId="10230"/>
    <cellStyle name="Currency 7 6 2" xfId="16411"/>
    <cellStyle name="Currency 7 6 3" xfId="22563"/>
    <cellStyle name="Currency 7 7" xfId="23188"/>
    <cellStyle name="Currency 70" xfId="3314"/>
    <cellStyle name="Currency 71" xfId="3315"/>
    <cellStyle name="Currency 72" xfId="3316"/>
    <cellStyle name="Currency 73" xfId="3317"/>
    <cellStyle name="Currency 74" xfId="3318"/>
    <cellStyle name="Currency 75" xfId="3319"/>
    <cellStyle name="Currency 76" xfId="3320"/>
    <cellStyle name="Currency 77" xfId="3321"/>
    <cellStyle name="Currency 78" xfId="3322"/>
    <cellStyle name="Currency 79" xfId="3323"/>
    <cellStyle name="Currency 8" xfId="1305"/>
    <cellStyle name="Currency 8 2" xfId="3325"/>
    <cellStyle name="Currency 8 2 2" xfId="3326"/>
    <cellStyle name="Currency 8 2 3" xfId="3327"/>
    <cellStyle name="Currency 8 2 4" xfId="23194"/>
    <cellStyle name="Currency 8 3" xfId="3328"/>
    <cellStyle name="Currency 8 3 2" xfId="23195"/>
    <cellStyle name="Currency 8 4" xfId="4718"/>
    <cellStyle name="Currency 8 4 2" xfId="23196"/>
    <cellStyle name="Currency 8 5" xfId="3324"/>
    <cellStyle name="Currency 8 5 2" xfId="23197"/>
    <cellStyle name="Currency 8 6" xfId="10266"/>
    <cellStyle name="Currency 8 7" xfId="23193"/>
    <cellStyle name="Currency 80" xfId="3329"/>
    <cellStyle name="Currency 81" xfId="3330"/>
    <cellStyle name="Currency 82" xfId="3331"/>
    <cellStyle name="Currency 83" xfId="3332"/>
    <cellStyle name="Currency 84" xfId="3333"/>
    <cellStyle name="Currency 85" xfId="3334"/>
    <cellStyle name="Currency 86" xfId="3335"/>
    <cellStyle name="Currency 87" xfId="3336"/>
    <cellStyle name="Currency 88" xfId="3337"/>
    <cellStyle name="Currency 89" xfId="3338"/>
    <cellStyle name="Currency 9" xfId="1301"/>
    <cellStyle name="Currency 9 2" xfId="3340"/>
    <cellStyle name="Currency 9 2 2" xfId="3341"/>
    <cellStyle name="Currency 9 2 3" xfId="3342"/>
    <cellStyle name="Currency 9 2 4" xfId="23199"/>
    <cellStyle name="Currency 9 3" xfId="3343"/>
    <cellStyle name="Currency 9 3 2" xfId="23200"/>
    <cellStyle name="Currency 9 4" xfId="4714"/>
    <cellStyle name="Currency 9 4 2" xfId="23201"/>
    <cellStyle name="Currency 9 5" xfId="3339"/>
    <cellStyle name="Currency 9 5 2" xfId="23202"/>
    <cellStyle name="Currency 9 6" xfId="23198"/>
    <cellStyle name="Currency 90" xfId="3344"/>
    <cellStyle name="Currency 91" xfId="3345"/>
    <cellStyle name="Currency 92" xfId="3346"/>
    <cellStyle name="Currency 93" xfId="3347"/>
    <cellStyle name="Currency 94" xfId="3348"/>
    <cellStyle name="Currency 95" xfId="3349"/>
    <cellStyle name="Currency 96" xfId="3350"/>
    <cellStyle name="Currency 97" xfId="3351"/>
    <cellStyle name="Currency 98" xfId="3352"/>
    <cellStyle name="Currency 99" xfId="3353"/>
    <cellStyle name="Currency(+Credit)" xfId="3354"/>
    <cellStyle name="Currency0" xfId="256"/>
    <cellStyle name="Currency0 2" xfId="10231"/>
    <cellStyle name="Date" xfId="257"/>
    <cellStyle name="Date 2" xfId="10232"/>
    <cellStyle name="Date 3" xfId="3355"/>
    <cellStyle name="exceptions" xfId="3356"/>
    <cellStyle name="Explanatory Text" xfId="166" builtinId="53" customBuiltin="1"/>
    <cellStyle name="Explanatory Text 2" xfId="3357"/>
    <cellStyle name="Explanatory Text 3" xfId="3358"/>
    <cellStyle name="Explanatory Text 4" xfId="3359"/>
    <cellStyle name="Explanatory Text 5" xfId="3360"/>
    <cellStyle name="Fixed" xfId="258"/>
    <cellStyle name="Fixed 2" xfId="10233"/>
    <cellStyle name="Followed Hyperlink" xfId="14" builtinId="9" customBuiltin="1"/>
    <cellStyle name="Followed Hyperlink 2" xfId="15"/>
    <cellStyle name="Followed Hyperlink 2 2" xfId="89"/>
    <cellStyle name="Followed Hyperlink 2 3" xfId="78"/>
    <cellStyle name="Followed Hyperlink 3" xfId="77"/>
    <cellStyle name="FRxAmtStyle" xfId="3361"/>
    <cellStyle name="FRxAmtStyle 2" xfId="3362"/>
    <cellStyle name="FRxAmtStyle 2 10" xfId="3363"/>
    <cellStyle name="FRxAmtStyle 2 2" xfId="3364"/>
    <cellStyle name="FRxAmtStyle 2 3" xfId="3365"/>
    <cellStyle name="FRxAmtStyle 3" xfId="3366"/>
    <cellStyle name="FRxAmtStyle 4" xfId="3367"/>
    <cellStyle name="FRxAmtStyle 5" xfId="3368"/>
    <cellStyle name="FRxCurrStyle" xfId="3369"/>
    <cellStyle name="FRxCurrStyle 2" xfId="3370"/>
    <cellStyle name="FRxPcntStyle" xfId="3371"/>
    <cellStyle name="Good" xfId="157" builtinId="26" customBuiltin="1"/>
    <cellStyle name="Good 2" xfId="3372"/>
    <cellStyle name="Good 3" xfId="3373"/>
    <cellStyle name="Good 4" xfId="3374"/>
    <cellStyle name="Good 5" xfId="3375"/>
    <cellStyle name="Heading 1" xfId="153" builtinId="16" customBuiltin="1"/>
    <cellStyle name="Heading 1 2" xfId="3376"/>
    <cellStyle name="Heading 1 3" xfId="3377"/>
    <cellStyle name="Heading 1 4" xfId="3378"/>
    <cellStyle name="Heading 1 5" xfId="3379"/>
    <cellStyle name="Heading 1 6" xfId="3380"/>
    <cellStyle name="Heading 2" xfId="154" builtinId="17" customBuiltin="1"/>
    <cellStyle name="Heading 2 2" xfId="3381"/>
    <cellStyle name="Heading 2 3" xfId="3382"/>
    <cellStyle name="Heading 2 4" xfId="3383"/>
    <cellStyle name="Heading 2 5" xfId="3384"/>
    <cellStyle name="Heading 2 6" xfId="3385"/>
    <cellStyle name="Heading 3" xfId="155" builtinId="18" customBuiltin="1"/>
    <cellStyle name="Heading 3 10" xfId="10271"/>
    <cellStyle name="Heading 3 11" xfId="1177"/>
    <cellStyle name="Heading 3 2" xfId="1282"/>
    <cellStyle name="Heading 3 3" xfId="1287"/>
    <cellStyle name="Heading 3 3 2" xfId="4703"/>
    <cellStyle name="Heading 3 3 3" xfId="3386"/>
    <cellStyle name="Heading 3 4" xfId="3387"/>
    <cellStyle name="Heading 3 5" xfId="3388"/>
    <cellStyle name="Heading 3 6" xfId="3389"/>
    <cellStyle name="Heading 3 7" xfId="4617"/>
    <cellStyle name="Heading 3 8" xfId="4738"/>
    <cellStyle name="Heading 3 9" xfId="7143"/>
    <cellStyle name="Heading 4" xfId="156" builtinId="19" customBuiltin="1"/>
    <cellStyle name="Heading 4 2" xfId="3390"/>
    <cellStyle name="Heading 4 3" xfId="3391"/>
    <cellStyle name="Heading 4 4" xfId="3392"/>
    <cellStyle name="Heading 4 5" xfId="3393"/>
    <cellStyle name="Heading 4 6" xfId="3394"/>
    <cellStyle name="Heading No Underline" xfId="3395"/>
    <cellStyle name="Heading No Underline 2" xfId="3396"/>
    <cellStyle name="Heading No Underline 3" xfId="3397"/>
    <cellStyle name="Heading With Underline" xfId="3398"/>
    <cellStyle name="Heading With Underline 2" xfId="3399"/>
    <cellStyle name="Heading With Underline 3" xfId="3400"/>
    <cellStyle name="HNU" xfId="3401"/>
    <cellStyle name="Hyperlink" xfId="76" builtinId="8" customBuiltin="1"/>
    <cellStyle name="Hyperlink 2" xfId="16"/>
    <cellStyle name="Hyperlink 2 2" xfId="90"/>
    <cellStyle name="Hyperlink 2 2 2" xfId="1223"/>
    <cellStyle name="Hyperlink 2 3" xfId="79"/>
    <cellStyle name="Hyperlink 2 3 2" xfId="4664"/>
    <cellStyle name="Hyperlink 2 4" xfId="3402"/>
    <cellStyle name="Hyperlink 2 5" xfId="1222"/>
    <cellStyle name="Hyperlink 2 6" xfId="23203"/>
    <cellStyle name="Hyperlink 3" xfId="17"/>
    <cellStyle name="Hyperlink 3 2" xfId="1224"/>
    <cellStyle name="Input" xfId="160" builtinId="20" customBuiltin="1"/>
    <cellStyle name="Input 2" xfId="3403"/>
    <cellStyle name="Input 3" xfId="3404"/>
    <cellStyle name="Input 4" xfId="3405"/>
    <cellStyle name="Input 5" xfId="3406"/>
    <cellStyle name="Input 5 2" xfId="5538"/>
    <cellStyle name="Input 5 2 2" xfId="7135"/>
    <cellStyle name="Input 5 3" xfId="5537"/>
    <cellStyle name="Input 5 3 2" xfId="6219"/>
    <cellStyle name="Input 5 4" xfId="5575"/>
    <cellStyle name="Input 5 4 2" xfId="6329"/>
    <cellStyle name="Input 5 5" xfId="5536"/>
    <cellStyle name="Input 5 5 2" xfId="7136"/>
    <cellStyle name="Input 5 6" xfId="7139"/>
    <cellStyle name="Input Cells_EXTERNAL" xfId="259"/>
    <cellStyle name="input highlight" xfId="3407"/>
    <cellStyle name="input highlight 2" xfId="3408"/>
    <cellStyle name="LineItemPrompt" xfId="1225"/>
    <cellStyle name="LineItemValue" xfId="1226"/>
    <cellStyle name="Linked Cell" xfId="163" builtinId="24" customBuiltin="1"/>
    <cellStyle name="Linked Cell 2" xfId="3409"/>
    <cellStyle name="Linked Cell 3" xfId="3410"/>
    <cellStyle name="Linked Cell 4" xfId="3411"/>
    <cellStyle name="Linked Cell 5" xfId="3412"/>
    <cellStyle name="Manual-Input" xfId="18"/>
    <cellStyle name="MonthHeader" xfId="1284"/>
    <cellStyle name="Neutral" xfId="159" builtinId="28" customBuiltin="1"/>
    <cellStyle name="Neutral 2" xfId="3413"/>
    <cellStyle name="Neutral 3" xfId="3414"/>
    <cellStyle name="Neutral 4" xfId="3415"/>
    <cellStyle name="Neutral 5" xfId="3416"/>
    <cellStyle name="Normal" xfId="0" builtinId="0"/>
    <cellStyle name="Normal 10" xfId="19"/>
    <cellStyle name="Normal 10 10" xfId="10244"/>
    <cellStyle name="Normal 10 11" xfId="1227"/>
    <cellStyle name="Normal 10 12" xfId="1166"/>
    <cellStyle name="Normal 10 13" xfId="208"/>
    <cellStyle name="Normal 10 14" xfId="23204"/>
    <cellStyle name="Normal 10 2" xfId="91"/>
    <cellStyle name="Normal 10 2 2" xfId="138"/>
    <cellStyle name="Normal 10 2 2 2" xfId="3419"/>
    <cellStyle name="Normal 10 2 2 3" xfId="3418"/>
    <cellStyle name="Normal 10 2 2 4" xfId="871"/>
    <cellStyle name="Normal 10 2 2 5" xfId="23206"/>
    <cellStyle name="Normal 10 2 3" xfId="108"/>
    <cellStyle name="Normal 10 2 3 2" xfId="3420"/>
    <cellStyle name="Normal 10 2 3 3" xfId="23207"/>
    <cellStyle name="Normal 10 2 4" xfId="3417"/>
    <cellStyle name="Normal 10 2 5" xfId="22807"/>
    <cellStyle name="Normal 10 2 6" xfId="22834"/>
    <cellStyle name="Normal 10 2 7" xfId="216"/>
    <cellStyle name="Normal 10 2 8" xfId="23205"/>
    <cellStyle name="Normal 10 3" xfId="81"/>
    <cellStyle name="Normal 10 3 10" xfId="16640"/>
    <cellStyle name="Normal 10 3 11" xfId="3421"/>
    <cellStyle name="Normal 10 3 12" xfId="23208"/>
    <cellStyle name="Normal 10 3 2" xfId="137"/>
    <cellStyle name="Normal 10 3 2 10" xfId="3422"/>
    <cellStyle name="Normal 10 3 2 2" xfId="3423"/>
    <cellStyle name="Normal 10 3 2 2 2" xfId="3424"/>
    <cellStyle name="Normal 10 3 2 2 2 2" xfId="4956"/>
    <cellStyle name="Normal 10 3 2 2 2 2 2" xfId="6581"/>
    <cellStyle name="Normal 10 3 2 2 2 2 2 2" xfId="9667"/>
    <cellStyle name="Normal 10 3 2 2 2 2 2 2 2" xfId="15860"/>
    <cellStyle name="Normal 10 3 2 2 2 2 2 2 3" xfId="22012"/>
    <cellStyle name="Normal 10 3 2 2 2 2 2 3" xfId="12794"/>
    <cellStyle name="Normal 10 3 2 2 2 2 2 4" xfId="18946"/>
    <cellStyle name="Normal 10 3 2 2 2 2 3" xfId="8132"/>
    <cellStyle name="Normal 10 3 2 2 2 2 3 2" xfId="14326"/>
    <cellStyle name="Normal 10 3 2 2 2 2 3 3" xfId="20478"/>
    <cellStyle name="Normal 10 3 2 2 2 2 4" xfId="11260"/>
    <cellStyle name="Normal 10 3 2 2 2 2 5" xfId="17412"/>
    <cellStyle name="Normal 10 3 2 2 2 3" xfId="5798"/>
    <cellStyle name="Normal 10 3 2 2 2 3 2" xfId="8898"/>
    <cellStyle name="Normal 10 3 2 2 2 3 2 2" xfId="15091"/>
    <cellStyle name="Normal 10 3 2 2 2 3 2 3" xfId="21243"/>
    <cellStyle name="Normal 10 3 2 2 2 3 3" xfId="12025"/>
    <cellStyle name="Normal 10 3 2 2 2 3 4" xfId="18177"/>
    <cellStyle name="Normal 10 3 2 2 2 4" xfId="7363"/>
    <cellStyle name="Normal 10 3 2 2 2 4 2" xfId="13557"/>
    <cellStyle name="Normal 10 3 2 2 2 4 3" xfId="19709"/>
    <cellStyle name="Normal 10 3 2 2 2 5" xfId="10491"/>
    <cellStyle name="Normal 10 3 2 2 2 6" xfId="16643"/>
    <cellStyle name="Normal 10 3 2 2 3" xfId="4955"/>
    <cellStyle name="Normal 10 3 2 2 3 2" xfId="6580"/>
    <cellStyle name="Normal 10 3 2 2 3 2 2" xfId="9666"/>
    <cellStyle name="Normal 10 3 2 2 3 2 2 2" xfId="15859"/>
    <cellStyle name="Normal 10 3 2 2 3 2 2 3" xfId="22011"/>
    <cellStyle name="Normal 10 3 2 2 3 2 3" xfId="12793"/>
    <cellStyle name="Normal 10 3 2 2 3 2 4" xfId="18945"/>
    <cellStyle name="Normal 10 3 2 2 3 3" xfId="8131"/>
    <cellStyle name="Normal 10 3 2 2 3 3 2" xfId="14325"/>
    <cellStyle name="Normal 10 3 2 2 3 3 3" xfId="20477"/>
    <cellStyle name="Normal 10 3 2 2 3 4" xfId="11259"/>
    <cellStyle name="Normal 10 3 2 2 3 5" xfId="17411"/>
    <cellStyle name="Normal 10 3 2 2 4" xfId="5797"/>
    <cellStyle name="Normal 10 3 2 2 4 2" xfId="8897"/>
    <cellStyle name="Normal 10 3 2 2 4 2 2" xfId="15090"/>
    <cellStyle name="Normal 10 3 2 2 4 2 3" xfId="21242"/>
    <cellStyle name="Normal 10 3 2 2 4 3" xfId="12024"/>
    <cellStyle name="Normal 10 3 2 2 4 4" xfId="18176"/>
    <cellStyle name="Normal 10 3 2 2 5" xfId="7362"/>
    <cellStyle name="Normal 10 3 2 2 5 2" xfId="13556"/>
    <cellStyle name="Normal 10 3 2 2 5 3" xfId="19708"/>
    <cellStyle name="Normal 10 3 2 2 6" xfId="10490"/>
    <cellStyle name="Normal 10 3 2 2 7" xfId="16642"/>
    <cellStyle name="Normal 10 3 2 3" xfId="3425"/>
    <cellStyle name="Normal 10 3 2 3 2" xfId="3426"/>
    <cellStyle name="Normal 10 3 2 3 2 2" xfId="4958"/>
    <cellStyle name="Normal 10 3 2 3 2 2 2" xfId="6583"/>
    <cellStyle name="Normal 10 3 2 3 2 2 2 2" xfId="9669"/>
    <cellStyle name="Normal 10 3 2 3 2 2 2 2 2" xfId="15862"/>
    <cellStyle name="Normal 10 3 2 3 2 2 2 2 3" xfId="22014"/>
    <cellStyle name="Normal 10 3 2 3 2 2 2 3" xfId="12796"/>
    <cellStyle name="Normal 10 3 2 3 2 2 2 4" xfId="18948"/>
    <cellStyle name="Normal 10 3 2 3 2 2 3" xfId="8134"/>
    <cellStyle name="Normal 10 3 2 3 2 2 3 2" xfId="14328"/>
    <cellStyle name="Normal 10 3 2 3 2 2 3 3" xfId="20480"/>
    <cellStyle name="Normal 10 3 2 3 2 2 4" xfId="11262"/>
    <cellStyle name="Normal 10 3 2 3 2 2 5" xfId="17414"/>
    <cellStyle name="Normal 10 3 2 3 2 3" xfId="5800"/>
    <cellStyle name="Normal 10 3 2 3 2 3 2" xfId="8900"/>
    <cellStyle name="Normal 10 3 2 3 2 3 2 2" xfId="15093"/>
    <cellStyle name="Normal 10 3 2 3 2 3 2 3" xfId="21245"/>
    <cellStyle name="Normal 10 3 2 3 2 3 3" xfId="12027"/>
    <cellStyle name="Normal 10 3 2 3 2 3 4" xfId="18179"/>
    <cellStyle name="Normal 10 3 2 3 2 4" xfId="7365"/>
    <cellStyle name="Normal 10 3 2 3 2 4 2" xfId="13559"/>
    <cellStyle name="Normal 10 3 2 3 2 4 3" xfId="19711"/>
    <cellStyle name="Normal 10 3 2 3 2 5" xfId="10493"/>
    <cellStyle name="Normal 10 3 2 3 2 6" xfId="16645"/>
    <cellStyle name="Normal 10 3 2 3 3" xfId="4957"/>
    <cellStyle name="Normal 10 3 2 3 3 2" xfId="6582"/>
    <cellStyle name="Normal 10 3 2 3 3 2 2" xfId="9668"/>
    <cellStyle name="Normal 10 3 2 3 3 2 2 2" xfId="15861"/>
    <cellStyle name="Normal 10 3 2 3 3 2 2 3" xfId="22013"/>
    <cellStyle name="Normal 10 3 2 3 3 2 3" xfId="12795"/>
    <cellStyle name="Normal 10 3 2 3 3 2 4" xfId="18947"/>
    <cellStyle name="Normal 10 3 2 3 3 3" xfId="8133"/>
    <cellStyle name="Normal 10 3 2 3 3 3 2" xfId="14327"/>
    <cellStyle name="Normal 10 3 2 3 3 3 3" xfId="20479"/>
    <cellStyle name="Normal 10 3 2 3 3 4" xfId="11261"/>
    <cellStyle name="Normal 10 3 2 3 3 5" xfId="17413"/>
    <cellStyle name="Normal 10 3 2 3 4" xfId="5799"/>
    <cellStyle name="Normal 10 3 2 3 4 2" xfId="8899"/>
    <cellStyle name="Normal 10 3 2 3 4 2 2" xfId="15092"/>
    <cellStyle name="Normal 10 3 2 3 4 2 3" xfId="21244"/>
    <cellStyle name="Normal 10 3 2 3 4 3" xfId="12026"/>
    <cellStyle name="Normal 10 3 2 3 4 4" xfId="18178"/>
    <cellStyle name="Normal 10 3 2 3 5" xfId="7364"/>
    <cellStyle name="Normal 10 3 2 3 5 2" xfId="13558"/>
    <cellStyle name="Normal 10 3 2 3 5 3" xfId="19710"/>
    <cellStyle name="Normal 10 3 2 3 6" xfId="10492"/>
    <cellStyle name="Normal 10 3 2 3 7" xfId="16644"/>
    <cellStyle name="Normal 10 3 2 4" xfId="3427"/>
    <cellStyle name="Normal 10 3 2 4 2" xfId="4959"/>
    <cellStyle name="Normal 10 3 2 4 2 2" xfId="6584"/>
    <cellStyle name="Normal 10 3 2 4 2 2 2" xfId="9670"/>
    <cellStyle name="Normal 10 3 2 4 2 2 2 2" xfId="15863"/>
    <cellStyle name="Normal 10 3 2 4 2 2 2 3" xfId="22015"/>
    <cellStyle name="Normal 10 3 2 4 2 2 3" xfId="12797"/>
    <cellStyle name="Normal 10 3 2 4 2 2 4" xfId="18949"/>
    <cellStyle name="Normal 10 3 2 4 2 3" xfId="8135"/>
    <cellStyle name="Normal 10 3 2 4 2 3 2" xfId="14329"/>
    <cellStyle name="Normal 10 3 2 4 2 3 3" xfId="20481"/>
    <cellStyle name="Normal 10 3 2 4 2 4" xfId="11263"/>
    <cellStyle name="Normal 10 3 2 4 2 5" xfId="17415"/>
    <cellStyle name="Normal 10 3 2 4 3" xfId="5801"/>
    <cellStyle name="Normal 10 3 2 4 3 2" xfId="8901"/>
    <cellStyle name="Normal 10 3 2 4 3 2 2" xfId="15094"/>
    <cellStyle name="Normal 10 3 2 4 3 2 3" xfId="21246"/>
    <cellStyle name="Normal 10 3 2 4 3 3" xfId="12028"/>
    <cellStyle name="Normal 10 3 2 4 3 4" xfId="18180"/>
    <cellStyle name="Normal 10 3 2 4 4" xfId="7366"/>
    <cellStyle name="Normal 10 3 2 4 4 2" xfId="13560"/>
    <cellStyle name="Normal 10 3 2 4 4 3" xfId="19712"/>
    <cellStyle name="Normal 10 3 2 4 5" xfId="10494"/>
    <cellStyle name="Normal 10 3 2 4 6" xfId="16646"/>
    <cellStyle name="Normal 10 3 2 5" xfId="4954"/>
    <cellStyle name="Normal 10 3 2 5 2" xfId="6579"/>
    <cellStyle name="Normal 10 3 2 5 2 2" xfId="9665"/>
    <cellStyle name="Normal 10 3 2 5 2 2 2" xfId="15858"/>
    <cellStyle name="Normal 10 3 2 5 2 2 3" xfId="22010"/>
    <cellStyle name="Normal 10 3 2 5 2 3" xfId="12792"/>
    <cellStyle name="Normal 10 3 2 5 2 4" xfId="18944"/>
    <cellStyle name="Normal 10 3 2 5 3" xfId="8130"/>
    <cellStyle name="Normal 10 3 2 5 3 2" xfId="14324"/>
    <cellStyle name="Normal 10 3 2 5 3 3" xfId="20476"/>
    <cellStyle name="Normal 10 3 2 5 4" xfId="11258"/>
    <cellStyle name="Normal 10 3 2 5 5" xfId="17410"/>
    <cellStyle name="Normal 10 3 2 6" xfId="5796"/>
    <cellStyle name="Normal 10 3 2 6 2" xfId="8896"/>
    <cellStyle name="Normal 10 3 2 6 2 2" xfId="15089"/>
    <cellStyle name="Normal 10 3 2 6 2 3" xfId="21241"/>
    <cellStyle name="Normal 10 3 2 6 3" xfId="12023"/>
    <cellStyle name="Normal 10 3 2 6 4" xfId="18175"/>
    <cellStyle name="Normal 10 3 2 7" xfId="7361"/>
    <cellStyle name="Normal 10 3 2 7 2" xfId="13555"/>
    <cellStyle name="Normal 10 3 2 7 3" xfId="19707"/>
    <cellStyle name="Normal 10 3 2 8" xfId="10489"/>
    <cellStyle name="Normal 10 3 2 9" xfId="16641"/>
    <cellStyle name="Normal 10 3 3" xfId="3428"/>
    <cellStyle name="Normal 10 3 3 2" xfId="3429"/>
    <cellStyle name="Normal 10 3 3 2 2" xfId="4961"/>
    <cellStyle name="Normal 10 3 3 2 2 2" xfId="6586"/>
    <cellStyle name="Normal 10 3 3 2 2 2 2" xfId="9672"/>
    <cellStyle name="Normal 10 3 3 2 2 2 2 2" xfId="15865"/>
    <cellStyle name="Normal 10 3 3 2 2 2 2 3" xfId="22017"/>
    <cellStyle name="Normal 10 3 3 2 2 2 3" xfId="12799"/>
    <cellStyle name="Normal 10 3 3 2 2 2 4" xfId="18951"/>
    <cellStyle name="Normal 10 3 3 2 2 3" xfId="8137"/>
    <cellStyle name="Normal 10 3 3 2 2 3 2" xfId="14331"/>
    <cellStyle name="Normal 10 3 3 2 2 3 3" xfId="20483"/>
    <cellStyle name="Normal 10 3 3 2 2 4" xfId="11265"/>
    <cellStyle name="Normal 10 3 3 2 2 5" xfId="17417"/>
    <cellStyle name="Normal 10 3 3 2 3" xfId="5803"/>
    <cellStyle name="Normal 10 3 3 2 3 2" xfId="8903"/>
    <cellStyle name="Normal 10 3 3 2 3 2 2" xfId="15096"/>
    <cellStyle name="Normal 10 3 3 2 3 2 3" xfId="21248"/>
    <cellStyle name="Normal 10 3 3 2 3 3" xfId="12030"/>
    <cellStyle name="Normal 10 3 3 2 3 4" xfId="18182"/>
    <cellStyle name="Normal 10 3 3 2 4" xfId="7368"/>
    <cellStyle name="Normal 10 3 3 2 4 2" xfId="13562"/>
    <cellStyle name="Normal 10 3 3 2 4 3" xfId="19714"/>
    <cellStyle name="Normal 10 3 3 2 5" xfId="10496"/>
    <cellStyle name="Normal 10 3 3 2 6" xfId="16648"/>
    <cellStyle name="Normal 10 3 3 3" xfId="4960"/>
    <cellStyle name="Normal 10 3 3 3 2" xfId="6585"/>
    <cellStyle name="Normal 10 3 3 3 2 2" xfId="9671"/>
    <cellStyle name="Normal 10 3 3 3 2 2 2" xfId="15864"/>
    <cellStyle name="Normal 10 3 3 3 2 2 3" xfId="22016"/>
    <cellStyle name="Normal 10 3 3 3 2 3" xfId="12798"/>
    <cellStyle name="Normal 10 3 3 3 2 4" xfId="18950"/>
    <cellStyle name="Normal 10 3 3 3 3" xfId="8136"/>
    <cellStyle name="Normal 10 3 3 3 3 2" xfId="14330"/>
    <cellStyle name="Normal 10 3 3 3 3 3" xfId="20482"/>
    <cellStyle name="Normal 10 3 3 3 4" xfId="11264"/>
    <cellStyle name="Normal 10 3 3 3 5" xfId="17416"/>
    <cellStyle name="Normal 10 3 3 4" xfId="5802"/>
    <cellStyle name="Normal 10 3 3 4 2" xfId="8902"/>
    <cellStyle name="Normal 10 3 3 4 2 2" xfId="15095"/>
    <cellStyle name="Normal 10 3 3 4 2 3" xfId="21247"/>
    <cellStyle name="Normal 10 3 3 4 3" xfId="12029"/>
    <cellStyle name="Normal 10 3 3 4 4" xfId="18181"/>
    <cellStyle name="Normal 10 3 3 5" xfId="7367"/>
    <cellStyle name="Normal 10 3 3 5 2" xfId="13561"/>
    <cellStyle name="Normal 10 3 3 5 3" xfId="19713"/>
    <cellStyle name="Normal 10 3 3 6" xfId="10495"/>
    <cellStyle name="Normal 10 3 3 7" xfId="16647"/>
    <cellStyle name="Normal 10 3 4" xfId="3430"/>
    <cellStyle name="Normal 10 3 4 2" xfId="3431"/>
    <cellStyle name="Normal 10 3 4 2 2" xfId="4963"/>
    <cellStyle name="Normal 10 3 4 2 2 2" xfId="6588"/>
    <cellStyle name="Normal 10 3 4 2 2 2 2" xfId="9674"/>
    <cellStyle name="Normal 10 3 4 2 2 2 2 2" xfId="15867"/>
    <cellStyle name="Normal 10 3 4 2 2 2 2 3" xfId="22019"/>
    <cellStyle name="Normal 10 3 4 2 2 2 3" xfId="12801"/>
    <cellStyle name="Normal 10 3 4 2 2 2 4" xfId="18953"/>
    <cellStyle name="Normal 10 3 4 2 2 3" xfId="8139"/>
    <cellStyle name="Normal 10 3 4 2 2 3 2" xfId="14333"/>
    <cellStyle name="Normal 10 3 4 2 2 3 3" xfId="20485"/>
    <cellStyle name="Normal 10 3 4 2 2 4" xfId="11267"/>
    <cellStyle name="Normal 10 3 4 2 2 5" xfId="17419"/>
    <cellStyle name="Normal 10 3 4 2 3" xfId="5805"/>
    <cellStyle name="Normal 10 3 4 2 3 2" xfId="8905"/>
    <cellStyle name="Normal 10 3 4 2 3 2 2" xfId="15098"/>
    <cellStyle name="Normal 10 3 4 2 3 2 3" xfId="21250"/>
    <cellStyle name="Normal 10 3 4 2 3 3" xfId="12032"/>
    <cellStyle name="Normal 10 3 4 2 3 4" xfId="18184"/>
    <cellStyle name="Normal 10 3 4 2 4" xfId="7370"/>
    <cellStyle name="Normal 10 3 4 2 4 2" xfId="13564"/>
    <cellStyle name="Normal 10 3 4 2 4 3" xfId="19716"/>
    <cellStyle name="Normal 10 3 4 2 5" xfId="10498"/>
    <cellStyle name="Normal 10 3 4 2 6" xfId="16650"/>
    <cellStyle name="Normal 10 3 4 3" xfId="4962"/>
    <cellStyle name="Normal 10 3 4 3 2" xfId="6587"/>
    <cellStyle name="Normal 10 3 4 3 2 2" xfId="9673"/>
    <cellStyle name="Normal 10 3 4 3 2 2 2" xfId="15866"/>
    <cellStyle name="Normal 10 3 4 3 2 2 3" xfId="22018"/>
    <cellStyle name="Normal 10 3 4 3 2 3" xfId="12800"/>
    <cellStyle name="Normal 10 3 4 3 2 4" xfId="18952"/>
    <cellStyle name="Normal 10 3 4 3 3" xfId="8138"/>
    <cellStyle name="Normal 10 3 4 3 3 2" xfId="14332"/>
    <cellStyle name="Normal 10 3 4 3 3 3" xfId="20484"/>
    <cellStyle name="Normal 10 3 4 3 4" xfId="11266"/>
    <cellStyle name="Normal 10 3 4 3 5" xfId="17418"/>
    <cellStyle name="Normal 10 3 4 4" xfId="5804"/>
    <cellStyle name="Normal 10 3 4 4 2" xfId="8904"/>
    <cellStyle name="Normal 10 3 4 4 2 2" xfId="15097"/>
    <cellStyle name="Normal 10 3 4 4 2 3" xfId="21249"/>
    <cellStyle name="Normal 10 3 4 4 3" xfId="12031"/>
    <cellStyle name="Normal 10 3 4 4 4" xfId="18183"/>
    <cellStyle name="Normal 10 3 4 5" xfId="7369"/>
    <cellStyle name="Normal 10 3 4 5 2" xfId="13563"/>
    <cellStyle name="Normal 10 3 4 5 3" xfId="19715"/>
    <cellStyle name="Normal 10 3 4 6" xfId="10497"/>
    <cellStyle name="Normal 10 3 4 7" xfId="16649"/>
    <cellStyle name="Normal 10 3 5" xfId="3432"/>
    <cellStyle name="Normal 10 3 5 2" xfId="4964"/>
    <cellStyle name="Normal 10 3 5 2 2" xfId="6589"/>
    <cellStyle name="Normal 10 3 5 2 2 2" xfId="9675"/>
    <cellStyle name="Normal 10 3 5 2 2 2 2" xfId="15868"/>
    <cellStyle name="Normal 10 3 5 2 2 2 3" xfId="22020"/>
    <cellStyle name="Normal 10 3 5 2 2 3" xfId="12802"/>
    <cellStyle name="Normal 10 3 5 2 2 4" xfId="18954"/>
    <cellStyle name="Normal 10 3 5 2 3" xfId="8140"/>
    <cellStyle name="Normal 10 3 5 2 3 2" xfId="14334"/>
    <cellStyle name="Normal 10 3 5 2 3 3" xfId="20486"/>
    <cellStyle name="Normal 10 3 5 2 4" xfId="11268"/>
    <cellStyle name="Normal 10 3 5 2 5" xfId="17420"/>
    <cellStyle name="Normal 10 3 5 3" xfId="5806"/>
    <cellStyle name="Normal 10 3 5 3 2" xfId="8906"/>
    <cellStyle name="Normal 10 3 5 3 2 2" xfId="15099"/>
    <cellStyle name="Normal 10 3 5 3 2 3" xfId="21251"/>
    <cellStyle name="Normal 10 3 5 3 3" xfId="12033"/>
    <cellStyle name="Normal 10 3 5 3 4" xfId="18185"/>
    <cellStyle name="Normal 10 3 5 4" xfId="7371"/>
    <cellStyle name="Normal 10 3 5 4 2" xfId="13565"/>
    <cellStyle name="Normal 10 3 5 4 3" xfId="19717"/>
    <cellStyle name="Normal 10 3 5 5" xfId="10499"/>
    <cellStyle name="Normal 10 3 5 6" xfId="16651"/>
    <cellStyle name="Normal 10 3 6" xfId="4953"/>
    <cellStyle name="Normal 10 3 6 2" xfId="6578"/>
    <cellStyle name="Normal 10 3 6 2 2" xfId="9664"/>
    <cellStyle name="Normal 10 3 6 2 2 2" xfId="15857"/>
    <cellStyle name="Normal 10 3 6 2 2 3" xfId="22009"/>
    <cellStyle name="Normal 10 3 6 2 3" xfId="12791"/>
    <cellStyle name="Normal 10 3 6 2 4" xfId="18943"/>
    <cellStyle name="Normal 10 3 6 3" xfId="8129"/>
    <cellStyle name="Normal 10 3 6 3 2" xfId="14323"/>
    <cellStyle name="Normal 10 3 6 3 3" xfId="20475"/>
    <cellStyle name="Normal 10 3 6 4" xfId="11257"/>
    <cellStyle name="Normal 10 3 6 5" xfId="17409"/>
    <cellStyle name="Normal 10 3 7" xfId="5795"/>
    <cellStyle name="Normal 10 3 7 2" xfId="8895"/>
    <cellStyle name="Normal 10 3 7 2 2" xfId="15088"/>
    <cellStyle name="Normal 10 3 7 2 3" xfId="21240"/>
    <cellStyle name="Normal 10 3 7 3" xfId="12022"/>
    <cellStyle name="Normal 10 3 7 4" xfId="18174"/>
    <cellStyle name="Normal 10 3 8" xfId="7360"/>
    <cellStyle name="Normal 10 3 8 2" xfId="13554"/>
    <cellStyle name="Normal 10 3 8 3" xfId="19706"/>
    <cellStyle name="Normal 10 3 9" xfId="10488"/>
    <cellStyle name="Normal 10 4" xfId="121"/>
    <cellStyle name="Normal 10 4 10" xfId="3433"/>
    <cellStyle name="Normal 10 4 11" xfId="23209"/>
    <cellStyle name="Normal 10 4 2" xfId="3434"/>
    <cellStyle name="Normal 10 4 2 2" xfId="3435"/>
    <cellStyle name="Normal 10 4 2 2 2" xfId="4967"/>
    <cellStyle name="Normal 10 4 2 2 2 2" xfId="6592"/>
    <cellStyle name="Normal 10 4 2 2 2 2 2" xfId="9678"/>
    <cellStyle name="Normal 10 4 2 2 2 2 2 2" xfId="15871"/>
    <cellStyle name="Normal 10 4 2 2 2 2 2 3" xfId="22023"/>
    <cellStyle name="Normal 10 4 2 2 2 2 3" xfId="12805"/>
    <cellStyle name="Normal 10 4 2 2 2 2 4" xfId="18957"/>
    <cellStyle name="Normal 10 4 2 2 2 3" xfId="8143"/>
    <cellStyle name="Normal 10 4 2 2 2 3 2" xfId="14337"/>
    <cellStyle name="Normal 10 4 2 2 2 3 3" xfId="20489"/>
    <cellStyle name="Normal 10 4 2 2 2 4" xfId="11271"/>
    <cellStyle name="Normal 10 4 2 2 2 5" xfId="17423"/>
    <cellStyle name="Normal 10 4 2 2 3" xfId="5809"/>
    <cellStyle name="Normal 10 4 2 2 3 2" xfId="8909"/>
    <cellStyle name="Normal 10 4 2 2 3 2 2" xfId="15102"/>
    <cellStyle name="Normal 10 4 2 2 3 2 3" xfId="21254"/>
    <cellStyle name="Normal 10 4 2 2 3 3" xfId="12036"/>
    <cellStyle name="Normal 10 4 2 2 3 4" xfId="18188"/>
    <cellStyle name="Normal 10 4 2 2 4" xfId="7374"/>
    <cellStyle name="Normal 10 4 2 2 4 2" xfId="13568"/>
    <cellStyle name="Normal 10 4 2 2 4 3" xfId="19720"/>
    <cellStyle name="Normal 10 4 2 2 5" xfId="10502"/>
    <cellStyle name="Normal 10 4 2 2 6" xfId="16654"/>
    <cellStyle name="Normal 10 4 2 3" xfId="4966"/>
    <cellStyle name="Normal 10 4 2 3 2" xfId="6591"/>
    <cellStyle name="Normal 10 4 2 3 2 2" xfId="9677"/>
    <cellStyle name="Normal 10 4 2 3 2 2 2" xfId="15870"/>
    <cellStyle name="Normal 10 4 2 3 2 2 3" xfId="22022"/>
    <cellStyle name="Normal 10 4 2 3 2 3" xfId="12804"/>
    <cellStyle name="Normal 10 4 2 3 2 4" xfId="18956"/>
    <cellStyle name="Normal 10 4 2 3 3" xfId="8142"/>
    <cellStyle name="Normal 10 4 2 3 3 2" xfId="14336"/>
    <cellStyle name="Normal 10 4 2 3 3 3" xfId="20488"/>
    <cellStyle name="Normal 10 4 2 3 4" xfId="11270"/>
    <cellStyle name="Normal 10 4 2 3 5" xfId="17422"/>
    <cellStyle name="Normal 10 4 2 4" xfId="5808"/>
    <cellStyle name="Normal 10 4 2 4 2" xfId="8908"/>
    <cellStyle name="Normal 10 4 2 4 2 2" xfId="15101"/>
    <cellStyle name="Normal 10 4 2 4 2 3" xfId="21253"/>
    <cellStyle name="Normal 10 4 2 4 3" xfId="12035"/>
    <cellStyle name="Normal 10 4 2 4 4" xfId="18187"/>
    <cellStyle name="Normal 10 4 2 5" xfId="7373"/>
    <cellStyle name="Normal 10 4 2 5 2" xfId="13567"/>
    <cellStyle name="Normal 10 4 2 5 3" xfId="19719"/>
    <cellStyle name="Normal 10 4 2 6" xfId="10501"/>
    <cellStyle name="Normal 10 4 2 7" xfId="16653"/>
    <cellStyle name="Normal 10 4 3" xfId="3436"/>
    <cellStyle name="Normal 10 4 3 2" xfId="3437"/>
    <cellStyle name="Normal 10 4 3 2 2" xfId="4969"/>
    <cellStyle name="Normal 10 4 3 2 2 2" xfId="6594"/>
    <cellStyle name="Normal 10 4 3 2 2 2 2" xfId="9680"/>
    <cellStyle name="Normal 10 4 3 2 2 2 2 2" xfId="15873"/>
    <cellStyle name="Normal 10 4 3 2 2 2 2 3" xfId="22025"/>
    <cellStyle name="Normal 10 4 3 2 2 2 3" xfId="12807"/>
    <cellStyle name="Normal 10 4 3 2 2 2 4" xfId="18959"/>
    <cellStyle name="Normal 10 4 3 2 2 3" xfId="8145"/>
    <cellStyle name="Normal 10 4 3 2 2 3 2" xfId="14339"/>
    <cellStyle name="Normal 10 4 3 2 2 3 3" xfId="20491"/>
    <cellStyle name="Normal 10 4 3 2 2 4" xfId="11273"/>
    <cellStyle name="Normal 10 4 3 2 2 5" xfId="17425"/>
    <cellStyle name="Normal 10 4 3 2 3" xfId="5811"/>
    <cellStyle name="Normal 10 4 3 2 3 2" xfId="8911"/>
    <cellStyle name="Normal 10 4 3 2 3 2 2" xfId="15104"/>
    <cellStyle name="Normal 10 4 3 2 3 2 3" xfId="21256"/>
    <cellStyle name="Normal 10 4 3 2 3 3" xfId="12038"/>
    <cellStyle name="Normal 10 4 3 2 3 4" xfId="18190"/>
    <cellStyle name="Normal 10 4 3 2 4" xfId="7376"/>
    <cellStyle name="Normal 10 4 3 2 4 2" xfId="13570"/>
    <cellStyle name="Normal 10 4 3 2 4 3" xfId="19722"/>
    <cellStyle name="Normal 10 4 3 2 5" xfId="10504"/>
    <cellStyle name="Normal 10 4 3 2 6" xfId="16656"/>
    <cellStyle name="Normal 10 4 3 3" xfId="4968"/>
    <cellStyle name="Normal 10 4 3 3 2" xfId="6593"/>
    <cellStyle name="Normal 10 4 3 3 2 2" xfId="9679"/>
    <cellStyle name="Normal 10 4 3 3 2 2 2" xfId="15872"/>
    <cellStyle name="Normal 10 4 3 3 2 2 3" xfId="22024"/>
    <cellStyle name="Normal 10 4 3 3 2 3" xfId="12806"/>
    <cellStyle name="Normal 10 4 3 3 2 4" xfId="18958"/>
    <cellStyle name="Normal 10 4 3 3 3" xfId="8144"/>
    <cellStyle name="Normal 10 4 3 3 3 2" xfId="14338"/>
    <cellStyle name="Normal 10 4 3 3 3 3" xfId="20490"/>
    <cellStyle name="Normal 10 4 3 3 4" xfId="11272"/>
    <cellStyle name="Normal 10 4 3 3 5" xfId="17424"/>
    <cellStyle name="Normal 10 4 3 4" xfId="5810"/>
    <cellStyle name="Normal 10 4 3 4 2" xfId="8910"/>
    <cellStyle name="Normal 10 4 3 4 2 2" xfId="15103"/>
    <cellStyle name="Normal 10 4 3 4 2 3" xfId="21255"/>
    <cellStyle name="Normal 10 4 3 4 3" xfId="12037"/>
    <cellStyle name="Normal 10 4 3 4 4" xfId="18189"/>
    <cellStyle name="Normal 10 4 3 5" xfId="7375"/>
    <cellStyle name="Normal 10 4 3 5 2" xfId="13569"/>
    <cellStyle name="Normal 10 4 3 5 3" xfId="19721"/>
    <cellStyle name="Normal 10 4 3 6" xfId="10503"/>
    <cellStyle name="Normal 10 4 3 7" xfId="16655"/>
    <cellStyle name="Normal 10 4 4" xfId="3438"/>
    <cellStyle name="Normal 10 4 4 2" xfId="4970"/>
    <cellStyle name="Normal 10 4 4 2 2" xfId="6595"/>
    <cellStyle name="Normal 10 4 4 2 2 2" xfId="9681"/>
    <cellStyle name="Normal 10 4 4 2 2 2 2" xfId="15874"/>
    <cellStyle name="Normal 10 4 4 2 2 2 3" xfId="22026"/>
    <cellStyle name="Normal 10 4 4 2 2 3" xfId="12808"/>
    <cellStyle name="Normal 10 4 4 2 2 4" xfId="18960"/>
    <cellStyle name="Normal 10 4 4 2 3" xfId="8146"/>
    <cellStyle name="Normal 10 4 4 2 3 2" xfId="14340"/>
    <cellStyle name="Normal 10 4 4 2 3 3" xfId="20492"/>
    <cellStyle name="Normal 10 4 4 2 4" xfId="11274"/>
    <cellStyle name="Normal 10 4 4 2 5" xfId="17426"/>
    <cellStyle name="Normal 10 4 4 3" xfId="5812"/>
    <cellStyle name="Normal 10 4 4 3 2" xfId="8912"/>
    <cellStyle name="Normal 10 4 4 3 2 2" xfId="15105"/>
    <cellStyle name="Normal 10 4 4 3 2 3" xfId="21257"/>
    <cellStyle name="Normal 10 4 4 3 3" xfId="12039"/>
    <cellStyle name="Normal 10 4 4 3 4" xfId="18191"/>
    <cellStyle name="Normal 10 4 4 4" xfId="7377"/>
    <cellStyle name="Normal 10 4 4 4 2" xfId="13571"/>
    <cellStyle name="Normal 10 4 4 4 3" xfId="19723"/>
    <cellStyle name="Normal 10 4 4 5" xfId="10505"/>
    <cellStyle name="Normal 10 4 4 6" xfId="16657"/>
    <cellStyle name="Normal 10 4 5" xfId="4965"/>
    <cellStyle name="Normal 10 4 5 2" xfId="6590"/>
    <cellStyle name="Normal 10 4 5 2 2" xfId="9676"/>
    <cellStyle name="Normal 10 4 5 2 2 2" xfId="15869"/>
    <cellStyle name="Normal 10 4 5 2 2 3" xfId="22021"/>
    <cellStyle name="Normal 10 4 5 2 3" xfId="12803"/>
    <cellStyle name="Normal 10 4 5 2 4" xfId="18955"/>
    <cellStyle name="Normal 10 4 5 3" xfId="8141"/>
    <cellStyle name="Normal 10 4 5 3 2" xfId="14335"/>
    <cellStyle name="Normal 10 4 5 3 3" xfId="20487"/>
    <cellStyle name="Normal 10 4 5 4" xfId="11269"/>
    <cellStyle name="Normal 10 4 5 5" xfId="17421"/>
    <cellStyle name="Normal 10 4 6" xfId="5807"/>
    <cellStyle name="Normal 10 4 6 2" xfId="8907"/>
    <cellStyle name="Normal 10 4 6 2 2" xfId="15100"/>
    <cellStyle name="Normal 10 4 6 2 3" xfId="21252"/>
    <cellStyle name="Normal 10 4 6 3" xfId="12034"/>
    <cellStyle name="Normal 10 4 6 4" xfId="18186"/>
    <cellStyle name="Normal 10 4 7" xfId="7372"/>
    <cellStyle name="Normal 10 4 7 2" xfId="13566"/>
    <cellStyle name="Normal 10 4 7 3" xfId="19718"/>
    <cellStyle name="Normal 10 4 8" xfId="10500"/>
    <cellStyle name="Normal 10 4 9" xfId="16652"/>
    <cellStyle name="Normal 10 5" xfId="107"/>
    <cellStyle name="Normal 10 5 10" xfId="3439"/>
    <cellStyle name="Normal 10 5 11" xfId="23210"/>
    <cellStyle name="Normal 10 5 2" xfId="3440"/>
    <cellStyle name="Normal 10 5 2 2" xfId="3441"/>
    <cellStyle name="Normal 10 5 2 2 2" xfId="4973"/>
    <cellStyle name="Normal 10 5 2 2 2 2" xfId="6598"/>
    <cellStyle name="Normal 10 5 2 2 2 2 2" xfId="9684"/>
    <cellStyle name="Normal 10 5 2 2 2 2 2 2" xfId="15877"/>
    <cellStyle name="Normal 10 5 2 2 2 2 2 3" xfId="22029"/>
    <cellStyle name="Normal 10 5 2 2 2 2 3" xfId="12811"/>
    <cellStyle name="Normal 10 5 2 2 2 2 4" xfId="18963"/>
    <cellStyle name="Normal 10 5 2 2 2 3" xfId="8149"/>
    <cellStyle name="Normal 10 5 2 2 2 3 2" xfId="14343"/>
    <cellStyle name="Normal 10 5 2 2 2 3 3" xfId="20495"/>
    <cellStyle name="Normal 10 5 2 2 2 4" xfId="11277"/>
    <cellStyle name="Normal 10 5 2 2 2 5" xfId="17429"/>
    <cellStyle name="Normal 10 5 2 2 3" xfId="5815"/>
    <cellStyle name="Normal 10 5 2 2 3 2" xfId="8915"/>
    <cellStyle name="Normal 10 5 2 2 3 2 2" xfId="15108"/>
    <cellStyle name="Normal 10 5 2 2 3 2 3" xfId="21260"/>
    <cellStyle name="Normal 10 5 2 2 3 3" xfId="12042"/>
    <cellStyle name="Normal 10 5 2 2 3 4" xfId="18194"/>
    <cellStyle name="Normal 10 5 2 2 4" xfId="7380"/>
    <cellStyle name="Normal 10 5 2 2 4 2" xfId="13574"/>
    <cellStyle name="Normal 10 5 2 2 4 3" xfId="19726"/>
    <cellStyle name="Normal 10 5 2 2 5" xfId="10508"/>
    <cellStyle name="Normal 10 5 2 2 6" xfId="16660"/>
    <cellStyle name="Normal 10 5 2 3" xfId="4972"/>
    <cellStyle name="Normal 10 5 2 3 2" xfId="6597"/>
    <cellStyle name="Normal 10 5 2 3 2 2" xfId="9683"/>
    <cellStyle name="Normal 10 5 2 3 2 2 2" xfId="15876"/>
    <cellStyle name="Normal 10 5 2 3 2 2 3" xfId="22028"/>
    <cellStyle name="Normal 10 5 2 3 2 3" xfId="12810"/>
    <cellStyle name="Normal 10 5 2 3 2 4" xfId="18962"/>
    <cellStyle name="Normal 10 5 2 3 3" xfId="8148"/>
    <cellStyle name="Normal 10 5 2 3 3 2" xfId="14342"/>
    <cellStyle name="Normal 10 5 2 3 3 3" xfId="20494"/>
    <cellStyle name="Normal 10 5 2 3 4" xfId="11276"/>
    <cellStyle name="Normal 10 5 2 3 5" xfId="17428"/>
    <cellStyle name="Normal 10 5 2 4" xfId="5814"/>
    <cellStyle name="Normal 10 5 2 4 2" xfId="8914"/>
    <cellStyle name="Normal 10 5 2 4 2 2" xfId="15107"/>
    <cellStyle name="Normal 10 5 2 4 2 3" xfId="21259"/>
    <cellStyle name="Normal 10 5 2 4 3" xfId="12041"/>
    <cellStyle name="Normal 10 5 2 4 4" xfId="18193"/>
    <cellStyle name="Normal 10 5 2 5" xfId="7379"/>
    <cellStyle name="Normal 10 5 2 5 2" xfId="13573"/>
    <cellStyle name="Normal 10 5 2 5 3" xfId="19725"/>
    <cellStyle name="Normal 10 5 2 6" xfId="10507"/>
    <cellStyle name="Normal 10 5 2 7" xfId="16659"/>
    <cellStyle name="Normal 10 5 3" xfId="3442"/>
    <cellStyle name="Normal 10 5 3 2" xfId="3443"/>
    <cellStyle name="Normal 10 5 3 2 2" xfId="4975"/>
    <cellStyle name="Normal 10 5 3 2 2 2" xfId="6600"/>
    <cellStyle name="Normal 10 5 3 2 2 2 2" xfId="9686"/>
    <cellStyle name="Normal 10 5 3 2 2 2 2 2" xfId="15879"/>
    <cellStyle name="Normal 10 5 3 2 2 2 2 3" xfId="22031"/>
    <cellStyle name="Normal 10 5 3 2 2 2 3" xfId="12813"/>
    <cellStyle name="Normal 10 5 3 2 2 2 4" xfId="18965"/>
    <cellStyle name="Normal 10 5 3 2 2 3" xfId="8151"/>
    <cellStyle name="Normal 10 5 3 2 2 3 2" xfId="14345"/>
    <cellStyle name="Normal 10 5 3 2 2 3 3" xfId="20497"/>
    <cellStyle name="Normal 10 5 3 2 2 4" xfId="11279"/>
    <cellStyle name="Normal 10 5 3 2 2 5" xfId="17431"/>
    <cellStyle name="Normal 10 5 3 2 3" xfId="5817"/>
    <cellStyle name="Normal 10 5 3 2 3 2" xfId="8917"/>
    <cellStyle name="Normal 10 5 3 2 3 2 2" xfId="15110"/>
    <cellStyle name="Normal 10 5 3 2 3 2 3" xfId="21262"/>
    <cellStyle name="Normal 10 5 3 2 3 3" xfId="12044"/>
    <cellStyle name="Normal 10 5 3 2 3 4" xfId="18196"/>
    <cellStyle name="Normal 10 5 3 2 4" xfId="7382"/>
    <cellStyle name="Normal 10 5 3 2 4 2" xfId="13576"/>
    <cellStyle name="Normal 10 5 3 2 4 3" xfId="19728"/>
    <cellStyle name="Normal 10 5 3 2 5" xfId="10510"/>
    <cellStyle name="Normal 10 5 3 2 6" xfId="16662"/>
    <cellStyle name="Normal 10 5 3 3" xfId="4974"/>
    <cellStyle name="Normal 10 5 3 3 2" xfId="6599"/>
    <cellStyle name="Normal 10 5 3 3 2 2" xfId="9685"/>
    <cellStyle name="Normal 10 5 3 3 2 2 2" xfId="15878"/>
    <cellStyle name="Normal 10 5 3 3 2 2 3" xfId="22030"/>
    <cellStyle name="Normal 10 5 3 3 2 3" xfId="12812"/>
    <cellStyle name="Normal 10 5 3 3 2 4" xfId="18964"/>
    <cellStyle name="Normal 10 5 3 3 3" xfId="8150"/>
    <cellStyle name="Normal 10 5 3 3 3 2" xfId="14344"/>
    <cellStyle name="Normal 10 5 3 3 3 3" xfId="20496"/>
    <cellStyle name="Normal 10 5 3 3 4" xfId="11278"/>
    <cellStyle name="Normal 10 5 3 3 5" xfId="17430"/>
    <cellStyle name="Normal 10 5 3 4" xfId="5816"/>
    <cellStyle name="Normal 10 5 3 4 2" xfId="8916"/>
    <cellStyle name="Normal 10 5 3 4 2 2" xfId="15109"/>
    <cellStyle name="Normal 10 5 3 4 2 3" xfId="21261"/>
    <cellStyle name="Normal 10 5 3 4 3" xfId="12043"/>
    <cellStyle name="Normal 10 5 3 4 4" xfId="18195"/>
    <cellStyle name="Normal 10 5 3 5" xfId="7381"/>
    <cellStyle name="Normal 10 5 3 5 2" xfId="13575"/>
    <cellStyle name="Normal 10 5 3 5 3" xfId="19727"/>
    <cellStyle name="Normal 10 5 3 6" xfId="10509"/>
    <cellStyle name="Normal 10 5 3 7" xfId="16661"/>
    <cellStyle name="Normal 10 5 4" xfId="3444"/>
    <cellStyle name="Normal 10 5 4 2" xfId="4976"/>
    <cellStyle name="Normal 10 5 4 2 2" xfId="6601"/>
    <cellStyle name="Normal 10 5 4 2 2 2" xfId="9687"/>
    <cellStyle name="Normal 10 5 4 2 2 2 2" xfId="15880"/>
    <cellStyle name="Normal 10 5 4 2 2 2 3" xfId="22032"/>
    <cellStyle name="Normal 10 5 4 2 2 3" xfId="12814"/>
    <cellStyle name="Normal 10 5 4 2 2 4" xfId="18966"/>
    <cellStyle name="Normal 10 5 4 2 3" xfId="8152"/>
    <cellStyle name="Normal 10 5 4 2 3 2" xfId="14346"/>
    <cellStyle name="Normal 10 5 4 2 3 3" xfId="20498"/>
    <cellStyle name="Normal 10 5 4 2 4" xfId="11280"/>
    <cellStyle name="Normal 10 5 4 2 5" xfId="17432"/>
    <cellStyle name="Normal 10 5 4 3" xfId="5818"/>
    <cellStyle name="Normal 10 5 4 3 2" xfId="8918"/>
    <cellStyle name="Normal 10 5 4 3 2 2" xfId="15111"/>
    <cellStyle name="Normal 10 5 4 3 2 3" xfId="21263"/>
    <cellStyle name="Normal 10 5 4 3 3" xfId="12045"/>
    <cellStyle name="Normal 10 5 4 3 4" xfId="18197"/>
    <cellStyle name="Normal 10 5 4 4" xfId="7383"/>
    <cellStyle name="Normal 10 5 4 4 2" xfId="13577"/>
    <cellStyle name="Normal 10 5 4 4 3" xfId="19729"/>
    <cellStyle name="Normal 10 5 4 5" xfId="10511"/>
    <cellStyle name="Normal 10 5 4 6" xfId="16663"/>
    <cellStyle name="Normal 10 5 5" xfId="4971"/>
    <cellStyle name="Normal 10 5 5 2" xfId="6596"/>
    <cellStyle name="Normal 10 5 5 2 2" xfId="9682"/>
    <cellStyle name="Normal 10 5 5 2 2 2" xfId="15875"/>
    <cellStyle name="Normal 10 5 5 2 2 3" xfId="22027"/>
    <cellStyle name="Normal 10 5 5 2 3" xfId="12809"/>
    <cellStyle name="Normal 10 5 5 2 4" xfId="18961"/>
    <cellStyle name="Normal 10 5 5 3" xfId="8147"/>
    <cellStyle name="Normal 10 5 5 3 2" xfId="14341"/>
    <cellStyle name="Normal 10 5 5 3 3" xfId="20493"/>
    <cellStyle name="Normal 10 5 5 4" xfId="11275"/>
    <cellStyle name="Normal 10 5 5 5" xfId="17427"/>
    <cellStyle name="Normal 10 5 6" xfId="5813"/>
    <cellStyle name="Normal 10 5 6 2" xfId="8913"/>
    <cellStyle name="Normal 10 5 6 2 2" xfId="15106"/>
    <cellStyle name="Normal 10 5 6 2 3" xfId="21258"/>
    <cellStyle name="Normal 10 5 6 3" xfId="12040"/>
    <cellStyle name="Normal 10 5 6 4" xfId="18192"/>
    <cellStyle name="Normal 10 5 7" xfId="7378"/>
    <cellStyle name="Normal 10 5 7 2" xfId="13572"/>
    <cellStyle name="Normal 10 5 7 3" xfId="19724"/>
    <cellStyle name="Normal 10 5 8" xfId="10506"/>
    <cellStyle name="Normal 10 5 9" xfId="16658"/>
    <cellStyle name="Normal 10 6" xfId="3445"/>
    <cellStyle name="Normal 10 6 2" xfId="3446"/>
    <cellStyle name="Normal 10 6 2 2" xfId="4978"/>
    <cellStyle name="Normal 10 6 2 2 2" xfId="6603"/>
    <cellStyle name="Normal 10 6 2 2 2 2" xfId="9689"/>
    <cellStyle name="Normal 10 6 2 2 2 2 2" xfId="15882"/>
    <cellStyle name="Normal 10 6 2 2 2 2 3" xfId="22034"/>
    <cellStyle name="Normal 10 6 2 2 2 3" xfId="12816"/>
    <cellStyle name="Normal 10 6 2 2 2 4" xfId="18968"/>
    <cellStyle name="Normal 10 6 2 2 3" xfId="8154"/>
    <cellStyle name="Normal 10 6 2 2 3 2" xfId="14348"/>
    <cellStyle name="Normal 10 6 2 2 3 3" xfId="20500"/>
    <cellStyle name="Normal 10 6 2 2 4" xfId="11282"/>
    <cellStyle name="Normal 10 6 2 2 5" xfId="17434"/>
    <cellStyle name="Normal 10 6 2 3" xfId="5820"/>
    <cellStyle name="Normal 10 6 2 3 2" xfId="8920"/>
    <cellStyle name="Normal 10 6 2 3 2 2" xfId="15113"/>
    <cellStyle name="Normal 10 6 2 3 2 3" xfId="21265"/>
    <cellStyle name="Normal 10 6 2 3 3" xfId="12047"/>
    <cellStyle name="Normal 10 6 2 3 4" xfId="18199"/>
    <cellStyle name="Normal 10 6 2 4" xfId="7385"/>
    <cellStyle name="Normal 10 6 2 4 2" xfId="13579"/>
    <cellStyle name="Normal 10 6 2 4 3" xfId="19731"/>
    <cellStyle name="Normal 10 6 2 5" xfId="10513"/>
    <cellStyle name="Normal 10 6 2 6" xfId="16665"/>
    <cellStyle name="Normal 10 6 3" xfId="4977"/>
    <cellStyle name="Normal 10 6 3 2" xfId="6602"/>
    <cellStyle name="Normal 10 6 3 2 2" xfId="9688"/>
    <cellStyle name="Normal 10 6 3 2 2 2" xfId="15881"/>
    <cellStyle name="Normal 10 6 3 2 2 3" xfId="22033"/>
    <cellStyle name="Normal 10 6 3 2 3" xfId="12815"/>
    <cellStyle name="Normal 10 6 3 2 4" xfId="18967"/>
    <cellStyle name="Normal 10 6 3 3" xfId="8153"/>
    <cellStyle name="Normal 10 6 3 3 2" xfId="14347"/>
    <cellStyle name="Normal 10 6 3 3 3" xfId="20499"/>
    <cellStyle name="Normal 10 6 3 4" xfId="11281"/>
    <cellStyle name="Normal 10 6 3 5" xfId="17433"/>
    <cellStyle name="Normal 10 6 4" xfId="5819"/>
    <cellStyle name="Normal 10 6 4 2" xfId="8919"/>
    <cellStyle name="Normal 10 6 4 2 2" xfId="15112"/>
    <cellStyle name="Normal 10 6 4 2 3" xfId="21264"/>
    <cellStyle name="Normal 10 6 4 3" xfId="12046"/>
    <cellStyle name="Normal 10 6 4 4" xfId="18198"/>
    <cellStyle name="Normal 10 6 5" xfId="7384"/>
    <cellStyle name="Normal 10 6 5 2" xfId="13578"/>
    <cellStyle name="Normal 10 6 5 3" xfId="19730"/>
    <cellStyle name="Normal 10 6 6" xfId="10512"/>
    <cellStyle name="Normal 10 6 7" xfId="16664"/>
    <cellStyle name="Normal 10 6 8" xfId="23211"/>
    <cellStyle name="Normal 10 7" xfId="3447"/>
    <cellStyle name="Normal 10 7 2" xfId="3448"/>
    <cellStyle name="Normal 10 7 2 2" xfId="4980"/>
    <cellStyle name="Normal 10 7 2 2 2" xfId="6605"/>
    <cellStyle name="Normal 10 7 2 2 2 2" xfId="9691"/>
    <cellStyle name="Normal 10 7 2 2 2 2 2" xfId="15884"/>
    <cellStyle name="Normal 10 7 2 2 2 2 3" xfId="22036"/>
    <cellStyle name="Normal 10 7 2 2 2 3" xfId="12818"/>
    <cellStyle name="Normal 10 7 2 2 2 4" xfId="18970"/>
    <cellStyle name="Normal 10 7 2 2 3" xfId="8156"/>
    <cellStyle name="Normal 10 7 2 2 3 2" xfId="14350"/>
    <cellStyle name="Normal 10 7 2 2 3 3" xfId="20502"/>
    <cellStyle name="Normal 10 7 2 2 4" xfId="11284"/>
    <cellStyle name="Normal 10 7 2 2 5" xfId="17436"/>
    <cellStyle name="Normal 10 7 2 3" xfId="5822"/>
    <cellStyle name="Normal 10 7 2 3 2" xfId="8922"/>
    <cellStyle name="Normal 10 7 2 3 2 2" xfId="15115"/>
    <cellStyle name="Normal 10 7 2 3 2 3" xfId="21267"/>
    <cellStyle name="Normal 10 7 2 3 3" xfId="12049"/>
    <cellStyle name="Normal 10 7 2 3 4" xfId="18201"/>
    <cellStyle name="Normal 10 7 2 4" xfId="7387"/>
    <cellStyle name="Normal 10 7 2 4 2" xfId="13581"/>
    <cellStyle name="Normal 10 7 2 4 3" xfId="19733"/>
    <cellStyle name="Normal 10 7 2 5" xfId="10515"/>
    <cellStyle name="Normal 10 7 2 6" xfId="16667"/>
    <cellStyle name="Normal 10 7 3" xfId="4979"/>
    <cellStyle name="Normal 10 7 3 2" xfId="6604"/>
    <cellStyle name="Normal 10 7 3 2 2" xfId="9690"/>
    <cellStyle name="Normal 10 7 3 2 2 2" xfId="15883"/>
    <cellStyle name="Normal 10 7 3 2 2 3" xfId="22035"/>
    <cellStyle name="Normal 10 7 3 2 3" xfId="12817"/>
    <cellStyle name="Normal 10 7 3 2 4" xfId="18969"/>
    <cellStyle name="Normal 10 7 3 3" xfId="8155"/>
    <cellStyle name="Normal 10 7 3 3 2" xfId="14349"/>
    <cellStyle name="Normal 10 7 3 3 3" xfId="20501"/>
    <cellStyle name="Normal 10 7 3 4" xfId="11283"/>
    <cellStyle name="Normal 10 7 3 5" xfId="17435"/>
    <cellStyle name="Normal 10 7 4" xfId="5821"/>
    <cellStyle name="Normal 10 7 4 2" xfId="8921"/>
    <cellStyle name="Normal 10 7 4 2 2" xfId="15114"/>
    <cellStyle name="Normal 10 7 4 2 3" xfId="21266"/>
    <cellStyle name="Normal 10 7 4 3" xfId="12048"/>
    <cellStyle name="Normal 10 7 4 4" xfId="18200"/>
    <cellStyle name="Normal 10 7 5" xfId="7386"/>
    <cellStyle name="Normal 10 7 5 2" xfId="13580"/>
    <cellStyle name="Normal 10 7 5 3" xfId="19732"/>
    <cellStyle name="Normal 10 7 6" xfId="10514"/>
    <cellStyle name="Normal 10 7 7" xfId="16666"/>
    <cellStyle name="Normal 10 7 8" xfId="23212"/>
    <cellStyle name="Normal 10 8" xfId="3449"/>
    <cellStyle name="Normal 10 8 2" xfId="3450"/>
    <cellStyle name="Normal 10 8 2 2" xfId="4981"/>
    <cellStyle name="Normal 10 8 2 2 2" xfId="6606"/>
    <cellStyle name="Normal 10 8 2 2 2 2" xfId="9692"/>
    <cellStyle name="Normal 10 8 2 2 2 2 2" xfId="15885"/>
    <cellStyle name="Normal 10 8 2 2 2 2 3" xfId="22037"/>
    <cellStyle name="Normal 10 8 2 2 2 3" xfId="12819"/>
    <cellStyle name="Normal 10 8 2 2 2 4" xfId="18971"/>
    <cellStyle name="Normal 10 8 2 2 3" xfId="8157"/>
    <cellStyle name="Normal 10 8 2 2 3 2" xfId="14351"/>
    <cellStyle name="Normal 10 8 2 2 3 3" xfId="20503"/>
    <cellStyle name="Normal 10 8 2 2 4" xfId="11285"/>
    <cellStyle name="Normal 10 8 2 2 5" xfId="17437"/>
    <cellStyle name="Normal 10 8 2 3" xfId="5823"/>
    <cellStyle name="Normal 10 8 2 3 2" xfId="8923"/>
    <cellStyle name="Normal 10 8 2 3 2 2" xfId="15116"/>
    <cellStyle name="Normal 10 8 2 3 2 3" xfId="21268"/>
    <cellStyle name="Normal 10 8 2 3 3" xfId="12050"/>
    <cellStyle name="Normal 10 8 2 3 4" xfId="18202"/>
    <cellStyle name="Normal 10 8 2 4" xfId="7388"/>
    <cellStyle name="Normal 10 8 2 4 2" xfId="13582"/>
    <cellStyle name="Normal 10 8 2 4 3" xfId="19734"/>
    <cellStyle name="Normal 10 8 2 5" xfId="10516"/>
    <cellStyle name="Normal 10 8 2 6" xfId="16668"/>
    <cellStyle name="Normal 10 9" xfId="3451"/>
    <cellStyle name="Normal 10 9 2" xfId="4982"/>
    <cellStyle name="Normal 10 9 2 2" xfId="6607"/>
    <cellStyle name="Normal 10 9 2 2 2" xfId="9693"/>
    <cellStyle name="Normal 10 9 2 2 2 2" xfId="15886"/>
    <cellStyle name="Normal 10 9 2 2 2 3" xfId="22038"/>
    <cellStyle name="Normal 10 9 2 2 3" xfId="12820"/>
    <cellStyle name="Normal 10 9 2 2 4" xfId="18972"/>
    <cellStyle name="Normal 10 9 2 3" xfId="8158"/>
    <cellStyle name="Normal 10 9 2 3 2" xfId="14352"/>
    <cellStyle name="Normal 10 9 2 3 3" xfId="20504"/>
    <cellStyle name="Normal 10 9 2 4" xfId="11286"/>
    <cellStyle name="Normal 10 9 2 5" xfId="17438"/>
    <cellStyle name="Normal 10 9 3" xfId="5824"/>
    <cellStyle name="Normal 10 9 3 2" xfId="8924"/>
    <cellStyle name="Normal 10 9 3 2 2" xfId="15117"/>
    <cellStyle name="Normal 10 9 3 2 3" xfId="21269"/>
    <cellStyle name="Normal 10 9 3 3" xfId="12051"/>
    <cellStyle name="Normal 10 9 3 4" xfId="18203"/>
    <cellStyle name="Normal 10 9 4" xfId="7389"/>
    <cellStyle name="Normal 10 9 4 2" xfId="13583"/>
    <cellStyle name="Normal 10 9 4 3" xfId="19735"/>
    <cellStyle name="Normal 10 9 5" xfId="10517"/>
    <cellStyle name="Normal 10 9 6" xfId="16669"/>
    <cellStyle name="Normal 11" xfId="20"/>
    <cellStyle name="Normal 11 10" xfId="1285"/>
    <cellStyle name="Normal 11 11" xfId="449"/>
    <cellStyle name="Normal 11 12" xfId="23213"/>
    <cellStyle name="Normal 11 2" xfId="92"/>
    <cellStyle name="Normal 11 2 10" xfId="23214"/>
    <cellStyle name="Normal 11 2 2" xfId="139"/>
    <cellStyle name="Normal 11 2 2 2" xfId="5499"/>
    <cellStyle name="Normal 11 2 2 2 2" xfId="7124"/>
    <cellStyle name="Normal 11 2 2 2 2 2" xfId="10210"/>
    <cellStyle name="Normal 11 2 2 2 2 2 2" xfId="16403"/>
    <cellStyle name="Normal 11 2 2 2 2 2 3" xfId="22555"/>
    <cellStyle name="Normal 11 2 2 2 2 3" xfId="13337"/>
    <cellStyle name="Normal 11 2 2 2 2 4" xfId="19489"/>
    <cellStyle name="Normal 11 2 2 2 3" xfId="8675"/>
    <cellStyle name="Normal 11 2 2 2 3 2" xfId="14869"/>
    <cellStyle name="Normal 11 2 2 2 3 3" xfId="21021"/>
    <cellStyle name="Normal 11 2 2 2 4" xfId="11803"/>
    <cellStyle name="Normal 11 2 2 2 5" xfId="17955"/>
    <cellStyle name="Normal 11 2 2 3" xfId="6355"/>
    <cellStyle name="Normal 11 2 2 3 2" xfId="9441"/>
    <cellStyle name="Normal 11 2 2 3 2 2" xfId="15634"/>
    <cellStyle name="Normal 11 2 2 3 2 3" xfId="21786"/>
    <cellStyle name="Normal 11 2 2 3 3" xfId="12568"/>
    <cellStyle name="Normal 11 2 2 3 4" xfId="18720"/>
    <cellStyle name="Normal 11 2 2 4" xfId="7906"/>
    <cellStyle name="Normal 11 2 2 4 2" xfId="14100"/>
    <cellStyle name="Normal 11 2 2 4 3" xfId="20252"/>
    <cellStyle name="Normal 11 2 2 5" xfId="11034"/>
    <cellStyle name="Normal 11 2 2 6" xfId="17186"/>
    <cellStyle name="Normal 11 2 2 7" xfId="4723"/>
    <cellStyle name="Normal 11 2 3" xfId="3453"/>
    <cellStyle name="Normal 11 2 4" xfId="4758"/>
    <cellStyle name="Normal 11 2 4 2" xfId="6383"/>
    <cellStyle name="Normal 11 2 4 2 2" xfId="9469"/>
    <cellStyle name="Normal 11 2 4 2 2 2" xfId="15662"/>
    <cellStyle name="Normal 11 2 4 2 2 3" xfId="21814"/>
    <cellStyle name="Normal 11 2 4 2 3" xfId="12596"/>
    <cellStyle name="Normal 11 2 4 2 4" xfId="18748"/>
    <cellStyle name="Normal 11 2 4 3" xfId="7934"/>
    <cellStyle name="Normal 11 2 4 3 2" xfId="14128"/>
    <cellStyle name="Normal 11 2 4 3 3" xfId="20280"/>
    <cellStyle name="Normal 11 2 4 4" xfId="11062"/>
    <cellStyle name="Normal 11 2 4 5" xfId="17214"/>
    <cellStyle name="Normal 11 2 5" xfId="5597"/>
    <cellStyle name="Normal 11 2 5 2" xfId="8700"/>
    <cellStyle name="Normal 11 2 5 2 2" xfId="14893"/>
    <cellStyle name="Normal 11 2 5 2 3" xfId="21045"/>
    <cellStyle name="Normal 11 2 5 3" xfId="11827"/>
    <cellStyle name="Normal 11 2 5 4" xfId="17979"/>
    <cellStyle name="Normal 11 2 6" xfId="7165"/>
    <cellStyle name="Normal 11 2 6 2" xfId="13359"/>
    <cellStyle name="Normal 11 2 6 3" xfId="19511"/>
    <cellStyle name="Normal 11 2 7" xfId="10293"/>
    <cellStyle name="Normal 11 2 8" xfId="16445"/>
    <cellStyle name="Normal 11 2 9" xfId="1311"/>
    <cellStyle name="Normal 11 3" xfId="122"/>
    <cellStyle name="Normal 11 3 2" xfId="4984"/>
    <cellStyle name="Normal 11 3 2 2" xfId="6609"/>
    <cellStyle name="Normal 11 3 2 2 2" xfId="9695"/>
    <cellStyle name="Normal 11 3 2 2 2 2" xfId="15888"/>
    <cellStyle name="Normal 11 3 2 2 2 3" xfId="22040"/>
    <cellStyle name="Normal 11 3 2 2 3" xfId="12822"/>
    <cellStyle name="Normal 11 3 2 2 4" xfId="18974"/>
    <cellStyle name="Normal 11 3 2 3" xfId="8160"/>
    <cellStyle name="Normal 11 3 2 3 2" xfId="14354"/>
    <cellStyle name="Normal 11 3 2 3 3" xfId="20506"/>
    <cellStyle name="Normal 11 3 2 4" xfId="11288"/>
    <cellStyle name="Normal 11 3 2 5" xfId="17440"/>
    <cellStyle name="Normal 11 3 3" xfId="5826"/>
    <cellStyle name="Normal 11 3 3 2" xfId="8926"/>
    <cellStyle name="Normal 11 3 3 2 2" xfId="15119"/>
    <cellStyle name="Normal 11 3 3 2 3" xfId="21271"/>
    <cellStyle name="Normal 11 3 3 3" xfId="12053"/>
    <cellStyle name="Normal 11 3 3 4" xfId="18205"/>
    <cellStyle name="Normal 11 3 4" xfId="7391"/>
    <cellStyle name="Normal 11 3 4 2" xfId="13585"/>
    <cellStyle name="Normal 11 3 4 3" xfId="19737"/>
    <cellStyle name="Normal 11 3 5" xfId="10519"/>
    <cellStyle name="Normal 11 3 6" xfId="16671"/>
    <cellStyle name="Normal 11 3 7" xfId="3454"/>
    <cellStyle name="Normal 11 3 8" xfId="23215"/>
    <cellStyle name="Normal 11 4" xfId="109"/>
    <cellStyle name="Normal 11 4 2" xfId="4983"/>
    <cellStyle name="Normal 11 4 2 2" xfId="6608"/>
    <cellStyle name="Normal 11 4 2 2 2" xfId="9694"/>
    <cellStyle name="Normal 11 4 2 2 2 2" xfId="15887"/>
    <cellStyle name="Normal 11 4 2 2 2 3" xfId="22039"/>
    <cellStyle name="Normal 11 4 2 2 3" xfId="12821"/>
    <cellStyle name="Normal 11 4 2 2 4" xfId="18973"/>
    <cellStyle name="Normal 11 4 2 3" xfId="8159"/>
    <cellStyle name="Normal 11 4 2 3 2" xfId="14353"/>
    <cellStyle name="Normal 11 4 2 3 3" xfId="20505"/>
    <cellStyle name="Normal 11 4 2 4" xfId="11287"/>
    <cellStyle name="Normal 11 4 2 5" xfId="17439"/>
    <cellStyle name="Normal 11 4 3" xfId="5825"/>
    <cellStyle name="Normal 11 4 3 2" xfId="8925"/>
    <cellStyle name="Normal 11 4 3 2 2" xfId="15118"/>
    <cellStyle name="Normal 11 4 3 2 3" xfId="21270"/>
    <cellStyle name="Normal 11 4 3 3" xfId="12052"/>
    <cellStyle name="Normal 11 4 3 4" xfId="18204"/>
    <cellStyle name="Normal 11 4 4" xfId="7390"/>
    <cellStyle name="Normal 11 4 4 2" xfId="13584"/>
    <cellStyle name="Normal 11 4 4 3" xfId="19736"/>
    <cellStyle name="Normal 11 4 5" xfId="10518"/>
    <cellStyle name="Normal 11 4 6" xfId="16670"/>
    <cellStyle name="Normal 11 4 7" xfId="3452"/>
    <cellStyle name="Normal 11 4 8" xfId="23216"/>
    <cellStyle name="Normal 11 5" xfId="4747"/>
    <cellStyle name="Normal 11 5 2" xfId="6372"/>
    <cellStyle name="Normal 11 5 2 2" xfId="9458"/>
    <cellStyle name="Normal 11 5 2 2 2" xfId="15651"/>
    <cellStyle name="Normal 11 5 2 2 3" xfId="21803"/>
    <cellStyle name="Normal 11 5 2 3" xfId="12585"/>
    <cellStyle name="Normal 11 5 2 4" xfId="18737"/>
    <cellStyle name="Normal 11 5 3" xfId="7923"/>
    <cellStyle name="Normal 11 5 3 2" xfId="14117"/>
    <cellStyle name="Normal 11 5 3 3" xfId="20269"/>
    <cellStyle name="Normal 11 5 4" xfId="11051"/>
    <cellStyle name="Normal 11 5 5" xfId="17203"/>
    <cellStyle name="Normal 11 5 6" xfId="23217"/>
    <cellStyle name="Normal 11 6" xfId="5585"/>
    <cellStyle name="Normal 11 6 2" xfId="8689"/>
    <cellStyle name="Normal 11 6 2 2" xfId="14882"/>
    <cellStyle name="Normal 11 6 2 3" xfId="21034"/>
    <cellStyle name="Normal 11 6 3" xfId="11816"/>
    <cellStyle name="Normal 11 6 4" xfId="17968"/>
    <cellStyle name="Normal 11 7" xfId="7154"/>
    <cellStyle name="Normal 11 7 2" xfId="13348"/>
    <cellStyle name="Normal 11 7 3" xfId="19500"/>
    <cellStyle name="Normal 11 8" xfId="10282"/>
    <cellStyle name="Normal 11 9" xfId="16434"/>
    <cellStyle name="Normal 12" xfId="51"/>
    <cellStyle name="Normal 12 10" xfId="7392"/>
    <cellStyle name="Normal 12 10 2" xfId="13586"/>
    <cellStyle name="Normal 12 10 3" xfId="19738"/>
    <cellStyle name="Normal 12 11" xfId="10264"/>
    <cellStyle name="Normal 12 11 2" xfId="16426"/>
    <cellStyle name="Normal 12 11 3" xfId="22578"/>
    <cellStyle name="Normal 12 12" xfId="10520"/>
    <cellStyle name="Normal 12 13" xfId="16672"/>
    <cellStyle name="Normal 12 14" xfId="3455"/>
    <cellStyle name="Normal 12 15" xfId="276"/>
    <cellStyle name="Normal 12 16" xfId="23218"/>
    <cellStyle name="Normal 12 2" xfId="102"/>
    <cellStyle name="Normal 12 2 2" xfId="145"/>
    <cellStyle name="Normal 12 2 2 10" xfId="3457"/>
    <cellStyle name="Normal 12 2 2 2" xfId="3458"/>
    <cellStyle name="Normal 12 2 2 2 2" xfId="3459"/>
    <cellStyle name="Normal 12 2 2 2 2 2" xfId="4988"/>
    <cellStyle name="Normal 12 2 2 2 2 2 2" xfId="6613"/>
    <cellStyle name="Normal 12 2 2 2 2 2 2 2" xfId="9699"/>
    <cellStyle name="Normal 12 2 2 2 2 2 2 2 2" xfId="15892"/>
    <cellStyle name="Normal 12 2 2 2 2 2 2 2 3" xfId="22044"/>
    <cellStyle name="Normal 12 2 2 2 2 2 2 3" xfId="12826"/>
    <cellStyle name="Normal 12 2 2 2 2 2 2 4" xfId="18978"/>
    <cellStyle name="Normal 12 2 2 2 2 2 3" xfId="8164"/>
    <cellStyle name="Normal 12 2 2 2 2 2 3 2" xfId="14358"/>
    <cellStyle name="Normal 12 2 2 2 2 2 3 3" xfId="20510"/>
    <cellStyle name="Normal 12 2 2 2 2 2 4" xfId="11292"/>
    <cellStyle name="Normal 12 2 2 2 2 2 5" xfId="17444"/>
    <cellStyle name="Normal 12 2 2 2 2 3" xfId="5830"/>
    <cellStyle name="Normal 12 2 2 2 2 3 2" xfId="8930"/>
    <cellStyle name="Normal 12 2 2 2 2 3 2 2" xfId="15123"/>
    <cellStyle name="Normal 12 2 2 2 2 3 2 3" xfId="21275"/>
    <cellStyle name="Normal 12 2 2 2 2 3 3" xfId="12057"/>
    <cellStyle name="Normal 12 2 2 2 2 3 4" xfId="18209"/>
    <cellStyle name="Normal 12 2 2 2 2 4" xfId="7395"/>
    <cellStyle name="Normal 12 2 2 2 2 4 2" xfId="13589"/>
    <cellStyle name="Normal 12 2 2 2 2 4 3" xfId="19741"/>
    <cellStyle name="Normal 12 2 2 2 2 5" xfId="10523"/>
    <cellStyle name="Normal 12 2 2 2 2 6" xfId="16675"/>
    <cellStyle name="Normal 12 2 2 2 3" xfId="4987"/>
    <cellStyle name="Normal 12 2 2 2 3 2" xfId="6612"/>
    <cellStyle name="Normal 12 2 2 2 3 2 2" xfId="9698"/>
    <cellStyle name="Normal 12 2 2 2 3 2 2 2" xfId="15891"/>
    <cellStyle name="Normal 12 2 2 2 3 2 2 3" xfId="22043"/>
    <cellStyle name="Normal 12 2 2 2 3 2 3" xfId="12825"/>
    <cellStyle name="Normal 12 2 2 2 3 2 4" xfId="18977"/>
    <cellStyle name="Normal 12 2 2 2 3 3" xfId="8163"/>
    <cellStyle name="Normal 12 2 2 2 3 3 2" xfId="14357"/>
    <cellStyle name="Normal 12 2 2 2 3 3 3" xfId="20509"/>
    <cellStyle name="Normal 12 2 2 2 3 4" xfId="11291"/>
    <cellStyle name="Normal 12 2 2 2 3 5" xfId="17443"/>
    <cellStyle name="Normal 12 2 2 2 4" xfId="5829"/>
    <cellStyle name="Normal 12 2 2 2 4 2" xfId="8929"/>
    <cellStyle name="Normal 12 2 2 2 4 2 2" xfId="15122"/>
    <cellStyle name="Normal 12 2 2 2 4 2 3" xfId="21274"/>
    <cellStyle name="Normal 12 2 2 2 4 3" xfId="12056"/>
    <cellStyle name="Normal 12 2 2 2 4 4" xfId="18208"/>
    <cellStyle name="Normal 12 2 2 2 5" xfId="7394"/>
    <cellStyle name="Normal 12 2 2 2 5 2" xfId="13588"/>
    <cellStyle name="Normal 12 2 2 2 5 3" xfId="19740"/>
    <cellStyle name="Normal 12 2 2 2 6" xfId="10522"/>
    <cellStyle name="Normal 12 2 2 2 7" xfId="16674"/>
    <cellStyle name="Normal 12 2 2 3" xfId="3460"/>
    <cellStyle name="Normal 12 2 2 3 2" xfId="3461"/>
    <cellStyle name="Normal 12 2 2 3 2 2" xfId="4990"/>
    <cellStyle name="Normal 12 2 2 3 2 2 2" xfId="6615"/>
    <cellStyle name="Normal 12 2 2 3 2 2 2 2" xfId="9701"/>
    <cellStyle name="Normal 12 2 2 3 2 2 2 2 2" xfId="15894"/>
    <cellStyle name="Normal 12 2 2 3 2 2 2 2 3" xfId="22046"/>
    <cellStyle name="Normal 12 2 2 3 2 2 2 3" xfId="12828"/>
    <cellStyle name="Normal 12 2 2 3 2 2 2 4" xfId="18980"/>
    <cellStyle name="Normal 12 2 2 3 2 2 3" xfId="8166"/>
    <cellStyle name="Normal 12 2 2 3 2 2 3 2" xfId="14360"/>
    <cellStyle name="Normal 12 2 2 3 2 2 3 3" xfId="20512"/>
    <cellStyle name="Normal 12 2 2 3 2 2 4" xfId="11294"/>
    <cellStyle name="Normal 12 2 2 3 2 2 5" xfId="17446"/>
    <cellStyle name="Normal 12 2 2 3 2 3" xfId="5832"/>
    <cellStyle name="Normal 12 2 2 3 2 3 2" xfId="8932"/>
    <cellStyle name="Normal 12 2 2 3 2 3 2 2" xfId="15125"/>
    <cellStyle name="Normal 12 2 2 3 2 3 2 3" xfId="21277"/>
    <cellStyle name="Normal 12 2 2 3 2 3 3" xfId="12059"/>
    <cellStyle name="Normal 12 2 2 3 2 3 4" xfId="18211"/>
    <cellStyle name="Normal 12 2 2 3 2 4" xfId="7397"/>
    <cellStyle name="Normal 12 2 2 3 2 4 2" xfId="13591"/>
    <cellStyle name="Normal 12 2 2 3 2 4 3" xfId="19743"/>
    <cellStyle name="Normal 12 2 2 3 2 5" xfId="10525"/>
    <cellStyle name="Normal 12 2 2 3 2 6" xfId="16677"/>
    <cellStyle name="Normal 12 2 2 3 3" xfId="4989"/>
    <cellStyle name="Normal 12 2 2 3 3 2" xfId="6614"/>
    <cellStyle name="Normal 12 2 2 3 3 2 2" xfId="9700"/>
    <cellStyle name="Normal 12 2 2 3 3 2 2 2" xfId="15893"/>
    <cellStyle name="Normal 12 2 2 3 3 2 2 3" xfId="22045"/>
    <cellStyle name="Normal 12 2 2 3 3 2 3" xfId="12827"/>
    <cellStyle name="Normal 12 2 2 3 3 2 4" xfId="18979"/>
    <cellStyle name="Normal 12 2 2 3 3 3" xfId="8165"/>
    <cellStyle name="Normal 12 2 2 3 3 3 2" xfId="14359"/>
    <cellStyle name="Normal 12 2 2 3 3 3 3" xfId="20511"/>
    <cellStyle name="Normal 12 2 2 3 3 4" xfId="11293"/>
    <cellStyle name="Normal 12 2 2 3 3 5" xfId="17445"/>
    <cellStyle name="Normal 12 2 2 3 4" xfId="5831"/>
    <cellStyle name="Normal 12 2 2 3 4 2" xfId="8931"/>
    <cellStyle name="Normal 12 2 2 3 4 2 2" xfId="15124"/>
    <cellStyle name="Normal 12 2 2 3 4 2 3" xfId="21276"/>
    <cellStyle name="Normal 12 2 2 3 4 3" xfId="12058"/>
    <cellStyle name="Normal 12 2 2 3 4 4" xfId="18210"/>
    <cellStyle name="Normal 12 2 2 3 5" xfId="7396"/>
    <cellStyle name="Normal 12 2 2 3 5 2" xfId="13590"/>
    <cellStyle name="Normal 12 2 2 3 5 3" xfId="19742"/>
    <cellStyle name="Normal 12 2 2 3 6" xfId="10524"/>
    <cellStyle name="Normal 12 2 2 3 7" xfId="16676"/>
    <cellStyle name="Normal 12 2 2 4" xfId="3462"/>
    <cellStyle name="Normal 12 2 2 4 2" xfId="4991"/>
    <cellStyle name="Normal 12 2 2 4 2 2" xfId="6616"/>
    <cellStyle name="Normal 12 2 2 4 2 2 2" xfId="9702"/>
    <cellStyle name="Normal 12 2 2 4 2 2 2 2" xfId="15895"/>
    <cellStyle name="Normal 12 2 2 4 2 2 2 3" xfId="22047"/>
    <cellStyle name="Normal 12 2 2 4 2 2 3" xfId="12829"/>
    <cellStyle name="Normal 12 2 2 4 2 2 4" xfId="18981"/>
    <cellStyle name="Normal 12 2 2 4 2 3" xfId="8167"/>
    <cellStyle name="Normal 12 2 2 4 2 3 2" xfId="14361"/>
    <cellStyle name="Normal 12 2 2 4 2 3 3" xfId="20513"/>
    <cellStyle name="Normal 12 2 2 4 2 4" xfId="11295"/>
    <cellStyle name="Normal 12 2 2 4 2 5" xfId="17447"/>
    <cellStyle name="Normal 12 2 2 4 3" xfId="5833"/>
    <cellStyle name="Normal 12 2 2 4 3 2" xfId="8933"/>
    <cellStyle name="Normal 12 2 2 4 3 2 2" xfId="15126"/>
    <cellStyle name="Normal 12 2 2 4 3 2 3" xfId="21278"/>
    <cellStyle name="Normal 12 2 2 4 3 3" xfId="12060"/>
    <cellStyle name="Normal 12 2 2 4 3 4" xfId="18212"/>
    <cellStyle name="Normal 12 2 2 4 4" xfId="7398"/>
    <cellStyle name="Normal 12 2 2 4 4 2" xfId="13592"/>
    <cellStyle name="Normal 12 2 2 4 4 3" xfId="19744"/>
    <cellStyle name="Normal 12 2 2 4 5" xfId="10526"/>
    <cellStyle name="Normal 12 2 2 4 6" xfId="16678"/>
    <cellStyle name="Normal 12 2 2 5" xfId="4986"/>
    <cellStyle name="Normal 12 2 2 5 2" xfId="6611"/>
    <cellStyle name="Normal 12 2 2 5 2 2" xfId="9697"/>
    <cellStyle name="Normal 12 2 2 5 2 2 2" xfId="15890"/>
    <cellStyle name="Normal 12 2 2 5 2 2 3" xfId="22042"/>
    <cellStyle name="Normal 12 2 2 5 2 3" xfId="12824"/>
    <cellStyle name="Normal 12 2 2 5 2 4" xfId="18976"/>
    <cellStyle name="Normal 12 2 2 5 3" xfId="8162"/>
    <cellStyle name="Normal 12 2 2 5 3 2" xfId="14356"/>
    <cellStyle name="Normal 12 2 2 5 3 3" xfId="20508"/>
    <cellStyle name="Normal 12 2 2 5 4" xfId="11290"/>
    <cellStyle name="Normal 12 2 2 5 5" xfId="17442"/>
    <cellStyle name="Normal 12 2 2 6" xfId="5828"/>
    <cellStyle name="Normal 12 2 2 6 2" xfId="8928"/>
    <cellStyle name="Normal 12 2 2 6 2 2" xfId="15121"/>
    <cellStyle name="Normal 12 2 2 6 2 3" xfId="21273"/>
    <cellStyle name="Normal 12 2 2 6 3" xfId="12055"/>
    <cellStyle name="Normal 12 2 2 6 4" xfId="18207"/>
    <cellStyle name="Normal 12 2 2 7" xfId="7393"/>
    <cellStyle name="Normal 12 2 2 7 2" xfId="13587"/>
    <cellStyle name="Normal 12 2 2 7 3" xfId="19739"/>
    <cellStyle name="Normal 12 2 2 8" xfId="10521"/>
    <cellStyle name="Normal 12 2 2 9" xfId="16673"/>
    <cellStyle name="Normal 12 2 3" xfId="3463"/>
    <cellStyle name="Normal 12 2 3 2" xfId="3464"/>
    <cellStyle name="Normal 12 2 3 2 2" xfId="4993"/>
    <cellStyle name="Normal 12 2 3 2 2 2" xfId="6618"/>
    <cellStyle name="Normal 12 2 3 2 2 2 2" xfId="9704"/>
    <cellStyle name="Normal 12 2 3 2 2 2 2 2" xfId="15897"/>
    <cellStyle name="Normal 12 2 3 2 2 2 2 3" xfId="22049"/>
    <cellStyle name="Normal 12 2 3 2 2 2 3" xfId="12831"/>
    <cellStyle name="Normal 12 2 3 2 2 2 4" xfId="18983"/>
    <cellStyle name="Normal 12 2 3 2 2 3" xfId="8169"/>
    <cellStyle name="Normal 12 2 3 2 2 3 2" xfId="14363"/>
    <cellStyle name="Normal 12 2 3 2 2 3 3" xfId="20515"/>
    <cellStyle name="Normal 12 2 3 2 2 4" xfId="11297"/>
    <cellStyle name="Normal 12 2 3 2 2 5" xfId="17449"/>
    <cellStyle name="Normal 12 2 3 2 3" xfId="5835"/>
    <cellStyle name="Normal 12 2 3 2 3 2" xfId="8935"/>
    <cellStyle name="Normal 12 2 3 2 3 2 2" xfId="15128"/>
    <cellStyle name="Normal 12 2 3 2 3 2 3" xfId="21280"/>
    <cellStyle name="Normal 12 2 3 2 3 3" xfId="12062"/>
    <cellStyle name="Normal 12 2 3 2 3 4" xfId="18214"/>
    <cellStyle name="Normal 12 2 3 2 4" xfId="7400"/>
    <cellStyle name="Normal 12 2 3 2 4 2" xfId="13594"/>
    <cellStyle name="Normal 12 2 3 2 4 3" xfId="19746"/>
    <cellStyle name="Normal 12 2 3 2 5" xfId="10528"/>
    <cellStyle name="Normal 12 2 3 2 6" xfId="16680"/>
    <cellStyle name="Normal 12 2 3 3" xfId="4992"/>
    <cellStyle name="Normal 12 2 3 3 2" xfId="6617"/>
    <cellStyle name="Normal 12 2 3 3 2 2" xfId="9703"/>
    <cellStyle name="Normal 12 2 3 3 2 2 2" xfId="15896"/>
    <cellStyle name="Normal 12 2 3 3 2 2 3" xfId="22048"/>
    <cellStyle name="Normal 12 2 3 3 2 3" xfId="12830"/>
    <cellStyle name="Normal 12 2 3 3 2 4" xfId="18982"/>
    <cellStyle name="Normal 12 2 3 3 3" xfId="8168"/>
    <cellStyle name="Normal 12 2 3 3 3 2" xfId="14362"/>
    <cellStyle name="Normal 12 2 3 3 3 3" xfId="20514"/>
    <cellStyle name="Normal 12 2 3 3 4" xfId="11296"/>
    <cellStyle name="Normal 12 2 3 3 5" xfId="17448"/>
    <cellStyle name="Normal 12 2 3 4" xfId="5834"/>
    <cellStyle name="Normal 12 2 3 4 2" xfId="8934"/>
    <cellStyle name="Normal 12 2 3 4 2 2" xfId="15127"/>
    <cellStyle name="Normal 12 2 3 4 2 3" xfId="21279"/>
    <cellStyle name="Normal 12 2 3 4 3" xfId="12061"/>
    <cellStyle name="Normal 12 2 3 4 4" xfId="18213"/>
    <cellStyle name="Normal 12 2 3 5" xfId="7399"/>
    <cellStyle name="Normal 12 2 3 5 2" xfId="13593"/>
    <cellStyle name="Normal 12 2 3 5 3" xfId="19745"/>
    <cellStyle name="Normal 12 2 3 6" xfId="10527"/>
    <cellStyle name="Normal 12 2 3 7" xfId="16679"/>
    <cellStyle name="Normal 12 2 4" xfId="3465"/>
    <cellStyle name="Normal 12 2 4 2" xfId="3466"/>
    <cellStyle name="Normal 12 2 4 2 2" xfId="4995"/>
    <cellStyle name="Normal 12 2 4 2 2 2" xfId="6620"/>
    <cellStyle name="Normal 12 2 4 2 2 2 2" xfId="9706"/>
    <cellStyle name="Normal 12 2 4 2 2 2 2 2" xfId="15899"/>
    <cellStyle name="Normal 12 2 4 2 2 2 2 3" xfId="22051"/>
    <cellStyle name="Normal 12 2 4 2 2 2 3" xfId="12833"/>
    <cellStyle name="Normal 12 2 4 2 2 2 4" xfId="18985"/>
    <cellStyle name="Normal 12 2 4 2 2 3" xfId="8171"/>
    <cellStyle name="Normal 12 2 4 2 2 3 2" xfId="14365"/>
    <cellStyle name="Normal 12 2 4 2 2 3 3" xfId="20517"/>
    <cellStyle name="Normal 12 2 4 2 2 4" xfId="11299"/>
    <cellStyle name="Normal 12 2 4 2 2 5" xfId="17451"/>
    <cellStyle name="Normal 12 2 4 2 3" xfId="5837"/>
    <cellStyle name="Normal 12 2 4 2 3 2" xfId="8937"/>
    <cellStyle name="Normal 12 2 4 2 3 2 2" xfId="15130"/>
    <cellStyle name="Normal 12 2 4 2 3 2 3" xfId="21282"/>
    <cellStyle name="Normal 12 2 4 2 3 3" xfId="12064"/>
    <cellStyle name="Normal 12 2 4 2 3 4" xfId="18216"/>
    <cellStyle name="Normal 12 2 4 2 4" xfId="7402"/>
    <cellStyle name="Normal 12 2 4 2 4 2" xfId="13596"/>
    <cellStyle name="Normal 12 2 4 2 4 3" xfId="19748"/>
    <cellStyle name="Normal 12 2 4 2 5" xfId="10530"/>
    <cellStyle name="Normal 12 2 4 2 6" xfId="16682"/>
    <cellStyle name="Normal 12 2 4 3" xfId="4994"/>
    <cellStyle name="Normal 12 2 4 3 2" xfId="6619"/>
    <cellStyle name="Normal 12 2 4 3 2 2" xfId="9705"/>
    <cellStyle name="Normal 12 2 4 3 2 2 2" xfId="15898"/>
    <cellStyle name="Normal 12 2 4 3 2 2 3" xfId="22050"/>
    <cellStyle name="Normal 12 2 4 3 2 3" xfId="12832"/>
    <cellStyle name="Normal 12 2 4 3 2 4" xfId="18984"/>
    <cellStyle name="Normal 12 2 4 3 3" xfId="8170"/>
    <cellStyle name="Normal 12 2 4 3 3 2" xfId="14364"/>
    <cellStyle name="Normal 12 2 4 3 3 3" xfId="20516"/>
    <cellStyle name="Normal 12 2 4 3 4" xfId="11298"/>
    <cellStyle name="Normal 12 2 4 3 5" xfId="17450"/>
    <cellStyle name="Normal 12 2 4 4" xfId="5836"/>
    <cellStyle name="Normal 12 2 4 4 2" xfId="8936"/>
    <cellStyle name="Normal 12 2 4 4 2 2" xfId="15129"/>
    <cellStyle name="Normal 12 2 4 4 2 3" xfId="21281"/>
    <cellStyle name="Normal 12 2 4 4 3" xfId="12063"/>
    <cellStyle name="Normal 12 2 4 4 4" xfId="18215"/>
    <cellStyle name="Normal 12 2 4 5" xfId="7401"/>
    <cellStyle name="Normal 12 2 4 5 2" xfId="13595"/>
    <cellStyle name="Normal 12 2 4 5 3" xfId="19747"/>
    <cellStyle name="Normal 12 2 4 6" xfId="10529"/>
    <cellStyle name="Normal 12 2 4 7" xfId="16681"/>
    <cellStyle name="Normal 12 2 5" xfId="3467"/>
    <cellStyle name="Normal 12 2 5 2" xfId="3468"/>
    <cellStyle name="Normal 12 2 5 2 2" xfId="4996"/>
    <cellStyle name="Normal 12 2 5 2 2 2" xfId="6621"/>
    <cellStyle name="Normal 12 2 5 2 2 2 2" xfId="9707"/>
    <cellStyle name="Normal 12 2 5 2 2 2 2 2" xfId="15900"/>
    <cellStyle name="Normal 12 2 5 2 2 2 2 3" xfId="22052"/>
    <cellStyle name="Normal 12 2 5 2 2 2 3" xfId="12834"/>
    <cellStyle name="Normal 12 2 5 2 2 2 4" xfId="18986"/>
    <cellStyle name="Normal 12 2 5 2 2 3" xfId="8172"/>
    <cellStyle name="Normal 12 2 5 2 2 3 2" xfId="14366"/>
    <cellStyle name="Normal 12 2 5 2 2 3 3" xfId="20518"/>
    <cellStyle name="Normal 12 2 5 2 2 4" xfId="11300"/>
    <cellStyle name="Normal 12 2 5 2 2 5" xfId="17452"/>
    <cellStyle name="Normal 12 2 5 2 3" xfId="5838"/>
    <cellStyle name="Normal 12 2 5 2 3 2" xfId="8938"/>
    <cellStyle name="Normal 12 2 5 2 3 2 2" xfId="15131"/>
    <cellStyle name="Normal 12 2 5 2 3 2 3" xfId="21283"/>
    <cellStyle name="Normal 12 2 5 2 3 3" xfId="12065"/>
    <cellStyle name="Normal 12 2 5 2 3 4" xfId="18217"/>
    <cellStyle name="Normal 12 2 5 2 4" xfId="7403"/>
    <cellStyle name="Normal 12 2 5 2 4 2" xfId="13597"/>
    <cellStyle name="Normal 12 2 5 2 4 3" xfId="19749"/>
    <cellStyle name="Normal 12 2 5 2 5" xfId="10531"/>
    <cellStyle name="Normal 12 2 5 2 6" xfId="16683"/>
    <cellStyle name="Normal 12 2 6" xfId="3469"/>
    <cellStyle name="Normal 12 2 6 2" xfId="4997"/>
    <cellStyle name="Normal 12 2 6 2 2" xfId="6622"/>
    <cellStyle name="Normal 12 2 6 2 2 2" xfId="9708"/>
    <cellStyle name="Normal 12 2 6 2 2 2 2" xfId="15901"/>
    <cellStyle name="Normal 12 2 6 2 2 2 3" xfId="22053"/>
    <cellStyle name="Normal 12 2 6 2 2 3" xfId="12835"/>
    <cellStyle name="Normal 12 2 6 2 2 4" xfId="18987"/>
    <cellStyle name="Normal 12 2 6 2 3" xfId="8173"/>
    <cellStyle name="Normal 12 2 6 2 3 2" xfId="14367"/>
    <cellStyle name="Normal 12 2 6 2 3 3" xfId="20519"/>
    <cellStyle name="Normal 12 2 6 2 4" xfId="11301"/>
    <cellStyle name="Normal 12 2 6 2 5" xfId="17453"/>
    <cellStyle name="Normal 12 2 6 3" xfId="5839"/>
    <cellStyle name="Normal 12 2 6 3 2" xfId="8939"/>
    <cellStyle name="Normal 12 2 6 3 2 2" xfId="15132"/>
    <cellStyle name="Normal 12 2 6 3 2 3" xfId="21284"/>
    <cellStyle name="Normal 12 2 6 3 3" xfId="12066"/>
    <cellStyle name="Normal 12 2 6 3 4" xfId="18218"/>
    <cellStyle name="Normal 12 2 6 4" xfId="7404"/>
    <cellStyle name="Normal 12 2 6 4 2" xfId="13598"/>
    <cellStyle name="Normal 12 2 6 4 3" xfId="19750"/>
    <cellStyle name="Normal 12 2 6 5" xfId="10532"/>
    <cellStyle name="Normal 12 2 6 6" xfId="16684"/>
    <cellStyle name="Normal 12 2 7" xfId="3456"/>
    <cellStyle name="Normal 12 2 8" xfId="23219"/>
    <cellStyle name="Normal 12 3" xfId="130"/>
    <cellStyle name="Normal 12 3 10" xfId="3470"/>
    <cellStyle name="Normal 12 3 11" xfId="23220"/>
    <cellStyle name="Normal 12 3 2" xfId="3471"/>
    <cellStyle name="Normal 12 3 2 2" xfId="3472"/>
    <cellStyle name="Normal 12 3 2 2 2" xfId="5000"/>
    <cellStyle name="Normal 12 3 2 2 2 2" xfId="6625"/>
    <cellStyle name="Normal 12 3 2 2 2 2 2" xfId="9711"/>
    <cellStyle name="Normal 12 3 2 2 2 2 2 2" xfId="15904"/>
    <cellStyle name="Normal 12 3 2 2 2 2 2 3" xfId="22056"/>
    <cellStyle name="Normal 12 3 2 2 2 2 3" xfId="12838"/>
    <cellStyle name="Normal 12 3 2 2 2 2 4" xfId="18990"/>
    <cellStyle name="Normal 12 3 2 2 2 3" xfId="8176"/>
    <cellStyle name="Normal 12 3 2 2 2 3 2" xfId="14370"/>
    <cellStyle name="Normal 12 3 2 2 2 3 3" xfId="20522"/>
    <cellStyle name="Normal 12 3 2 2 2 4" xfId="11304"/>
    <cellStyle name="Normal 12 3 2 2 2 5" xfId="17456"/>
    <cellStyle name="Normal 12 3 2 2 3" xfId="5842"/>
    <cellStyle name="Normal 12 3 2 2 3 2" xfId="8942"/>
    <cellStyle name="Normal 12 3 2 2 3 2 2" xfId="15135"/>
    <cellStyle name="Normal 12 3 2 2 3 2 3" xfId="21287"/>
    <cellStyle name="Normal 12 3 2 2 3 3" xfId="12069"/>
    <cellStyle name="Normal 12 3 2 2 3 4" xfId="18221"/>
    <cellStyle name="Normal 12 3 2 2 4" xfId="7407"/>
    <cellStyle name="Normal 12 3 2 2 4 2" xfId="13601"/>
    <cellStyle name="Normal 12 3 2 2 4 3" xfId="19753"/>
    <cellStyle name="Normal 12 3 2 2 5" xfId="10535"/>
    <cellStyle name="Normal 12 3 2 2 6" xfId="16687"/>
    <cellStyle name="Normal 12 3 2 3" xfId="4999"/>
    <cellStyle name="Normal 12 3 2 3 2" xfId="6624"/>
    <cellStyle name="Normal 12 3 2 3 2 2" xfId="9710"/>
    <cellStyle name="Normal 12 3 2 3 2 2 2" xfId="15903"/>
    <cellStyle name="Normal 12 3 2 3 2 2 3" xfId="22055"/>
    <cellStyle name="Normal 12 3 2 3 2 3" xfId="12837"/>
    <cellStyle name="Normal 12 3 2 3 2 4" xfId="18989"/>
    <cellStyle name="Normal 12 3 2 3 3" xfId="8175"/>
    <cellStyle name="Normal 12 3 2 3 3 2" xfId="14369"/>
    <cellStyle name="Normal 12 3 2 3 3 3" xfId="20521"/>
    <cellStyle name="Normal 12 3 2 3 4" xfId="11303"/>
    <cellStyle name="Normal 12 3 2 3 5" xfId="17455"/>
    <cellStyle name="Normal 12 3 2 4" xfId="5841"/>
    <cellStyle name="Normal 12 3 2 4 2" xfId="8941"/>
    <cellStyle name="Normal 12 3 2 4 2 2" xfId="15134"/>
    <cellStyle name="Normal 12 3 2 4 2 3" xfId="21286"/>
    <cellStyle name="Normal 12 3 2 4 3" xfId="12068"/>
    <cellStyle name="Normal 12 3 2 4 4" xfId="18220"/>
    <cellStyle name="Normal 12 3 2 5" xfId="7406"/>
    <cellStyle name="Normal 12 3 2 5 2" xfId="13600"/>
    <cellStyle name="Normal 12 3 2 5 3" xfId="19752"/>
    <cellStyle name="Normal 12 3 2 6" xfId="10534"/>
    <cellStyle name="Normal 12 3 2 7" xfId="16686"/>
    <cellStyle name="Normal 12 3 3" xfId="3473"/>
    <cellStyle name="Normal 12 3 3 2" xfId="3474"/>
    <cellStyle name="Normal 12 3 3 2 2" xfId="5002"/>
    <cellStyle name="Normal 12 3 3 2 2 2" xfId="6627"/>
    <cellStyle name="Normal 12 3 3 2 2 2 2" xfId="9713"/>
    <cellStyle name="Normal 12 3 3 2 2 2 2 2" xfId="15906"/>
    <cellStyle name="Normal 12 3 3 2 2 2 2 3" xfId="22058"/>
    <cellStyle name="Normal 12 3 3 2 2 2 3" xfId="12840"/>
    <cellStyle name="Normal 12 3 3 2 2 2 4" xfId="18992"/>
    <cellStyle name="Normal 12 3 3 2 2 3" xfId="8178"/>
    <cellStyle name="Normal 12 3 3 2 2 3 2" xfId="14372"/>
    <cellStyle name="Normal 12 3 3 2 2 3 3" xfId="20524"/>
    <cellStyle name="Normal 12 3 3 2 2 4" xfId="11306"/>
    <cellStyle name="Normal 12 3 3 2 2 5" xfId="17458"/>
    <cellStyle name="Normal 12 3 3 2 3" xfId="5844"/>
    <cellStyle name="Normal 12 3 3 2 3 2" xfId="8944"/>
    <cellStyle name="Normal 12 3 3 2 3 2 2" xfId="15137"/>
    <cellStyle name="Normal 12 3 3 2 3 2 3" xfId="21289"/>
    <cellStyle name="Normal 12 3 3 2 3 3" xfId="12071"/>
    <cellStyle name="Normal 12 3 3 2 3 4" xfId="18223"/>
    <cellStyle name="Normal 12 3 3 2 4" xfId="7409"/>
    <cellStyle name="Normal 12 3 3 2 4 2" xfId="13603"/>
    <cellStyle name="Normal 12 3 3 2 4 3" xfId="19755"/>
    <cellStyle name="Normal 12 3 3 2 5" xfId="10537"/>
    <cellStyle name="Normal 12 3 3 2 6" xfId="16689"/>
    <cellStyle name="Normal 12 3 3 3" xfId="5001"/>
    <cellStyle name="Normal 12 3 3 3 2" xfId="6626"/>
    <cellStyle name="Normal 12 3 3 3 2 2" xfId="9712"/>
    <cellStyle name="Normal 12 3 3 3 2 2 2" xfId="15905"/>
    <cellStyle name="Normal 12 3 3 3 2 2 3" xfId="22057"/>
    <cellStyle name="Normal 12 3 3 3 2 3" xfId="12839"/>
    <cellStyle name="Normal 12 3 3 3 2 4" xfId="18991"/>
    <cellStyle name="Normal 12 3 3 3 3" xfId="8177"/>
    <cellStyle name="Normal 12 3 3 3 3 2" xfId="14371"/>
    <cellStyle name="Normal 12 3 3 3 3 3" xfId="20523"/>
    <cellStyle name="Normal 12 3 3 3 4" xfId="11305"/>
    <cellStyle name="Normal 12 3 3 3 5" xfId="17457"/>
    <cellStyle name="Normal 12 3 3 4" xfId="5843"/>
    <cellStyle name="Normal 12 3 3 4 2" xfId="8943"/>
    <cellStyle name="Normal 12 3 3 4 2 2" xfId="15136"/>
    <cellStyle name="Normal 12 3 3 4 2 3" xfId="21288"/>
    <cellStyle name="Normal 12 3 3 4 3" xfId="12070"/>
    <cellStyle name="Normal 12 3 3 4 4" xfId="18222"/>
    <cellStyle name="Normal 12 3 3 5" xfId="7408"/>
    <cellStyle name="Normal 12 3 3 5 2" xfId="13602"/>
    <cellStyle name="Normal 12 3 3 5 3" xfId="19754"/>
    <cellStyle name="Normal 12 3 3 6" xfId="10536"/>
    <cellStyle name="Normal 12 3 3 7" xfId="16688"/>
    <cellStyle name="Normal 12 3 4" xfId="3475"/>
    <cellStyle name="Normal 12 3 4 2" xfId="5003"/>
    <cellStyle name="Normal 12 3 4 2 2" xfId="6628"/>
    <cellStyle name="Normal 12 3 4 2 2 2" xfId="9714"/>
    <cellStyle name="Normal 12 3 4 2 2 2 2" xfId="15907"/>
    <cellStyle name="Normal 12 3 4 2 2 2 3" xfId="22059"/>
    <cellStyle name="Normal 12 3 4 2 2 3" xfId="12841"/>
    <cellStyle name="Normal 12 3 4 2 2 4" xfId="18993"/>
    <cellStyle name="Normal 12 3 4 2 3" xfId="8179"/>
    <cellStyle name="Normal 12 3 4 2 3 2" xfId="14373"/>
    <cellStyle name="Normal 12 3 4 2 3 3" xfId="20525"/>
    <cellStyle name="Normal 12 3 4 2 4" xfId="11307"/>
    <cellStyle name="Normal 12 3 4 2 5" xfId="17459"/>
    <cellStyle name="Normal 12 3 4 3" xfId="5845"/>
    <cellStyle name="Normal 12 3 4 3 2" xfId="8945"/>
    <cellStyle name="Normal 12 3 4 3 2 2" xfId="15138"/>
    <cellStyle name="Normal 12 3 4 3 2 3" xfId="21290"/>
    <cellStyle name="Normal 12 3 4 3 3" xfId="12072"/>
    <cellStyle name="Normal 12 3 4 3 4" xfId="18224"/>
    <cellStyle name="Normal 12 3 4 4" xfId="7410"/>
    <cellStyle name="Normal 12 3 4 4 2" xfId="13604"/>
    <cellStyle name="Normal 12 3 4 4 3" xfId="19756"/>
    <cellStyle name="Normal 12 3 4 5" xfId="10538"/>
    <cellStyle name="Normal 12 3 4 6" xfId="16690"/>
    <cellStyle name="Normal 12 3 5" xfId="4998"/>
    <cellStyle name="Normal 12 3 5 2" xfId="6623"/>
    <cellStyle name="Normal 12 3 5 2 2" xfId="9709"/>
    <cellStyle name="Normal 12 3 5 2 2 2" xfId="15902"/>
    <cellStyle name="Normal 12 3 5 2 2 3" xfId="22054"/>
    <cellStyle name="Normal 12 3 5 2 3" xfId="12836"/>
    <cellStyle name="Normal 12 3 5 2 4" xfId="18988"/>
    <cellStyle name="Normal 12 3 5 3" xfId="8174"/>
    <cellStyle name="Normal 12 3 5 3 2" xfId="14368"/>
    <cellStyle name="Normal 12 3 5 3 3" xfId="20520"/>
    <cellStyle name="Normal 12 3 5 4" xfId="11302"/>
    <cellStyle name="Normal 12 3 5 5" xfId="17454"/>
    <cellStyle name="Normal 12 3 6" xfId="5840"/>
    <cellStyle name="Normal 12 3 6 2" xfId="8940"/>
    <cellStyle name="Normal 12 3 6 2 2" xfId="15133"/>
    <cellStyle name="Normal 12 3 6 2 3" xfId="21285"/>
    <cellStyle name="Normal 12 3 6 3" xfId="12067"/>
    <cellStyle name="Normal 12 3 6 4" xfId="18219"/>
    <cellStyle name="Normal 12 3 7" xfId="7405"/>
    <cellStyle name="Normal 12 3 7 2" xfId="13599"/>
    <cellStyle name="Normal 12 3 7 3" xfId="19751"/>
    <cellStyle name="Normal 12 3 8" xfId="10533"/>
    <cellStyle name="Normal 12 3 9" xfId="16685"/>
    <cellStyle name="Normal 12 4" xfId="115"/>
    <cellStyle name="Normal 12 4 10" xfId="3476"/>
    <cellStyle name="Normal 12 4 11" xfId="23221"/>
    <cellStyle name="Normal 12 4 2" xfId="3477"/>
    <cellStyle name="Normal 12 4 2 2" xfId="3478"/>
    <cellStyle name="Normal 12 4 2 2 2" xfId="5006"/>
    <cellStyle name="Normal 12 4 2 2 2 2" xfId="6631"/>
    <cellStyle name="Normal 12 4 2 2 2 2 2" xfId="9717"/>
    <cellStyle name="Normal 12 4 2 2 2 2 2 2" xfId="15910"/>
    <cellStyle name="Normal 12 4 2 2 2 2 2 3" xfId="22062"/>
    <cellStyle name="Normal 12 4 2 2 2 2 3" xfId="12844"/>
    <cellStyle name="Normal 12 4 2 2 2 2 4" xfId="18996"/>
    <cellStyle name="Normal 12 4 2 2 2 3" xfId="8182"/>
    <cellStyle name="Normal 12 4 2 2 2 3 2" xfId="14376"/>
    <cellStyle name="Normal 12 4 2 2 2 3 3" xfId="20528"/>
    <cellStyle name="Normal 12 4 2 2 2 4" xfId="11310"/>
    <cellStyle name="Normal 12 4 2 2 2 5" xfId="17462"/>
    <cellStyle name="Normal 12 4 2 2 3" xfId="5848"/>
    <cellStyle name="Normal 12 4 2 2 3 2" xfId="8948"/>
    <cellStyle name="Normal 12 4 2 2 3 2 2" xfId="15141"/>
    <cellStyle name="Normal 12 4 2 2 3 2 3" xfId="21293"/>
    <cellStyle name="Normal 12 4 2 2 3 3" xfId="12075"/>
    <cellStyle name="Normal 12 4 2 2 3 4" xfId="18227"/>
    <cellStyle name="Normal 12 4 2 2 4" xfId="7413"/>
    <cellStyle name="Normal 12 4 2 2 4 2" xfId="13607"/>
    <cellStyle name="Normal 12 4 2 2 4 3" xfId="19759"/>
    <cellStyle name="Normal 12 4 2 2 5" xfId="10541"/>
    <cellStyle name="Normal 12 4 2 2 6" xfId="16693"/>
    <cellStyle name="Normal 12 4 2 3" xfId="5005"/>
    <cellStyle name="Normal 12 4 2 3 2" xfId="6630"/>
    <cellStyle name="Normal 12 4 2 3 2 2" xfId="9716"/>
    <cellStyle name="Normal 12 4 2 3 2 2 2" xfId="15909"/>
    <cellStyle name="Normal 12 4 2 3 2 2 3" xfId="22061"/>
    <cellStyle name="Normal 12 4 2 3 2 3" xfId="12843"/>
    <cellStyle name="Normal 12 4 2 3 2 4" xfId="18995"/>
    <cellStyle name="Normal 12 4 2 3 3" xfId="8181"/>
    <cellStyle name="Normal 12 4 2 3 3 2" xfId="14375"/>
    <cellStyle name="Normal 12 4 2 3 3 3" xfId="20527"/>
    <cellStyle name="Normal 12 4 2 3 4" xfId="11309"/>
    <cellStyle name="Normal 12 4 2 3 5" xfId="17461"/>
    <cellStyle name="Normal 12 4 2 4" xfId="5847"/>
    <cellStyle name="Normal 12 4 2 4 2" xfId="8947"/>
    <cellStyle name="Normal 12 4 2 4 2 2" xfId="15140"/>
    <cellStyle name="Normal 12 4 2 4 2 3" xfId="21292"/>
    <cellStyle name="Normal 12 4 2 4 3" xfId="12074"/>
    <cellStyle name="Normal 12 4 2 4 4" xfId="18226"/>
    <cellStyle name="Normal 12 4 2 5" xfId="7412"/>
    <cellStyle name="Normal 12 4 2 5 2" xfId="13606"/>
    <cellStyle name="Normal 12 4 2 5 3" xfId="19758"/>
    <cellStyle name="Normal 12 4 2 6" xfId="10540"/>
    <cellStyle name="Normal 12 4 2 7" xfId="16692"/>
    <cellStyle name="Normal 12 4 3" xfId="3479"/>
    <cellStyle name="Normal 12 4 3 2" xfId="3480"/>
    <cellStyle name="Normal 12 4 3 2 2" xfId="5008"/>
    <cellStyle name="Normal 12 4 3 2 2 2" xfId="6633"/>
    <cellStyle name="Normal 12 4 3 2 2 2 2" xfId="9719"/>
    <cellStyle name="Normal 12 4 3 2 2 2 2 2" xfId="15912"/>
    <cellStyle name="Normal 12 4 3 2 2 2 2 3" xfId="22064"/>
    <cellStyle name="Normal 12 4 3 2 2 2 3" xfId="12846"/>
    <cellStyle name="Normal 12 4 3 2 2 2 4" xfId="18998"/>
    <cellStyle name="Normal 12 4 3 2 2 3" xfId="8184"/>
    <cellStyle name="Normal 12 4 3 2 2 3 2" xfId="14378"/>
    <cellStyle name="Normal 12 4 3 2 2 3 3" xfId="20530"/>
    <cellStyle name="Normal 12 4 3 2 2 4" xfId="11312"/>
    <cellStyle name="Normal 12 4 3 2 2 5" xfId="17464"/>
    <cellStyle name="Normal 12 4 3 2 3" xfId="5850"/>
    <cellStyle name="Normal 12 4 3 2 3 2" xfId="8950"/>
    <cellStyle name="Normal 12 4 3 2 3 2 2" xfId="15143"/>
    <cellStyle name="Normal 12 4 3 2 3 2 3" xfId="21295"/>
    <cellStyle name="Normal 12 4 3 2 3 3" xfId="12077"/>
    <cellStyle name="Normal 12 4 3 2 3 4" xfId="18229"/>
    <cellStyle name="Normal 12 4 3 2 4" xfId="7415"/>
    <cellStyle name="Normal 12 4 3 2 4 2" xfId="13609"/>
    <cellStyle name="Normal 12 4 3 2 4 3" xfId="19761"/>
    <cellStyle name="Normal 12 4 3 2 5" xfId="10543"/>
    <cellStyle name="Normal 12 4 3 2 6" xfId="16695"/>
    <cellStyle name="Normal 12 4 3 3" xfId="5007"/>
    <cellStyle name="Normal 12 4 3 3 2" xfId="6632"/>
    <cellStyle name="Normal 12 4 3 3 2 2" xfId="9718"/>
    <cellStyle name="Normal 12 4 3 3 2 2 2" xfId="15911"/>
    <cellStyle name="Normal 12 4 3 3 2 2 3" xfId="22063"/>
    <cellStyle name="Normal 12 4 3 3 2 3" xfId="12845"/>
    <cellStyle name="Normal 12 4 3 3 2 4" xfId="18997"/>
    <cellStyle name="Normal 12 4 3 3 3" xfId="8183"/>
    <cellStyle name="Normal 12 4 3 3 3 2" xfId="14377"/>
    <cellStyle name="Normal 12 4 3 3 3 3" xfId="20529"/>
    <cellStyle name="Normal 12 4 3 3 4" xfId="11311"/>
    <cellStyle name="Normal 12 4 3 3 5" xfId="17463"/>
    <cellStyle name="Normal 12 4 3 4" xfId="5849"/>
    <cellStyle name="Normal 12 4 3 4 2" xfId="8949"/>
    <cellStyle name="Normal 12 4 3 4 2 2" xfId="15142"/>
    <cellStyle name="Normal 12 4 3 4 2 3" xfId="21294"/>
    <cellStyle name="Normal 12 4 3 4 3" xfId="12076"/>
    <cellStyle name="Normal 12 4 3 4 4" xfId="18228"/>
    <cellStyle name="Normal 12 4 3 5" xfId="7414"/>
    <cellStyle name="Normal 12 4 3 5 2" xfId="13608"/>
    <cellStyle name="Normal 12 4 3 5 3" xfId="19760"/>
    <cellStyle name="Normal 12 4 3 6" xfId="10542"/>
    <cellStyle name="Normal 12 4 3 7" xfId="16694"/>
    <cellStyle name="Normal 12 4 4" xfId="3481"/>
    <cellStyle name="Normal 12 4 4 2" xfId="5009"/>
    <cellStyle name="Normal 12 4 4 2 2" xfId="6634"/>
    <cellStyle name="Normal 12 4 4 2 2 2" xfId="9720"/>
    <cellStyle name="Normal 12 4 4 2 2 2 2" xfId="15913"/>
    <cellStyle name="Normal 12 4 4 2 2 2 3" xfId="22065"/>
    <cellStyle name="Normal 12 4 4 2 2 3" xfId="12847"/>
    <cellStyle name="Normal 12 4 4 2 2 4" xfId="18999"/>
    <cellStyle name="Normal 12 4 4 2 3" xfId="8185"/>
    <cellStyle name="Normal 12 4 4 2 3 2" xfId="14379"/>
    <cellStyle name="Normal 12 4 4 2 3 3" xfId="20531"/>
    <cellStyle name="Normal 12 4 4 2 4" xfId="11313"/>
    <cellStyle name="Normal 12 4 4 2 5" xfId="17465"/>
    <cellStyle name="Normal 12 4 4 3" xfId="5851"/>
    <cellStyle name="Normal 12 4 4 3 2" xfId="8951"/>
    <cellStyle name="Normal 12 4 4 3 2 2" xfId="15144"/>
    <cellStyle name="Normal 12 4 4 3 2 3" xfId="21296"/>
    <cellStyle name="Normal 12 4 4 3 3" xfId="12078"/>
    <cellStyle name="Normal 12 4 4 3 4" xfId="18230"/>
    <cellStyle name="Normal 12 4 4 4" xfId="7416"/>
    <cellStyle name="Normal 12 4 4 4 2" xfId="13610"/>
    <cellStyle name="Normal 12 4 4 4 3" xfId="19762"/>
    <cellStyle name="Normal 12 4 4 5" xfId="10544"/>
    <cellStyle name="Normal 12 4 4 6" xfId="16696"/>
    <cellStyle name="Normal 12 4 5" xfId="5004"/>
    <cellStyle name="Normal 12 4 5 2" xfId="6629"/>
    <cellStyle name="Normal 12 4 5 2 2" xfId="9715"/>
    <cellStyle name="Normal 12 4 5 2 2 2" xfId="15908"/>
    <cellStyle name="Normal 12 4 5 2 2 3" xfId="22060"/>
    <cellStyle name="Normal 12 4 5 2 3" xfId="12842"/>
    <cellStyle name="Normal 12 4 5 2 4" xfId="18994"/>
    <cellStyle name="Normal 12 4 5 3" xfId="8180"/>
    <cellStyle name="Normal 12 4 5 3 2" xfId="14374"/>
    <cellStyle name="Normal 12 4 5 3 3" xfId="20526"/>
    <cellStyle name="Normal 12 4 5 4" xfId="11308"/>
    <cellStyle name="Normal 12 4 5 5" xfId="17460"/>
    <cellStyle name="Normal 12 4 6" xfId="5846"/>
    <cellStyle name="Normal 12 4 6 2" xfId="8946"/>
    <cellStyle name="Normal 12 4 6 2 2" xfId="15139"/>
    <cellStyle name="Normal 12 4 6 2 3" xfId="21291"/>
    <cellStyle name="Normal 12 4 6 3" xfId="12073"/>
    <cellStyle name="Normal 12 4 6 4" xfId="18225"/>
    <cellStyle name="Normal 12 4 7" xfId="7411"/>
    <cellStyle name="Normal 12 4 7 2" xfId="13605"/>
    <cellStyle name="Normal 12 4 7 3" xfId="19757"/>
    <cellStyle name="Normal 12 4 8" xfId="10539"/>
    <cellStyle name="Normal 12 4 9" xfId="16691"/>
    <cellStyle name="Normal 12 5" xfId="3482"/>
    <cellStyle name="Normal 12 5 2" xfId="3483"/>
    <cellStyle name="Normal 12 5 2 2" xfId="5011"/>
    <cellStyle name="Normal 12 5 2 2 2" xfId="6636"/>
    <cellStyle name="Normal 12 5 2 2 2 2" xfId="9722"/>
    <cellStyle name="Normal 12 5 2 2 2 2 2" xfId="15915"/>
    <cellStyle name="Normal 12 5 2 2 2 2 3" xfId="22067"/>
    <cellStyle name="Normal 12 5 2 2 2 3" xfId="12849"/>
    <cellStyle name="Normal 12 5 2 2 2 4" xfId="19001"/>
    <cellStyle name="Normal 12 5 2 2 3" xfId="8187"/>
    <cellStyle name="Normal 12 5 2 2 3 2" xfId="14381"/>
    <cellStyle name="Normal 12 5 2 2 3 3" xfId="20533"/>
    <cellStyle name="Normal 12 5 2 2 4" xfId="11315"/>
    <cellStyle name="Normal 12 5 2 2 5" xfId="17467"/>
    <cellStyle name="Normal 12 5 2 3" xfId="5853"/>
    <cellStyle name="Normal 12 5 2 3 2" xfId="8953"/>
    <cellStyle name="Normal 12 5 2 3 2 2" xfId="15146"/>
    <cellStyle name="Normal 12 5 2 3 2 3" xfId="21298"/>
    <cellStyle name="Normal 12 5 2 3 3" xfId="12080"/>
    <cellStyle name="Normal 12 5 2 3 4" xfId="18232"/>
    <cellStyle name="Normal 12 5 2 4" xfId="7418"/>
    <cellStyle name="Normal 12 5 2 4 2" xfId="13612"/>
    <cellStyle name="Normal 12 5 2 4 3" xfId="19764"/>
    <cellStyle name="Normal 12 5 2 5" xfId="10546"/>
    <cellStyle name="Normal 12 5 2 6" xfId="16698"/>
    <cellStyle name="Normal 12 5 3" xfId="5010"/>
    <cellStyle name="Normal 12 5 3 2" xfId="6635"/>
    <cellStyle name="Normal 12 5 3 2 2" xfId="9721"/>
    <cellStyle name="Normal 12 5 3 2 2 2" xfId="15914"/>
    <cellStyle name="Normal 12 5 3 2 2 3" xfId="22066"/>
    <cellStyle name="Normal 12 5 3 2 3" xfId="12848"/>
    <cellStyle name="Normal 12 5 3 2 4" xfId="19000"/>
    <cellStyle name="Normal 12 5 3 3" xfId="8186"/>
    <cellStyle name="Normal 12 5 3 3 2" xfId="14380"/>
    <cellStyle name="Normal 12 5 3 3 3" xfId="20532"/>
    <cellStyle name="Normal 12 5 3 4" xfId="11314"/>
    <cellStyle name="Normal 12 5 3 5" xfId="17466"/>
    <cellStyle name="Normal 12 5 4" xfId="5852"/>
    <cellStyle name="Normal 12 5 4 2" xfId="8952"/>
    <cellStyle name="Normal 12 5 4 2 2" xfId="15145"/>
    <cellStyle name="Normal 12 5 4 2 3" xfId="21297"/>
    <cellStyle name="Normal 12 5 4 3" xfId="12079"/>
    <cellStyle name="Normal 12 5 4 4" xfId="18231"/>
    <cellStyle name="Normal 12 5 5" xfId="7417"/>
    <cellStyle name="Normal 12 5 5 2" xfId="13611"/>
    <cellStyle name="Normal 12 5 5 3" xfId="19763"/>
    <cellStyle name="Normal 12 5 6" xfId="10545"/>
    <cellStyle name="Normal 12 5 7" xfId="16697"/>
    <cellStyle name="Normal 12 5 8" xfId="23222"/>
    <cellStyle name="Normal 12 6" xfId="3484"/>
    <cellStyle name="Normal 12 6 2" xfId="3485"/>
    <cellStyle name="Normal 12 6 2 2" xfId="5013"/>
    <cellStyle name="Normal 12 6 2 2 2" xfId="6638"/>
    <cellStyle name="Normal 12 6 2 2 2 2" xfId="9724"/>
    <cellStyle name="Normal 12 6 2 2 2 2 2" xfId="15917"/>
    <cellStyle name="Normal 12 6 2 2 2 2 3" xfId="22069"/>
    <cellStyle name="Normal 12 6 2 2 2 3" xfId="12851"/>
    <cellStyle name="Normal 12 6 2 2 2 4" xfId="19003"/>
    <cellStyle name="Normal 12 6 2 2 3" xfId="8189"/>
    <cellStyle name="Normal 12 6 2 2 3 2" xfId="14383"/>
    <cellStyle name="Normal 12 6 2 2 3 3" xfId="20535"/>
    <cellStyle name="Normal 12 6 2 2 4" xfId="11317"/>
    <cellStyle name="Normal 12 6 2 2 5" xfId="17469"/>
    <cellStyle name="Normal 12 6 2 3" xfId="5855"/>
    <cellStyle name="Normal 12 6 2 3 2" xfId="8955"/>
    <cellStyle name="Normal 12 6 2 3 2 2" xfId="15148"/>
    <cellStyle name="Normal 12 6 2 3 2 3" xfId="21300"/>
    <cellStyle name="Normal 12 6 2 3 3" xfId="12082"/>
    <cellStyle name="Normal 12 6 2 3 4" xfId="18234"/>
    <cellStyle name="Normal 12 6 2 4" xfId="7420"/>
    <cellStyle name="Normal 12 6 2 4 2" xfId="13614"/>
    <cellStyle name="Normal 12 6 2 4 3" xfId="19766"/>
    <cellStyle name="Normal 12 6 2 5" xfId="10548"/>
    <cellStyle name="Normal 12 6 2 6" xfId="16700"/>
    <cellStyle name="Normal 12 6 3" xfId="5012"/>
    <cellStyle name="Normal 12 6 3 2" xfId="6637"/>
    <cellStyle name="Normal 12 6 3 2 2" xfId="9723"/>
    <cellStyle name="Normal 12 6 3 2 2 2" xfId="15916"/>
    <cellStyle name="Normal 12 6 3 2 2 3" xfId="22068"/>
    <cellStyle name="Normal 12 6 3 2 3" xfId="12850"/>
    <cellStyle name="Normal 12 6 3 2 4" xfId="19002"/>
    <cellStyle name="Normal 12 6 3 3" xfId="8188"/>
    <cellStyle name="Normal 12 6 3 3 2" xfId="14382"/>
    <cellStyle name="Normal 12 6 3 3 3" xfId="20534"/>
    <cellStyle name="Normal 12 6 3 4" xfId="11316"/>
    <cellStyle name="Normal 12 6 3 5" xfId="17468"/>
    <cellStyle name="Normal 12 6 4" xfId="5854"/>
    <cellStyle name="Normal 12 6 4 2" xfId="8954"/>
    <cellStyle name="Normal 12 6 4 2 2" xfId="15147"/>
    <cellStyle name="Normal 12 6 4 2 3" xfId="21299"/>
    <cellStyle name="Normal 12 6 4 3" xfId="12081"/>
    <cellStyle name="Normal 12 6 4 4" xfId="18233"/>
    <cellStyle name="Normal 12 6 5" xfId="7419"/>
    <cellStyle name="Normal 12 6 5 2" xfId="13613"/>
    <cellStyle name="Normal 12 6 5 3" xfId="19765"/>
    <cellStyle name="Normal 12 6 6" xfId="10547"/>
    <cellStyle name="Normal 12 6 7" xfId="16699"/>
    <cellStyle name="Normal 12 7" xfId="3486"/>
    <cellStyle name="Normal 12 7 2" xfId="5014"/>
    <cellStyle name="Normal 12 7 2 2" xfId="6639"/>
    <cellStyle name="Normal 12 7 2 2 2" xfId="9725"/>
    <cellStyle name="Normal 12 7 2 2 2 2" xfId="15918"/>
    <cellStyle name="Normal 12 7 2 2 2 3" xfId="22070"/>
    <cellStyle name="Normal 12 7 2 2 3" xfId="12852"/>
    <cellStyle name="Normal 12 7 2 2 4" xfId="19004"/>
    <cellStyle name="Normal 12 7 2 3" xfId="8190"/>
    <cellStyle name="Normal 12 7 2 3 2" xfId="14384"/>
    <cellStyle name="Normal 12 7 2 3 3" xfId="20536"/>
    <cellStyle name="Normal 12 7 2 4" xfId="11318"/>
    <cellStyle name="Normal 12 7 2 5" xfId="17470"/>
    <cellStyle name="Normal 12 7 3" xfId="5856"/>
    <cellStyle name="Normal 12 7 3 2" xfId="8956"/>
    <cellStyle name="Normal 12 7 3 2 2" xfId="15149"/>
    <cellStyle name="Normal 12 7 3 2 3" xfId="21301"/>
    <cellStyle name="Normal 12 7 3 3" xfId="12083"/>
    <cellStyle name="Normal 12 7 3 4" xfId="18235"/>
    <cellStyle name="Normal 12 7 4" xfId="7421"/>
    <cellStyle name="Normal 12 7 4 2" xfId="13615"/>
    <cellStyle name="Normal 12 7 4 3" xfId="19767"/>
    <cellStyle name="Normal 12 7 5" xfId="10549"/>
    <cellStyle name="Normal 12 7 6" xfId="16701"/>
    <cellStyle name="Normal 12 8" xfId="4985"/>
    <cellStyle name="Normal 12 8 2" xfId="6610"/>
    <cellStyle name="Normal 12 8 2 2" xfId="9696"/>
    <cellStyle name="Normal 12 8 2 2 2" xfId="15889"/>
    <cellStyle name="Normal 12 8 2 2 3" xfId="22041"/>
    <cellStyle name="Normal 12 8 2 3" xfId="12823"/>
    <cellStyle name="Normal 12 8 2 4" xfId="18975"/>
    <cellStyle name="Normal 12 8 3" xfId="8161"/>
    <cellStyle name="Normal 12 8 3 2" xfId="14355"/>
    <cellStyle name="Normal 12 8 3 3" xfId="20507"/>
    <cellStyle name="Normal 12 8 4" xfId="11289"/>
    <cellStyle name="Normal 12 8 5" xfId="17441"/>
    <cellStyle name="Normal 12 9" xfId="5827"/>
    <cellStyle name="Normal 12 9 2" xfId="8927"/>
    <cellStyle name="Normal 12 9 2 2" xfId="15120"/>
    <cellStyle name="Normal 12 9 2 3" xfId="21272"/>
    <cellStyle name="Normal 12 9 3" xfId="12054"/>
    <cellStyle name="Normal 12 9 4" xfId="18206"/>
    <cellStyle name="Normal 13" xfId="485"/>
    <cellStyle name="Normal 13 2" xfId="23224"/>
    <cellStyle name="Normal 13 3" xfId="23225"/>
    <cellStyle name="Normal 13 4" xfId="23226"/>
    <cellStyle name="Normal 13 5" xfId="23223"/>
    <cellStyle name="Normal 14" xfId="848"/>
    <cellStyle name="Normal 14 2" xfId="3487"/>
    <cellStyle name="Normal 14 3" xfId="23227"/>
    <cellStyle name="Normal 15" xfId="849"/>
    <cellStyle name="Normal 15 10" xfId="16702"/>
    <cellStyle name="Normal 15 11" xfId="3488"/>
    <cellStyle name="Normal 15 12" xfId="23228"/>
    <cellStyle name="Normal 15 2" xfId="3489"/>
    <cellStyle name="Normal 15 3" xfId="3490"/>
    <cellStyle name="Normal 15 3 2" xfId="5016"/>
    <cellStyle name="Normal 15 3 2 2" xfId="6641"/>
    <cellStyle name="Normal 15 3 2 2 2" xfId="9727"/>
    <cellStyle name="Normal 15 3 2 2 2 2" xfId="15920"/>
    <cellStyle name="Normal 15 3 2 2 2 3" xfId="22072"/>
    <cellStyle name="Normal 15 3 2 2 3" xfId="12854"/>
    <cellStyle name="Normal 15 3 2 2 4" xfId="19006"/>
    <cellStyle name="Normal 15 3 2 3" xfId="8192"/>
    <cellStyle name="Normal 15 3 2 3 2" xfId="14386"/>
    <cellStyle name="Normal 15 3 2 3 3" xfId="20538"/>
    <cellStyle name="Normal 15 3 2 4" xfId="11320"/>
    <cellStyle name="Normal 15 3 2 5" xfId="17472"/>
    <cellStyle name="Normal 15 3 3" xfId="5858"/>
    <cellStyle name="Normal 15 3 3 2" xfId="8958"/>
    <cellStyle name="Normal 15 3 3 2 2" xfId="15151"/>
    <cellStyle name="Normal 15 3 3 2 3" xfId="21303"/>
    <cellStyle name="Normal 15 3 3 3" xfId="12085"/>
    <cellStyle name="Normal 15 3 3 4" xfId="18237"/>
    <cellStyle name="Normal 15 3 4" xfId="7423"/>
    <cellStyle name="Normal 15 3 4 2" xfId="13617"/>
    <cellStyle name="Normal 15 3 4 3" xfId="19769"/>
    <cellStyle name="Normal 15 3 5" xfId="10551"/>
    <cellStyle name="Normal 15 3 6" xfId="16703"/>
    <cellStyle name="Normal 15 4" xfId="3491"/>
    <cellStyle name="Normal 15 4 2" xfId="3492"/>
    <cellStyle name="Normal 15 5" xfId="3493"/>
    <cellStyle name="Normal 15 5 2" xfId="3494"/>
    <cellStyle name="Normal 15 6" xfId="5015"/>
    <cellStyle name="Normal 15 6 2" xfId="6640"/>
    <cellStyle name="Normal 15 6 2 2" xfId="9726"/>
    <cellStyle name="Normal 15 6 2 2 2" xfId="15919"/>
    <cellStyle name="Normal 15 6 2 2 3" xfId="22071"/>
    <cellStyle name="Normal 15 6 2 3" xfId="12853"/>
    <cellStyle name="Normal 15 6 2 4" xfId="19005"/>
    <cellStyle name="Normal 15 6 3" xfId="8191"/>
    <cellStyle name="Normal 15 6 3 2" xfId="14385"/>
    <cellStyle name="Normal 15 6 3 3" xfId="20537"/>
    <cellStyle name="Normal 15 6 4" xfId="11319"/>
    <cellStyle name="Normal 15 6 5" xfId="17471"/>
    <cellStyle name="Normal 15 7" xfId="5857"/>
    <cellStyle name="Normal 15 7 2" xfId="8957"/>
    <cellStyle name="Normal 15 7 2 2" xfId="15150"/>
    <cellStyle name="Normal 15 7 2 3" xfId="21302"/>
    <cellStyle name="Normal 15 7 3" xfId="12084"/>
    <cellStyle name="Normal 15 7 4" xfId="18236"/>
    <cellStyle name="Normal 15 8" xfId="7422"/>
    <cellStyle name="Normal 15 8 2" xfId="13616"/>
    <cellStyle name="Normal 15 8 3" xfId="19768"/>
    <cellStyle name="Normal 15 9" xfId="10550"/>
    <cellStyle name="Normal 16" xfId="3495"/>
    <cellStyle name="Normal 16 2" xfId="3496"/>
    <cellStyle name="Normal 16 2 10" xfId="23230"/>
    <cellStyle name="Normal 16 2 2" xfId="3497"/>
    <cellStyle name="Normal 16 2 2 2" xfId="3498"/>
    <cellStyle name="Normal 16 2 2 2 2" xfId="5019"/>
    <cellStyle name="Normal 16 2 2 2 2 2" xfId="6644"/>
    <cellStyle name="Normal 16 2 2 2 2 2 2" xfId="9730"/>
    <cellStyle name="Normal 16 2 2 2 2 2 2 2" xfId="15923"/>
    <cellStyle name="Normal 16 2 2 2 2 2 2 3" xfId="22075"/>
    <cellStyle name="Normal 16 2 2 2 2 2 3" xfId="12857"/>
    <cellStyle name="Normal 16 2 2 2 2 2 4" xfId="19009"/>
    <cellStyle name="Normal 16 2 2 2 2 3" xfId="8195"/>
    <cellStyle name="Normal 16 2 2 2 2 3 2" xfId="14389"/>
    <cellStyle name="Normal 16 2 2 2 2 3 3" xfId="20541"/>
    <cellStyle name="Normal 16 2 2 2 2 4" xfId="11323"/>
    <cellStyle name="Normal 16 2 2 2 2 5" xfId="17475"/>
    <cellStyle name="Normal 16 2 2 2 3" xfId="5861"/>
    <cellStyle name="Normal 16 2 2 2 3 2" xfId="8961"/>
    <cellStyle name="Normal 16 2 2 2 3 2 2" xfId="15154"/>
    <cellStyle name="Normal 16 2 2 2 3 2 3" xfId="21306"/>
    <cellStyle name="Normal 16 2 2 2 3 3" xfId="12088"/>
    <cellStyle name="Normal 16 2 2 2 3 4" xfId="18240"/>
    <cellStyle name="Normal 16 2 2 2 4" xfId="7426"/>
    <cellStyle name="Normal 16 2 2 2 4 2" xfId="13620"/>
    <cellStyle name="Normal 16 2 2 2 4 3" xfId="19772"/>
    <cellStyle name="Normal 16 2 2 2 5" xfId="10554"/>
    <cellStyle name="Normal 16 2 2 2 6" xfId="16706"/>
    <cellStyle name="Normal 16 2 2 3" xfId="5018"/>
    <cellStyle name="Normal 16 2 2 3 2" xfId="6643"/>
    <cellStyle name="Normal 16 2 2 3 2 2" xfId="9729"/>
    <cellStyle name="Normal 16 2 2 3 2 2 2" xfId="15922"/>
    <cellStyle name="Normal 16 2 2 3 2 2 3" xfId="22074"/>
    <cellStyle name="Normal 16 2 2 3 2 3" xfId="12856"/>
    <cellStyle name="Normal 16 2 2 3 2 4" xfId="19008"/>
    <cellStyle name="Normal 16 2 2 3 3" xfId="8194"/>
    <cellStyle name="Normal 16 2 2 3 3 2" xfId="14388"/>
    <cellStyle name="Normal 16 2 2 3 3 3" xfId="20540"/>
    <cellStyle name="Normal 16 2 2 3 4" xfId="11322"/>
    <cellStyle name="Normal 16 2 2 3 5" xfId="17474"/>
    <cellStyle name="Normal 16 2 2 4" xfId="5860"/>
    <cellStyle name="Normal 16 2 2 4 2" xfId="8960"/>
    <cellStyle name="Normal 16 2 2 4 2 2" xfId="15153"/>
    <cellStyle name="Normal 16 2 2 4 2 3" xfId="21305"/>
    <cellStyle name="Normal 16 2 2 4 3" xfId="12087"/>
    <cellStyle name="Normal 16 2 2 4 4" xfId="18239"/>
    <cellStyle name="Normal 16 2 2 5" xfId="7425"/>
    <cellStyle name="Normal 16 2 2 5 2" xfId="13619"/>
    <cellStyle name="Normal 16 2 2 5 3" xfId="19771"/>
    <cellStyle name="Normal 16 2 2 6" xfId="10553"/>
    <cellStyle name="Normal 16 2 2 7" xfId="16705"/>
    <cellStyle name="Normal 16 2 3" xfId="3499"/>
    <cellStyle name="Normal 16 2 3 2" xfId="3500"/>
    <cellStyle name="Normal 16 2 3 2 2" xfId="5021"/>
    <cellStyle name="Normal 16 2 3 2 2 2" xfId="6646"/>
    <cellStyle name="Normal 16 2 3 2 2 2 2" xfId="9732"/>
    <cellStyle name="Normal 16 2 3 2 2 2 2 2" xfId="15925"/>
    <cellStyle name="Normal 16 2 3 2 2 2 2 3" xfId="22077"/>
    <cellStyle name="Normal 16 2 3 2 2 2 3" xfId="12859"/>
    <cellStyle name="Normal 16 2 3 2 2 2 4" xfId="19011"/>
    <cellStyle name="Normal 16 2 3 2 2 3" xfId="8197"/>
    <cellStyle name="Normal 16 2 3 2 2 3 2" xfId="14391"/>
    <cellStyle name="Normal 16 2 3 2 2 3 3" xfId="20543"/>
    <cellStyle name="Normal 16 2 3 2 2 4" xfId="11325"/>
    <cellStyle name="Normal 16 2 3 2 2 5" xfId="17477"/>
    <cellStyle name="Normal 16 2 3 2 3" xfId="5863"/>
    <cellStyle name="Normal 16 2 3 2 3 2" xfId="8963"/>
    <cellStyle name="Normal 16 2 3 2 3 2 2" xfId="15156"/>
    <cellStyle name="Normal 16 2 3 2 3 2 3" xfId="21308"/>
    <cellStyle name="Normal 16 2 3 2 3 3" xfId="12090"/>
    <cellStyle name="Normal 16 2 3 2 3 4" xfId="18242"/>
    <cellStyle name="Normal 16 2 3 2 4" xfId="7428"/>
    <cellStyle name="Normal 16 2 3 2 4 2" xfId="13622"/>
    <cellStyle name="Normal 16 2 3 2 4 3" xfId="19774"/>
    <cellStyle name="Normal 16 2 3 2 5" xfId="10556"/>
    <cellStyle name="Normal 16 2 3 2 6" xfId="16708"/>
    <cellStyle name="Normal 16 2 3 3" xfId="5020"/>
    <cellStyle name="Normal 16 2 3 3 2" xfId="6645"/>
    <cellStyle name="Normal 16 2 3 3 2 2" xfId="9731"/>
    <cellStyle name="Normal 16 2 3 3 2 2 2" xfId="15924"/>
    <cellStyle name="Normal 16 2 3 3 2 2 3" xfId="22076"/>
    <cellStyle name="Normal 16 2 3 3 2 3" xfId="12858"/>
    <cellStyle name="Normal 16 2 3 3 2 4" xfId="19010"/>
    <cellStyle name="Normal 16 2 3 3 3" xfId="8196"/>
    <cellStyle name="Normal 16 2 3 3 3 2" xfId="14390"/>
    <cellStyle name="Normal 16 2 3 3 3 3" xfId="20542"/>
    <cellStyle name="Normal 16 2 3 3 4" xfId="11324"/>
    <cellStyle name="Normal 16 2 3 3 5" xfId="17476"/>
    <cellStyle name="Normal 16 2 3 4" xfId="5862"/>
    <cellStyle name="Normal 16 2 3 4 2" xfId="8962"/>
    <cellStyle name="Normal 16 2 3 4 2 2" xfId="15155"/>
    <cellStyle name="Normal 16 2 3 4 2 3" xfId="21307"/>
    <cellStyle name="Normal 16 2 3 4 3" xfId="12089"/>
    <cellStyle name="Normal 16 2 3 4 4" xfId="18241"/>
    <cellStyle name="Normal 16 2 3 5" xfId="7427"/>
    <cellStyle name="Normal 16 2 3 5 2" xfId="13621"/>
    <cellStyle name="Normal 16 2 3 5 3" xfId="19773"/>
    <cellStyle name="Normal 16 2 3 6" xfId="10555"/>
    <cellStyle name="Normal 16 2 3 7" xfId="16707"/>
    <cellStyle name="Normal 16 2 4" xfId="3501"/>
    <cellStyle name="Normal 16 2 4 2" xfId="5022"/>
    <cellStyle name="Normal 16 2 4 2 2" xfId="6647"/>
    <cellStyle name="Normal 16 2 4 2 2 2" xfId="9733"/>
    <cellStyle name="Normal 16 2 4 2 2 2 2" xfId="15926"/>
    <cellStyle name="Normal 16 2 4 2 2 2 3" xfId="22078"/>
    <cellStyle name="Normal 16 2 4 2 2 3" xfId="12860"/>
    <cellStyle name="Normal 16 2 4 2 2 4" xfId="19012"/>
    <cellStyle name="Normal 16 2 4 2 3" xfId="8198"/>
    <cellStyle name="Normal 16 2 4 2 3 2" xfId="14392"/>
    <cellStyle name="Normal 16 2 4 2 3 3" xfId="20544"/>
    <cellStyle name="Normal 16 2 4 2 4" xfId="11326"/>
    <cellStyle name="Normal 16 2 4 2 5" xfId="17478"/>
    <cellStyle name="Normal 16 2 4 3" xfId="5864"/>
    <cellStyle name="Normal 16 2 4 3 2" xfId="8964"/>
    <cellStyle name="Normal 16 2 4 3 2 2" xfId="15157"/>
    <cellStyle name="Normal 16 2 4 3 2 3" xfId="21309"/>
    <cellStyle name="Normal 16 2 4 3 3" xfId="12091"/>
    <cellStyle name="Normal 16 2 4 3 4" xfId="18243"/>
    <cellStyle name="Normal 16 2 4 4" xfId="7429"/>
    <cellStyle name="Normal 16 2 4 4 2" xfId="13623"/>
    <cellStyle name="Normal 16 2 4 4 3" xfId="19775"/>
    <cellStyle name="Normal 16 2 4 5" xfId="10557"/>
    <cellStyle name="Normal 16 2 4 6" xfId="16709"/>
    <cellStyle name="Normal 16 2 5" xfId="5017"/>
    <cellStyle name="Normal 16 2 5 2" xfId="6642"/>
    <cellStyle name="Normal 16 2 5 2 2" xfId="9728"/>
    <cellStyle name="Normal 16 2 5 2 2 2" xfId="15921"/>
    <cellStyle name="Normal 16 2 5 2 2 3" xfId="22073"/>
    <cellStyle name="Normal 16 2 5 2 3" xfId="12855"/>
    <cellStyle name="Normal 16 2 5 2 4" xfId="19007"/>
    <cellStyle name="Normal 16 2 5 3" xfId="8193"/>
    <cellStyle name="Normal 16 2 5 3 2" xfId="14387"/>
    <cellStyle name="Normal 16 2 5 3 3" xfId="20539"/>
    <cellStyle name="Normal 16 2 5 4" xfId="11321"/>
    <cellStyle name="Normal 16 2 5 5" xfId="17473"/>
    <cellStyle name="Normal 16 2 6" xfId="5859"/>
    <cellStyle name="Normal 16 2 6 2" xfId="8959"/>
    <cellStyle name="Normal 16 2 6 2 2" xfId="15152"/>
    <cellStyle name="Normal 16 2 6 2 3" xfId="21304"/>
    <cellStyle name="Normal 16 2 6 3" xfId="12086"/>
    <cellStyle name="Normal 16 2 6 4" xfId="18238"/>
    <cellStyle name="Normal 16 2 7" xfId="7424"/>
    <cellStyle name="Normal 16 2 7 2" xfId="13618"/>
    <cellStyle name="Normal 16 2 7 3" xfId="19770"/>
    <cellStyle name="Normal 16 2 8" xfId="10552"/>
    <cellStyle name="Normal 16 2 9" xfId="16704"/>
    <cellStyle name="Normal 16 3" xfId="3502"/>
    <cellStyle name="Normal 16 3 2" xfId="3503"/>
    <cellStyle name="Normal 16 3 2 2" xfId="5024"/>
    <cellStyle name="Normal 16 3 2 2 2" xfId="6649"/>
    <cellStyle name="Normal 16 3 2 2 2 2" xfId="9735"/>
    <cellStyle name="Normal 16 3 2 2 2 2 2" xfId="15928"/>
    <cellStyle name="Normal 16 3 2 2 2 2 3" xfId="22080"/>
    <cellStyle name="Normal 16 3 2 2 2 3" xfId="12862"/>
    <cellStyle name="Normal 16 3 2 2 2 4" xfId="19014"/>
    <cellStyle name="Normal 16 3 2 2 3" xfId="8200"/>
    <cellStyle name="Normal 16 3 2 2 3 2" xfId="14394"/>
    <cellStyle name="Normal 16 3 2 2 3 3" xfId="20546"/>
    <cellStyle name="Normal 16 3 2 2 4" xfId="11328"/>
    <cellStyle name="Normal 16 3 2 2 5" xfId="17480"/>
    <cellStyle name="Normal 16 3 2 3" xfId="5866"/>
    <cellStyle name="Normal 16 3 2 3 2" xfId="8966"/>
    <cellStyle name="Normal 16 3 2 3 2 2" xfId="15159"/>
    <cellStyle name="Normal 16 3 2 3 2 3" xfId="21311"/>
    <cellStyle name="Normal 16 3 2 3 3" xfId="12093"/>
    <cellStyle name="Normal 16 3 2 3 4" xfId="18245"/>
    <cellStyle name="Normal 16 3 2 4" xfId="7431"/>
    <cellStyle name="Normal 16 3 2 4 2" xfId="13625"/>
    <cellStyle name="Normal 16 3 2 4 3" xfId="19777"/>
    <cellStyle name="Normal 16 3 2 5" xfId="10559"/>
    <cellStyle name="Normal 16 3 2 6" xfId="16711"/>
    <cellStyle name="Normal 16 3 3" xfId="5023"/>
    <cellStyle name="Normal 16 3 3 2" xfId="6648"/>
    <cellStyle name="Normal 16 3 3 2 2" xfId="9734"/>
    <cellStyle name="Normal 16 3 3 2 2 2" xfId="15927"/>
    <cellStyle name="Normal 16 3 3 2 2 3" xfId="22079"/>
    <cellStyle name="Normal 16 3 3 2 3" xfId="12861"/>
    <cellStyle name="Normal 16 3 3 2 4" xfId="19013"/>
    <cellStyle name="Normal 16 3 3 3" xfId="8199"/>
    <cellStyle name="Normal 16 3 3 3 2" xfId="14393"/>
    <cellStyle name="Normal 16 3 3 3 3" xfId="20545"/>
    <cellStyle name="Normal 16 3 3 4" xfId="11327"/>
    <cellStyle name="Normal 16 3 3 5" xfId="17479"/>
    <cellStyle name="Normal 16 3 4" xfId="5865"/>
    <cellStyle name="Normal 16 3 4 2" xfId="8965"/>
    <cellStyle name="Normal 16 3 4 2 2" xfId="15158"/>
    <cellStyle name="Normal 16 3 4 2 3" xfId="21310"/>
    <cellStyle name="Normal 16 3 4 3" xfId="12092"/>
    <cellStyle name="Normal 16 3 4 4" xfId="18244"/>
    <cellStyle name="Normal 16 3 5" xfId="7430"/>
    <cellStyle name="Normal 16 3 5 2" xfId="13624"/>
    <cellStyle name="Normal 16 3 5 3" xfId="19776"/>
    <cellStyle name="Normal 16 3 6" xfId="10558"/>
    <cellStyle name="Normal 16 3 7" xfId="16710"/>
    <cellStyle name="Normal 16 4" xfId="3504"/>
    <cellStyle name="Normal 16 4 2" xfId="3505"/>
    <cellStyle name="Normal 16 4 2 2" xfId="5026"/>
    <cellStyle name="Normal 16 4 2 2 2" xfId="6651"/>
    <cellStyle name="Normal 16 4 2 2 2 2" xfId="9737"/>
    <cellStyle name="Normal 16 4 2 2 2 2 2" xfId="15930"/>
    <cellStyle name="Normal 16 4 2 2 2 2 3" xfId="22082"/>
    <cellStyle name="Normal 16 4 2 2 2 3" xfId="12864"/>
    <cellStyle name="Normal 16 4 2 2 2 4" xfId="19016"/>
    <cellStyle name="Normal 16 4 2 2 3" xfId="8202"/>
    <cellStyle name="Normal 16 4 2 2 3 2" xfId="14396"/>
    <cellStyle name="Normal 16 4 2 2 3 3" xfId="20548"/>
    <cellStyle name="Normal 16 4 2 2 4" xfId="11330"/>
    <cellStyle name="Normal 16 4 2 2 5" xfId="17482"/>
    <cellStyle name="Normal 16 4 2 3" xfId="5868"/>
    <cellStyle name="Normal 16 4 2 3 2" xfId="8968"/>
    <cellStyle name="Normal 16 4 2 3 2 2" xfId="15161"/>
    <cellStyle name="Normal 16 4 2 3 2 3" xfId="21313"/>
    <cellStyle name="Normal 16 4 2 3 3" xfId="12095"/>
    <cellStyle name="Normal 16 4 2 3 4" xfId="18247"/>
    <cellStyle name="Normal 16 4 2 4" xfId="7433"/>
    <cellStyle name="Normal 16 4 2 4 2" xfId="13627"/>
    <cellStyle name="Normal 16 4 2 4 3" xfId="19779"/>
    <cellStyle name="Normal 16 4 2 5" xfId="10561"/>
    <cellStyle name="Normal 16 4 2 6" xfId="16713"/>
    <cellStyle name="Normal 16 4 3" xfId="5025"/>
    <cellStyle name="Normal 16 4 3 2" xfId="6650"/>
    <cellStyle name="Normal 16 4 3 2 2" xfId="9736"/>
    <cellStyle name="Normal 16 4 3 2 2 2" xfId="15929"/>
    <cellStyle name="Normal 16 4 3 2 2 3" xfId="22081"/>
    <cellStyle name="Normal 16 4 3 2 3" xfId="12863"/>
    <cellStyle name="Normal 16 4 3 2 4" xfId="19015"/>
    <cellStyle name="Normal 16 4 3 3" xfId="8201"/>
    <cellStyle name="Normal 16 4 3 3 2" xfId="14395"/>
    <cellStyle name="Normal 16 4 3 3 3" xfId="20547"/>
    <cellStyle name="Normal 16 4 3 4" xfId="11329"/>
    <cellStyle name="Normal 16 4 3 5" xfId="17481"/>
    <cellStyle name="Normal 16 4 4" xfId="5867"/>
    <cellStyle name="Normal 16 4 4 2" xfId="8967"/>
    <cellStyle name="Normal 16 4 4 2 2" xfId="15160"/>
    <cellStyle name="Normal 16 4 4 2 3" xfId="21312"/>
    <cellStyle name="Normal 16 4 4 3" xfId="12094"/>
    <cellStyle name="Normal 16 4 4 4" xfId="18246"/>
    <cellStyle name="Normal 16 4 5" xfId="7432"/>
    <cellStyle name="Normal 16 4 5 2" xfId="13626"/>
    <cellStyle name="Normal 16 4 5 3" xfId="19778"/>
    <cellStyle name="Normal 16 4 6" xfId="10560"/>
    <cellStyle name="Normal 16 4 7" xfId="16712"/>
    <cellStyle name="Normal 16 5" xfId="3506"/>
    <cellStyle name="Normal 16 5 2" xfId="3507"/>
    <cellStyle name="Normal 16 5 2 2" xfId="5027"/>
    <cellStyle name="Normal 16 5 2 2 2" xfId="6652"/>
    <cellStyle name="Normal 16 5 2 2 2 2" xfId="9738"/>
    <cellStyle name="Normal 16 5 2 2 2 2 2" xfId="15931"/>
    <cellStyle name="Normal 16 5 2 2 2 2 3" xfId="22083"/>
    <cellStyle name="Normal 16 5 2 2 2 3" xfId="12865"/>
    <cellStyle name="Normal 16 5 2 2 2 4" xfId="19017"/>
    <cellStyle name="Normal 16 5 2 2 3" xfId="8203"/>
    <cellStyle name="Normal 16 5 2 2 3 2" xfId="14397"/>
    <cellStyle name="Normal 16 5 2 2 3 3" xfId="20549"/>
    <cellStyle name="Normal 16 5 2 2 4" xfId="11331"/>
    <cellStyle name="Normal 16 5 2 2 5" xfId="17483"/>
    <cellStyle name="Normal 16 5 2 3" xfId="5869"/>
    <cellStyle name="Normal 16 5 2 3 2" xfId="8969"/>
    <cellStyle name="Normal 16 5 2 3 2 2" xfId="15162"/>
    <cellStyle name="Normal 16 5 2 3 2 3" xfId="21314"/>
    <cellStyle name="Normal 16 5 2 3 3" xfId="12096"/>
    <cellStyle name="Normal 16 5 2 3 4" xfId="18248"/>
    <cellStyle name="Normal 16 5 2 4" xfId="7434"/>
    <cellStyle name="Normal 16 5 2 4 2" xfId="13628"/>
    <cellStyle name="Normal 16 5 2 4 3" xfId="19780"/>
    <cellStyle name="Normal 16 5 2 5" xfId="10562"/>
    <cellStyle name="Normal 16 5 2 6" xfId="16714"/>
    <cellStyle name="Normal 16 6" xfId="3508"/>
    <cellStyle name="Normal 16 6 2" xfId="5028"/>
    <cellStyle name="Normal 16 6 2 2" xfId="6653"/>
    <cellStyle name="Normal 16 6 2 2 2" xfId="9739"/>
    <cellStyle name="Normal 16 6 2 2 2 2" xfId="15932"/>
    <cellStyle name="Normal 16 6 2 2 2 3" xfId="22084"/>
    <cellStyle name="Normal 16 6 2 2 3" xfId="12866"/>
    <cellStyle name="Normal 16 6 2 2 4" xfId="19018"/>
    <cellStyle name="Normal 16 6 2 3" xfId="8204"/>
    <cellStyle name="Normal 16 6 2 3 2" xfId="14398"/>
    <cellStyle name="Normal 16 6 2 3 3" xfId="20550"/>
    <cellStyle name="Normal 16 6 2 4" xfId="11332"/>
    <cellStyle name="Normal 16 6 2 5" xfId="17484"/>
    <cellStyle name="Normal 16 6 3" xfId="5870"/>
    <cellStyle name="Normal 16 6 3 2" xfId="8970"/>
    <cellStyle name="Normal 16 6 3 2 2" xfId="15163"/>
    <cellStyle name="Normal 16 6 3 2 3" xfId="21315"/>
    <cellStyle name="Normal 16 6 3 3" xfId="12097"/>
    <cellStyle name="Normal 16 6 3 4" xfId="18249"/>
    <cellStyle name="Normal 16 6 4" xfId="7435"/>
    <cellStyle name="Normal 16 6 4 2" xfId="13629"/>
    <cellStyle name="Normal 16 6 4 3" xfId="19781"/>
    <cellStyle name="Normal 16 6 5" xfId="10563"/>
    <cellStyle name="Normal 16 6 6" xfId="16715"/>
    <cellStyle name="Normal 16 7" xfId="23229"/>
    <cellStyle name="Normal 17" xfId="362"/>
    <cellStyle name="Normal 17 2" xfId="3509"/>
    <cellStyle name="Normal 17 2 10" xfId="23231"/>
    <cellStyle name="Normal 17 2 2" xfId="3510"/>
    <cellStyle name="Normal 17 2 2 2" xfId="3511"/>
    <cellStyle name="Normal 17 2 2 2 2" xfId="5031"/>
    <cellStyle name="Normal 17 2 2 2 2 2" xfId="6656"/>
    <cellStyle name="Normal 17 2 2 2 2 2 2" xfId="9742"/>
    <cellStyle name="Normal 17 2 2 2 2 2 2 2" xfId="15935"/>
    <cellStyle name="Normal 17 2 2 2 2 2 2 3" xfId="22087"/>
    <cellStyle name="Normal 17 2 2 2 2 2 3" xfId="12869"/>
    <cellStyle name="Normal 17 2 2 2 2 2 4" xfId="19021"/>
    <cellStyle name="Normal 17 2 2 2 2 3" xfId="8207"/>
    <cellStyle name="Normal 17 2 2 2 2 3 2" xfId="14401"/>
    <cellStyle name="Normal 17 2 2 2 2 3 3" xfId="20553"/>
    <cellStyle name="Normal 17 2 2 2 2 4" xfId="11335"/>
    <cellStyle name="Normal 17 2 2 2 2 5" xfId="17487"/>
    <cellStyle name="Normal 17 2 2 2 3" xfId="5873"/>
    <cellStyle name="Normal 17 2 2 2 3 2" xfId="8973"/>
    <cellStyle name="Normal 17 2 2 2 3 2 2" xfId="15166"/>
    <cellStyle name="Normal 17 2 2 2 3 2 3" xfId="21318"/>
    <cellStyle name="Normal 17 2 2 2 3 3" xfId="12100"/>
    <cellStyle name="Normal 17 2 2 2 3 4" xfId="18252"/>
    <cellStyle name="Normal 17 2 2 2 4" xfId="7438"/>
    <cellStyle name="Normal 17 2 2 2 4 2" xfId="13632"/>
    <cellStyle name="Normal 17 2 2 2 4 3" xfId="19784"/>
    <cellStyle name="Normal 17 2 2 2 5" xfId="10566"/>
    <cellStyle name="Normal 17 2 2 2 6" xfId="16718"/>
    <cellStyle name="Normal 17 2 2 3" xfId="5030"/>
    <cellStyle name="Normal 17 2 2 3 2" xfId="6655"/>
    <cellStyle name="Normal 17 2 2 3 2 2" xfId="9741"/>
    <cellStyle name="Normal 17 2 2 3 2 2 2" xfId="15934"/>
    <cellStyle name="Normal 17 2 2 3 2 2 3" xfId="22086"/>
    <cellStyle name="Normal 17 2 2 3 2 3" xfId="12868"/>
    <cellStyle name="Normal 17 2 2 3 2 4" xfId="19020"/>
    <cellStyle name="Normal 17 2 2 3 3" xfId="8206"/>
    <cellStyle name="Normal 17 2 2 3 3 2" xfId="14400"/>
    <cellStyle name="Normal 17 2 2 3 3 3" xfId="20552"/>
    <cellStyle name="Normal 17 2 2 3 4" xfId="11334"/>
    <cellStyle name="Normal 17 2 2 3 5" xfId="17486"/>
    <cellStyle name="Normal 17 2 2 4" xfId="5872"/>
    <cellStyle name="Normal 17 2 2 4 2" xfId="8972"/>
    <cellStyle name="Normal 17 2 2 4 2 2" xfId="15165"/>
    <cellStyle name="Normal 17 2 2 4 2 3" xfId="21317"/>
    <cellStyle name="Normal 17 2 2 4 3" xfId="12099"/>
    <cellStyle name="Normal 17 2 2 4 4" xfId="18251"/>
    <cellStyle name="Normal 17 2 2 5" xfId="7437"/>
    <cellStyle name="Normal 17 2 2 5 2" xfId="13631"/>
    <cellStyle name="Normal 17 2 2 5 3" xfId="19783"/>
    <cellStyle name="Normal 17 2 2 6" xfId="10565"/>
    <cellStyle name="Normal 17 2 2 7" xfId="16717"/>
    <cellStyle name="Normal 17 2 3" xfId="3512"/>
    <cellStyle name="Normal 17 2 3 2" xfId="3513"/>
    <cellStyle name="Normal 17 2 3 2 2" xfId="5033"/>
    <cellStyle name="Normal 17 2 3 2 2 2" xfId="6658"/>
    <cellStyle name="Normal 17 2 3 2 2 2 2" xfId="9744"/>
    <cellStyle name="Normal 17 2 3 2 2 2 2 2" xfId="15937"/>
    <cellStyle name="Normal 17 2 3 2 2 2 2 3" xfId="22089"/>
    <cellStyle name="Normal 17 2 3 2 2 2 3" xfId="12871"/>
    <cellStyle name="Normal 17 2 3 2 2 2 4" xfId="19023"/>
    <cellStyle name="Normal 17 2 3 2 2 3" xfId="8209"/>
    <cellStyle name="Normal 17 2 3 2 2 3 2" xfId="14403"/>
    <cellStyle name="Normal 17 2 3 2 2 3 3" xfId="20555"/>
    <cellStyle name="Normal 17 2 3 2 2 4" xfId="11337"/>
    <cellStyle name="Normal 17 2 3 2 2 5" xfId="17489"/>
    <cellStyle name="Normal 17 2 3 2 3" xfId="5875"/>
    <cellStyle name="Normal 17 2 3 2 3 2" xfId="8975"/>
    <cellStyle name="Normal 17 2 3 2 3 2 2" xfId="15168"/>
    <cellStyle name="Normal 17 2 3 2 3 2 3" xfId="21320"/>
    <cellStyle name="Normal 17 2 3 2 3 3" xfId="12102"/>
    <cellStyle name="Normal 17 2 3 2 3 4" xfId="18254"/>
    <cellStyle name="Normal 17 2 3 2 4" xfId="7440"/>
    <cellStyle name="Normal 17 2 3 2 4 2" xfId="13634"/>
    <cellStyle name="Normal 17 2 3 2 4 3" xfId="19786"/>
    <cellStyle name="Normal 17 2 3 2 5" xfId="10568"/>
    <cellStyle name="Normal 17 2 3 2 6" xfId="16720"/>
    <cellStyle name="Normal 17 2 3 3" xfId="5032"/>
    <cellStyle name="Normal 17 2 3 3 2" xfId="6657"/>
    <cellStyle name="Normal 17 2 3 3 2 2" xfId="9743"/>
    <cellStyle name="Normal 17 2 3 3 2 2 2" xfId="15936"/>
    <cellStyle name="Normal 17 2 3 3 2 2 3" xfId="22088"/>
    <cellStyle name="Normal 17 2 3 3 2 3" xfId="12870"/>
    <cellStyle name="Normal 17 2 3 3 2 4" xfId="19022"/>
    <cellStyle name="Normal 17 2 3 3 3" xfId="8208"/>
    <cellStyle name="Normal 17 2 3 3 3 2" xfId="14402"/>
    <cellStyle name="Normal 17 2 3 3 3 3" xfId="20554"/>
    <cellStyle name="Normal 17 2 3 3 4" xfId="11336"/>
    <cellStyle name="Normal 17 2 3 3 5" xfId="17488"/>
    <cellStyle name="Normal 17 2 3 4" xfId="5874"/>
    <cellStyle name="Normal 17 2 3 4 2" xfId="8974"/>
    <cellStyle name="Normal 17 2 3 4 2 2" xfId="15167"/>
    <cellStyle name="Normal 17 2 3 4 2 3" xfId="21319"/>
    <cellStyle name="Normal 17 2 3 4 3" xfId="12101"/>
    <cellStyle name="Normal 17 2 3 4 4" xfId="18253"/>
    <cellStyle name="Normal 17 2 3 5" xfId="7439"/>
    <cellStyle name="Normal 17 2 3 5 2" xfId="13633"/>
    <cellStyle name="Normal 17 2 3 5 3" xfId="19785"/>
    <cellStyle name="Normal 17 2 3 6" xfId="10567"/>
    <cellStyle name="Normal 17 2 3 7" xfId="16719"/>
    <cellStyle name="Normal 17 2 4" xfId="3514"/>
    <cellStyle name="Normal 17 2 4 2" xfId="5034"/>
    <cellStyle name="Normal 17 2 4 2 2" xfId="6659"/>
    <cellStyle name="Normal 17 2 4 2 2 2" xfId="9745"/>
    <cellStyle name="Normal 17 2 4 2 2 2 2" xfId="15938"/>
    <cellStyle name="Normal 17 2 4 2 2 2 3" xfId="22090"/>
    <cellStyle name="Normal 17 2 4 2 2 3" xfId="12872"/>
    <cellStyle name="Normal 17 2 4 2 2 4" xfId="19024"/>
    <cellStyle name="Normal 17 2 4 2 3" xfId="8210"/>
    <cellStyle name="Normal 17 2 4 2 3 2" xfId="14404"/>
    <cellStyle name="Normal 17 2 4 2 3 3" xfId="20556"/>
    <cellStyle name="Normal 17 2 4 2 4" xfId="11338"/>
    <cellStyle name="Normal 17 2 4 2 5" xfId="17490"/>
    <cellStyle name="Normal 17 2 4 3" xfId="5876"/>
    <cellStyle name="Normal 17 2 4 3 2" xfId="8976"/>
    <cellStyle name="Normal 17 2 4 3 2 2" xfId="15169"/>
    <cellStyle name="Normal 17 2 4 3 2 3" xfId="21321"/>
    <cellStyle name="Normal 17 2 4 3 3" xfId="12103"/>
    <cellStyle name="Normal 17 2 4 3 4" xfId="18255"/>
    <cellStyle name="Normal 17 2 4 4" xfId="7441"/>
    <cellStyle name="Normal 17 2 4 4 2" xfId="13635"/>
    <cellStyle name="Normal 17 2 4 4 3" xfId="19787"/>
    <cellStyle name="Normal 17 2 4 5" xfId="10569"/>
    <cellStyle name="Normal 17 2 4 6" xfId="16721"/>
    <cellStyle name="Normal 17 2 5" xfId="5029"/>
    <cellStyle name="Normal 17 2 5 2" xfId="6654"/>
    <cellStyle name="Normal 17 2 5 2 2" xfId="9740"/>
    <cellStyle name="Normal 17 2 5 2 2 2" xfId="15933"/>
    <cellStyle name="Normal 17 2 5 2 2 3" xfId="22085"/>
    <cellStyle name="Normal 17 2 5 2 3" xfId="12867"/>
    <cellStyle name="Normal 17 2 5 2 4" xfId="19019"/>
    <cellStyle name="Normal 17 2 5 3" xfId="8205"/>
    <cellStyle name="Normal 17 2 5 3 2" xfId="14399"/>
    <cellStyle name="Normal 17 2 5 3 3" xfId="20551"/>
    <cellStyle name="Normal 17 2 5 4" xfId="11333"/>
    <cellStyle name="Normal 17 2 5 5" xfId="17485"/>
    <cellStyle name="Normal 17 2 6" xfId="5871"/>
    <cellStyle name="Normal 17 2 6 2" xfId="8971"/>
    <cellStyle name="Normal 17 2 6 2 2" xfId="15164"/>
    <cellStyle name="Normal 17 2 6 2 3" xfId="21316"/>
    <cellStyle name="Normal 17 2 6 3" xfId="12098"/>
    <cellStyle name="Normal 17 2 6 4" xfId="18250"/>
    <cellStyle name="Normal 17 2 7" xfId="7436"/>
    <cellStyle name="Normal 17 2 7 2" xfId="13630"/>
    <cellStyle name="Normal 17 2 7 3" xfId="19782"/>
    <cellStyle name="Normal 17 2 8" xfId="10564"/>
    <cellStyle name="Normal 17 2 9" xfId="16716"/>
    <cellStyle name="Normal 17 3" xfId="3515"/>
    <cellStyle name="Normal 17 3 2" xfId="3516"/>
    <cellStyle name="Normal 17 3 2 2" xfId="5036"/>
    <cellStyle name="Normal 17 3 2 2 2" xfId="6661"/>
    <cellStyle name="Normal 17 3 2 2 2 2" xfId="9747"/>
    <cellStyle name="Normal 17 3 2 2 2 2 2" xfId="15940"/>
    <cellStyle name="Normal 17 3 2 2 2 2 3" xfId="22092"/>
    <cellStyle name="Normal 17 3 2 2 2 3" xfId="12874"/>
    <cellStyle name="Normal 17 3 2 2 2 4" xfId="19026"/>
    <cellStyle name="Normal 17 3 2 2 3" xfId="8212"/>
    <cellStyle name="Normal 17 3 2 2 3 2" xfId="14406"/>
    <cellStyle name="Normal 17 3 2 2 3 3" xfId="20558"/>
    <cellStyle name="Normal 17 3 2 2 4" xfId="11340"/>
    <cellStyle name="Normal 17 3 2 2 5" xfId="17492"/>
    <cellStyle name="Normal 17 3 2 3" xfId="5878"/>
    <cellStyle name="Normal 17 3 2 3 2" xfId="8978"/>
    <cellStyle name="Normal 17 3 2 3 2 2" xfId="15171"/>
    <cellStyle name="Normal 17 3 2 3 2 3" xfId="21323"/>
    <cellStyle name="Normal 17 3 2 3 3" xfId="12105"/>
    <cellStyle name="Normal 17 3 2 3 4" xfId="18257"/>
    <cellStyle name="Normal 17 3 2 4" xfId="7443"/>
    <cellStyle name="Normal 17 3 2 4 2" xfId="13637"/>
    <cellStyle name="Normal 17 3 2 4 3" xfId="19789"/>
    <cellStyle name="Normal 17 3 2 5" xfId="10571"/>
    <cellStyle name="Normal 17 3 2 6" xfId="16723"/>
    <cellStyle name="Normal 17 3 3" xfId="5035"/>
    <cellStyle name="Normal 17 3 3 2" xfId="6660"/>
    <cellStyle name="Normal 17 3 3 2 2" xfId="9746"/>
    <cellStyle name="Normal 17 3 3 2 2 2" xfId="15939"/>
    <cellStyle name="Normal 17 3 3 2 2 3" xfId="22091"/>
    <cellStyle name="Normal 17 3 3 2 3" xfId="12873"/>
    <cellStyle name="Normal 17 3 3 2 4" xfId="19025"/>
    <cellStyle name="Normal 17 3 3 3" xfId="8211"/>
    <cellStyle name="Normal 17 3 3 3 2" xfId="14405"/>
    <cellStyle name="Normal 17 3 3 3 3" xfId="20557"/>
    <cellStyle name="Normal 17 3 3 4" xfId="11339"/>
    <cellStyle name="Normal 17 3 3 5" xfId="17491"/>
    <cellStyle name="Normal 17 3 4" xfId="5877"/>
    <cellStyle name="Normal 17 3 4 2" xfId="8977"/>
    <cellStyle name="Normal 17 3 4 2 2" xfId="15170"/>
    <cellStyle name="Normal 17 3 4 2 3" xfId="21322"/>
    <cellStyle name="Normal 17 3 4 3" xfId="12104"/>
    <cellStyle name="Normal 17 3 4 4" xfId="18256"/>
    <cellStyle name="Normal 17 3 5" xfId="7442"/>
    <cellStyle name="Normal 17 3 5 2" xfId="13636"/>
    <cellStyle name="Normal 17 3 5 3" xfId="19788"/>
    <cellStyle name="Normal 17 3 6" xfId="10570"/>
    <cellStyle name="Normal 17 3 7" xfId="16722"/>
    <cellStyle name="Normal 17 4" xfId="3517"/>
    <cellStyle name="Normal 17 4 2" xfId="3518"/>
    <cellStyle name="Normal 17 4 2 2" xfId="5038"/>
    <cellStyle name="Normal 17 4 2 2 2" xfId="6663"/>
    <cellStyle name="Normal 17 4 2 2 2 2" xfId="9749"/>
    <cellStyle name="Normal 17 4 2 2 2 2 2" xfId="15942"/>
    <cellStyle name="Normal 17 4 2 2 2 2 3" xfId="22094"/>
    <cellStyle name="Normal 17 4 2 2 2 3" xfId="12876"/>
    <cellStyle name="Normal 17 4 2 2 2 4" xfId="19028"/>
    <cellStyle name="Normal 17 4 2 2 3" xfId="8214"/>
    <cellStyle name="Normal 17 4 2 2 3 2" xfId="14408"/>
    <cellStyle name="Normal 17 4 2 2 3 3" xfId="20560"/>
    <cellStyle name="Normal 17 4 2 2 4" xfId="11342"/>
    <cellStyle name="Normal 17 4 2 2 5" xfId="17494"/>
    <cellStyle name="Normal 17 4 2 3" xfId="5880"/>
    <cellStyle name="Normal 17 4 2 3 2" xfId="8980"/>
    <cellStyle name="Normal 17 4 2 3 2 2" xfId="15173"/>
    <cellStyle name="Normal 17 4 2 3 2 3" xfId="21325"/>
    <cellStyle name="Normal 17 4 2 3 3" xfId="12107"/>
    <cellStyle name="Normal 17 4 2 3 4" xfId="18259"/>
    <cellStyle name="Normal 17 4 2 4" xfId="7445"/>
    <cellStyle name="Normal 17 4 2 4 2" xfId="13639"/>
    <cellStyle name="Normal 17 4 2 4 3" xfId="19791"/>
    <cellStyle name="Normal 17 4 2 5" xfId="10573"/>
    <cellStyle name="Normal 17 4 2 6" xfId="16725"/>
    <cellStyle name="Normal 17 4 3" xfId="5037"/>
    <cellStyle name="Normal 17 4 3 2" xfId="6662"/>
    <cellStyle name="Normal 17 4 3 2 2" xfId="9748"/>
    <cellStyle name="Normal 17 4 3 2 2 2" xfId="15941"/>
    <cellStyle name="Normal 17 4 3 2 2 3" xfId="22093"/>
    <cellStyle name="Normal 17 4 3 2 3" xfId="12875"/>
    <cellStyle name="Normal 17 4 3 2 4" xfId="19027"/>
    <cellStyle name="Normal 17 4 3 3" xfId="8213"/>
    <cellStyle name="Normal 17 4 3 3 2" xfId="14407"/>
    <cellStyle name="Normal 17 4 3 3 3" xfId="20559"/>
    <cellStyle name="Normal 17 4 3 4" xfId="11341"/>
    <cellStyle name="Normal 17 4 3 5" xfId="17493"/>
    <cellStyle name="Normal 17 4 4" xfId="5879"/>
    <cellStyle name="Normal 17 4 4 2" xfId="8979"/>
    <cellStyle name="Normal 17 4 4 2 2" xfId="15172"/>
    <cellStyle name="Normal 17 4 4 2 3" xfId="21324"/>
    <cellStyle name="Normal 17 4 4 3" xfId="12106"/>
    <cellStyle name="Normal 17 4 4 4" xfId="18258"/>
    <cellStyle name="Normal 17 4 5" xfId="7444"/>
    <cellStyle name="Normal 17 4 5 2" xfId="13638"/>
    <cellStyle name="Normal 17 4 5 3" xfId="19790"/>
    <cellStyle name="Normal 17 4 6" xfId="10572"/>
    <cellStyle name="Normal 17 4 7" xfId="16724"/>
    <cellStyle name="Normal 17 5" xfId="3519"/>
    <cellStyle name="Normal 17 5 2" xfId="3520"/>
    <cellStyle name="Normal 17 5 2 2" xfId="5039"/>
    <cellStyle name="Normal 17 5 2 2 2" xfId="6664"/>
    <cellStyle name="Normal 17 5 2 2 2 2" xfId="9750"/>
    <cellStyle name="Normal 17 5 2 2 2 2 2" xfId="15943"/>
    <cellStyle name="Normal 17 5 2 2 2 2 3" xfId="22095"/>
    <cellStyle name="Normal 17 5 2 2 2 3" xfId="12877"/>
    <cellStyle name="Normal 17 5 2 2 2 4" xfId="19029"/>
    <cellStyle name="Normal 17 5 2 2 3" xfId="8215"/>
    <cellStyle name="Normal 17 5 2 2 3 2" xfId="14409"/>
    <cellStyle name="Normal 17 5 2 2 3 3" xfId="20561"/>
    <cellStyle name="Normal 17 5 2 2 4" xfId="11343"/>
    <cellStyle name="Normal 17 5 2 2 5" xfId="17495"/>
    <cellStyle name="Normal 17 5 2 3" xfId="5881"/>
    <cellStyle name="Normal 17 5 2 3 2" xfId="8981"/>
    <cellStyle name="Normal 17 5 2 3 2 2" xfId="15174"/>
    <cellStyle name="Normal 17 5 2 3 2 3" xfId="21326"/>
    <cellStyle name="Normal 17 5 2 3 3" xfId="12108"/>
    <cellStyle name="Normal 17 5 2 3 4" xfId="18260"/>
    <cellStyle name="Normal 17 5 2 4" xfId="7446"/>
    <cellStyle name="Normal 17 5 2 4 2" xfId="13640"/>
    <cellStyle name="Normal 17 5 2 4 3" xfId="19792"/>
    <cellStyle name="Normal 17 5 2 5" xfId="10574"/>
    <cellStyle name="Normal 17 5 2 6" xfId="16726"/>
    <cellStyle name="Normal 17 6" xfId="3521"/>
    <cellStyle name="Normal 17 6 2" xfId="5040"/>
    <cellStyle name="Normal 17 6 2 2" xfId="6665"/>
    <cellStyle name="Normal 17 6 2 2 2" xfId="9751"/>
    <cellStyle name="Normal 17 6 2 2 2 2" xfId="15944"/>
    <cellStyle name="Normal 17 6 2 2 2 3" xfId="22096"/>
    <cellStyle name="Normal 17 6 2 2 3" xfId="12878"/>
    <cellStyle name="Normal 17 6 2 2 4" xfId="19030"/>
    <cellStyle name="Normal 17 6 2 3" xfId="8216"/>
    <cellStyle name="Normal 17 6 2 3 2" xfId="14410"/>
    <cellStyle name="Normal 17 6 2 3 3" xfId="20562"/>
    <cellStyle name="Normal 17 6 2 4" xfId="11344"/>
    <cellStyle name="Normal 17 6 2 5" xfId="17496"/>
    <cellStyle name="Normal 17 6 3" xfId="5882"/>
    <cellStyle name="Normal 17 6 3 2" xfId="8982"/>
    <cellStyle name="Normal 17 6 3 2 2" xfId="15175"/>
    <cellStyle name="Normal 17 6 3 2 3" xfId="21327"/>
    <cellStyle name="Normal 17 6 3 3" xfId="12109"/>
    <cellStyle name="Normal 17 6 3 4" xfId="18261"/>
    <cellStyle name="Normal 17 6 4" xfId="7447"/>
    <cellStyle name="Normal 17 6 4 2" xfId="13641"/>
    <cellStyle name="Normal 17 6 4 3" xfId="19793"/>
    <cellStyle name="Normal 17 6 5" xfId="10575"/>
    <cellStyle name="Normal 17 6 6" xfId="16727"/>
    <cellStyle name="Normal 18" xfId="377"/>
    <cellStyle name="Normal 18 2" xfId="3522"/>
    <cellStyle name="Normal 19" xfId="393"/>
    <cellStyle name="Normal 19 2" xfId="3523"/>
    <cellStyle name="Normal 19 2 2" xfId="3524"/>
    <cellStyle name="Normal 19 2 2 2" xfId="3525"/>
    <cellStyle name="Normal 19 2 3" xfId="3526"/>
    <cellStyle name="Normal 19 2 4" xfId="23233"/>
    <cellStyle name="Normal 19 3" xfId="3527"/>
    <cellStyle name="Normal 2" xfId="21"/>
    <cellStyle name="Normal 2 10" xfId="1228"/>
    <cellStyle name="Normal 2 10 2" xfId="4665"/>
    <cellStyle name="Normal 2 10 3" xfId="3528"/>
    <cellStyle name="Normal 2 10 3 2" xfId="5041"/>
    <cellStyle name="Normal 2 10 3 2 2" xfId="6666"/>
    <cellStyle name="Normal 2 10 3 2 2 2" xfId="9752"/>
    <cellStyle name="Normal 2 10 3 2 2 2 2" xfId="15945"/>
    <cellStyle name="Normal 2 10 3 2 2 2 3" xfId="22097"/>
    <cellStyle name="Normal 2 10 3 2 2 3" xfId="12879"/>
    <cellStyle name="Normal 2 10 3 2 2 4" xfId="19031"/>
    <cellStyle name="Normal 2 10 3 2 3" xfId="8217"/>
    <cellStyle name="Normal 2 10 3 2 3 2" xfId="14411"/>
    <cellStyle name="Normal 2 10 3 2 3 3" xfId="20563"/>
    <cellStyle name="Normal 2 10 3 2 4" xfId="11345"/>
    <cellStyle name="Normal 2 10 3 2 5" xfId="17497"/>
    <cellStyle name="Normal 2 10 3 3" xfId="5883"/>
    <cellStyle name="Normal 2 10 3 3 2" xfId="8983"/>
    <cellStyle name="Normal 2 10 3 3 2 2" xfId="15176"/>
    <cellStyle name="Normal 2 10 3 3 2 3" xfId="21328"/>
    <cellStyle name="Normal 2 10 3 3 3" xfId="12110"/>
    <cellStyle name="Normal 2 10 3 3 4" xfId="18262"/>
    <cellStyle name="Normal 2 10 3 4" xfId="7448"/>
    <cellStyle name="Normal 2 10 3 4 2" xfId="13642"/>
    <cellStyle name="Normal 2 10 3 4 3" xfId="19794"/>
    <cellStyle name="Normal 2 10 3 5" xfId="10576"/>
    <cellStyle name="Normal 2 10 3 6" xfId="16728"/>
    <cellStyle name="Normal 2 11" xfId="1229"/>
    <cellStyle name="Normal 2 11 2" xfId="4666"/>
    <cellStyle name="Normal 2 11 3" xfId="3529"/>
    <cellStyle name="Normal 2 11 3 2" xfId="5042"/>
    <cellStyle name="Normal 2 11 3 2 2" xfId="6667"/>
    <cellStyle name="Normal 2 11 3 2 2 2" xfId="9753"/>
    <cellStyle name="Normal 2 11 3 2 2 2 2" xfId="15946"/>
    <cellStyle name="Normal 2 11 3 2 2 2 3" xfId="22098"/>
    <cellStyle name="Normal 2 11 3 2 2 3" xfId="12880"/>
    <cellStyle name="Normal 2 11 3 2 2 4" xfId="19032"/>
    <cellStyle name="Normal 2 11 3 2 3" xfId="8218"/>
    <cellStyle name="Normal 2 11 3 2 3 2" xfId="14412"/>
    <cellStyle name="Normal 2 11 3 2 3 3" xfId="20564"/>
    <cellStyle name="Normal 2 11 3 2 4" xfId="11346"/>
    <cellStyle name="Normal 2 11 3 2 5" xfId="17498"/>
    <cellStyle name="Normal 2 11 3 3" xfId="5884"/>
    <cellStyle name="Normal 2 11 3 3 2" xfId="8984"/>
    <cellStyle name="Normal 2 11 3 3 2 2" xfId="15177"/>
    <cellStyle name="Normal 2 11 3 3 2 3" xfId="21329"/>
    <cellStyle name="Normal 2 11 3 3 3" xfId="12111"/>
    <cellStyle name="Normal 2 11 3 3 4" xfId="18263"/>
    <cellStyle name="Normal 2 11 3 4" xfId="7449"/>
    <cellStyle name="Normal 2 11 3 4 2" xfId="13643"/>
    <cellStyle name="Normal 2 11 3 4 3" xfId="19795"/>
    <cellStyle name="Normal 2 11 3 5" xfId="10577"/>
    <cellStyle name="Normal 2 11 3 6" xfId="16729"/>
    <cellStyle name="Normal 2 12" xfId="1230"/>
    <cellStyle name="Normal 2 12 2" xfId="4667"/>
    <cellStyle name="Normal 2 12 3" xfId="3530"/>
    <cellStyle name="Normal 2 12 3 2" xfId="5043"/>
    <cellStyle name="Normal 2 12 3 2 2" xfId="6668"/>
    <cellStyle name="Normal 2 12 3 2 2 2" xfId="9754"/>
    <cellStyle name="Normal 2 12 3 2 2 2 2" xfId="15947"/>
    <cellStyle name="Normal 2 12 3 2 2 2 3" xfId="22099"/>
    <cellStyle name="Normal 2 12 3 2 2 3" xfId="12881"/>
    <cellStyle name="Normal 2 12 3 2 2 4" xfId="19033"/>
    <cellStyle name="Normal 2 12 3 2 3" xfId="8219"/>
    <cellStyle name="Normal 2 12 3 2 3 2" xfId="14413"/>
    <cellStyle name="Normal 2 12 3 2 3 3" xfId="20565"/>
    <cellStyle name="Normal 2 12 3 2 4" xfId="11347"/>
    <cellStyle name="Normal 2 12 3 2 5" xfId="17499"/>
    <cellStyle name="Normal 2 12 3 3" xfId="5885"/>
    <cellStyle name="Normal 2 12 3 3 2" xfId="8985"/>
    <cellStyle name="Normal 2 12 3 3 2 2" xfId="15178"/>
    <cellStyle name="Normal 2 12 3 3 2 3" xfId="21330"/>
    <cellStyle name="Normal 2 12 3 3 3" xfId="12112"/>
    <cellStyle name="Normal 2 12 3 3 4" xfId="18264"/>
    <cellStyle name="Normal 2 12 3 4" xfId="7450"/>
    <cellStyle name="Normal 2 12 3 4 2" xfId="13644"/>
    <cellStyle name="Normal 2 12 3 4 3" xfId="19796"/>
    <cellStyle name="Normal 2 12 3 5" xfId="10578"/>
    <cellStyle name="Normal 2 12 3 6" xfId="16730"/>
    <cellStyle name="Normal 2 13" xfId="1231"/>
    <cellStyle name="Normal 2 13 2" xfId="4668"/>
    <cellStyle name="Normal 2 13 3" xfId="3531"/>
    <cellStyle name="Normal 2 13 3 2" xfId="5044"/>
    <cellStyle name="Normal 2 13 3 2 2" xfId="6669"/>
    <cellStyle name="Normal 2 13 3 2 2 2" xfId="9755"/>
    <cellStyle name="Normal 2 13 3 2 2 2 2" xfId="15948"/>
    <cellStyle name="Normal 2 13 3 2 2 2 3" xfId="22100"/>
    <cellStyle name="Normal 2 13 3 2 2 3" xfId="12882"/>
    <cellStyle name="Normal 2 13 3 2 2 4" xfId="19034"/>
    <cellStyle name="Normal 2 13 3 2 3" xfId="8220"/>
    <cellStyle name="Normal 2 13 3 2 3 2" xfId="14414"/>
    <cellStyle name="Normal 2 13 3 2 3 3" xfId="20566"/>
    <cellStyle name="Normal 2 13 3 2 4" xfId="11348"/>
    <cellStyle name="Normal 2 13 3 2 5" xfId="17500"/>
    <cellStyle name="Normal 2 13 3 3" xfId="5886"/>
    <cellStyle name="Normal 2 13 3 3 2" xfId="8986"/>
    <cellStyle name="Normal 2 13 3 3 2 2" xfId="15179"/>
    <cellStyle name="Normal 2 13 3 3 2 3" xfId="21331"/>
    <cellStyle name="Normal 2 13 3 3 3" xfId="12113"/>
    <cellStyle name="Normal 2 13 3 3 4" xfId="18265"/>
    <cellStyle name="Normal 2 13 3 4" xfId="7451"/>
    <cellStyle name="Normal 2 13 3 4 2" xfId="13645"/>
    <cellStyle name="Normal 2 13 3 4 3" xfId="19797"/>
    <cellStyle name="Normal 2 13 3 5" xfId="10579"/>
    <cellStyle name="Normal 2 13 3 6" xfId="16731"/>
    <cellStyle name="Normal 2 14" xfId="1232"/>
    <cellStyle name="Normal 2 14 2" xfId="4669"/>
    <cellStyle name="Normal 2 14 3" xfId="3532"/>
    <cellStyle name="Normal 2 14 3 2" xfId="5045"/>
    <cellStyle name="Normal 2 14 3 2 2" xfId="6670"/>
    <cellStyle name="Normal 2 14 3 2 2 2" xfId="9756"/>
    <cellStyle name="Normal 2 14 3 2 2 2 2" xfId="15949"/>
    <cellStyle name="Normal 2 14 3 2 2 2 3" xfId="22101"/>
    <cellStyle name="Normal 2 14 3 2 2 3" xfId="12883"/>
    <cellStyle name="Normal 2 14 3 2 2 4" xfId="19035"/>
    <cellStyle name="Normal 2 14 3 2 3" xfId="8221"/>
    <cellStyle name="Normal 2 14 3 2 3 2" xfId="14415"/>
    <cellStyle name="Normal 2 14 3 2 3 3" xfId="20567"/>
    <cellStyle name="Normal 2 14 3 2 4" xfId="11349"/>
    <cellStyle name="Normal 2 14 3 2 5" xfId="17501"/>
    <cellStyle name="Normal 2 14 3 3" xfId="5887"/>
    <cellStyle name="Normal 2 14 3 3 2" xfId="8987"/>
    <cellStyle name="Normal 2 14 3 3 2 2" xfId="15180"/>
    <cellStyle name="Normal 2 14 3 3 2 3" xfId="21332"/>
    <cellStyle name="Normal 2 14 3 3 3" xfId="12114"/>
    <cellStyle name="Normal 2 14 3 3 4" xfId="18266"/>
    <cellStyle name="Normal 2 14 3 4" xfId="7452"/>
    <cellStyle name="Normal 2 14 3 4 2" xfId="13646"/>
    <cellStyle name="Normal 2 14 3 4 3" xfId="19798"/>
    <cellStyle name="Normal 2 14 3 5" xfId="10580"/>
    <cellStyle name="Normal 2 14 3 6" xfId="16732"/>
    <cellStyle name="Normal 2 15" xfId="1233"/>
    <cellStyle name="Normal 2 15 2" xfId="4670"/>
    <cellStyle name="Normal 2 15 3" xfId="3533"/>
    <cellStyle name="Normal 2 15 3 2" xfId="5046"/>
    <cellStyle name="Normal 2 15 3 2 2" xfId="6671"/>
    <cellStyle name="Normal 2 15 3 2 2 2" xfId="9757"/>
    <cellStyle name="Normal 2 15 3 2 2 2 2" xfId="15950"/>
    <cellStyle name="Normal 2 15 3 2 2 2 3" xfId="22102"/>
    <cellStyle name="Normal 2 15 3 2 2 3" xfId="12884"/>
    <cellStyle name="Normal 2 15 3 2 2 4" xfId="19036"/>
    <cellStyle name="Normal 2 15 3 2 3" xfId="8222"/>
    <cellStyle name="Normal 2 15 3 2 3 2" xfId="14416"/>
    <cellStyle name="Normal 2 15 3 2 3 3" xfId="20568"/>
    <cellStyle name="Normal 2 15 3 2 4" xfId="11350"/>
    <cellStyle name="Normal 2 15 3 2 5" xfId="17502"/>
    <cellStyle name="Normal 2 15 3 3" xfId="5888"/>
    <cellStyle name="Normal 2 15 3 3 2" xfId="8988"/>
    <cellStyle name="Normal 2 15 3 3 2 2" xfId="15181"/>
    <cellStyle name="Normal 2 15 3 3 2 3" xfId="21333"/>
    <cellStyle name="Normal 2 15 3 3 3" xfId="12115"/>
    <cellStyle name="Normal 2 15 3 3 4" xfId="18267"/>
    <cellStyle name="Normal 2 15 3 4" xfId="7453"/>
    <cellStyle name="Normal 2 15 3 4 2" xfId="13647"/>
    <cellStyle name="Normal 2 15 3 4 3" xfId="19799"/>
    <cellStyle name="Normal 2 15 3 5" xfId="10581"/>
    <cellStyle name="Normal 2 15 3 6" xfId="16733"/>
    <cellStyle name="Normal 2 16" xfId="1234"/>
    <cellStyle name="Normal 2 16 2" xfId="4671"/>
    <cellStyle name="Normal 2 16 3" xfId="3534"/>
    <cellStyle name="Normal 2 16 3 2" xfId="5047"/>
    <cellStyle name="Normal 2 16 3 2 2" xfId="6672"/>
    <cellStyle name="Normal 2 16 3 2 2 2" xfId="9758"/>
    <cellStyle name="Normal 2 16 3 2 2 2 2" xfId="15951"/>
    <cellStyle name="Normal 2 16 3 2 2 2 3" xfId="22103"/>
    <cellStyle name="Normal 2 16 3 2 2 3" xfId="12885"/>
    <cellStyle name="Normal 2 16 3 2 2 4" xfId="19037"/>
    <cellStyle name="Normal 2 16 3 2 3" xfId="8223"/>
    <cellStyle name="Normal 2 16 3 2 3 2" xfId="14417"/>
    <cellStyle name="Normal 2 16 3 2 3 3" xfId="20569"/>
    <cellStyle name="Normal 2 16 3 2 4" xfId="11351"/>
    <cellStyle name="Normal 2 16 3 2 5" xfId="17503"/>
    <cellStyle name="Normal 2 16 3 3" xfId="5889"/>
    <cellStyle name="Normal 2 16 3 3 2" xfId="8989"/>
    <cellStyle name="Normal 2 16 3 3 2 2" xfId="15182"/>
    <cellStyle name="Normal 2 16 3 3 2 3" xfId="21334"/>
    <cellStyle name="Normal 2 16 3 3 3" xfId="12116"/>
    <cellStyle name="Normal 2 16 3 3 4" xfId="18268"/>
    <cellStyle name="Normal 2 16 3 4" xfId="7454"/>
    <cellStyle name="Normal 2 16 3 4 2" xfId="13648"/>
    <cellStyle name="Normal 2 16 3 4 3" xfId="19800"/>
    <cellStyle name="Normal 2 16 3 5" xfId="10582"/>
    <cellStyle name="Normal 2 16 3 6" xfId="16734"/>
    <cellStyle name="Normal 2 17" xfId="1235"/>
    <cellStyle name="Normal 2 17 2" xfId="4672"/>
    <cellStyle name="Normal 2 17 3" xfId="3535"/>
    <cellStyle name="Normal 2 17 3 2" xfId="5048"/>
    <cellStyle name="Normal 2 17 3 2 2" xfId="6673"/>
    <cellStyle name="Normal 2 17 3 2 2 2" xfId="9759"/>
    <cellStyle name="Normal 2 17 3 2 2 2 2" xfId="15952"/>
    <cellStyle name="Normal 2 17 3 2 2 2 3" xfId="22104"/>
    <cellStyle name="Normal 2 17 3 2 2 3" xfId="12886"/>
    <cellStyle name="Normal 2 17 3 2 2 4" xfId="19038"/>
    <cellStyle name="Normal 2 17 3 2 3" xfId="8224"/>
    <cellStyle name="Normal 2 17 3 2 3 2" xfId="14418"/>
    <cellStyle name="Normal 2 17 3 2 3 3" xfId="20570"/>
    <cellStyle name="Normal 2 17 3 2 4" xfId="11352"/>
    <cellStyle name="Normal 2 17 3 2 5" xfId="17504"/>
    <cellStyle name="Normal 2 17 3 3" xfId="5890"/>
    <cellStyle name="Normal 2 17 3 3 2" xfId="8990"/>
    <cellStyle name="Normal 2 17 3 3 2 2" xfId="15183"/>
    <cellStyle name="Normal 2 17 3 3 2 3" xfId="21335"/>
    <cellStyle name="Normal 2 17 3 3 3" xfId="12117"/>
    <cellStyle name="Normal 2 17 3 3 4" xfId="18269"/>
    <cellStyle name="Normal 2 17 3 4" xfId="7455"/>
    <cellStyle name="Normal 2 17 3 4 2" xfId="13649"/>
    <cellStyle name="Normal 2 17 3 4 3" xfId="19801"/>
    <cellStyle name="Normal 2 17 3 5" xfId="10583"/>
    <cellStyle name="Normal 2 17 3 6" xfId="16735"/>
    <cellStyle name="Normal 2 18" xfId="1236"/>
    <cellStyle name="Normal 2 18 2" xfId="4673"/>
    <cellStyle name="Normal 2 18 3" xfId="3536"/>
    <cellStyle name="Normal 2 18 3 2" xfId="5049"/>
    <cellStyle name="Normal 2 18 3 2 2" xfId="6674"/>
    <cellStyle name="Normal 2 18 3 2 2 2" xfId="9760"/>
    <cellStyle name="Normal 2 18 3 2 2 2 2" xfId="15953"/>
    <cellStyle name="Normal 2 18 3 2 2 2 3" xfId="22105"/>
    <cellStyle name="Normal 2 18 3 2 2 3" xfId="12887"/>
    <cellStyle name="Normal 2 18 3 2 2 4" xfId="19039"/>
    <cellStyle name="Normal 2 18 3 2 3" xfId="8225"/>
    <cellStyle name="Normal 2 18 3 2 3 2" xfId="14419"/>
    <cellStyle name="Normal 2 18 3 2 3 3" xfId="20571"/>
    <cellStyle name="Normal 2 18 3 2 4" xfId="11353"/>
    <cellStyle name="Normal 2 18 3 2 5" xfId="17505"/>
    <cellStyle name="Normal 2 18 3 3" xfId="5891"/>
    <cellStyle name="Normal 2 18 3 3 2" xfId="8991"/>
    <cellStyle name="Normal 2 18 3 3 2 2" xfId="15184"/>
    <cellStyle name="Normal 2 18 3 3 2 3" xfId="21336"/>
    <cellStyle name="Normal 2 18 3 3 3" xfId="12118"/>
    <cellStyle name="Normal 2 18 3 3 4" xfId="18270"/>
    <cellStyle name="Normal 2 18 3 4" xfId="7456"/>
    <cellStyle name="Normal 2 18 3 4 2" xfId="13650"/>
    <cellStyle name="Normal 2 18 3 4 3" xfId="19802"/>
    <cellStyle name="Normal 2 18 3 5" xfId="10584"/>
    <cellStyle name="Normal 2 18 3 6" xfId="16736"/>
    <cellStyle name="Normal 2 19" xfId="1237"/>
    <cellStyle name="Normal 2 19 2" xfId="4674"/>
    <cellStyle name="Normal 2 19 3" xfId="3537"/>
    <cellStyle name="Normal 2 19 3 2" xfId="5050"/>
    <cellStyle name="Normal 2 19 3 2 2" xfId="6675"/>
    <cellStyle name="Normal 2 19 3 2 2 2" xfId="9761"/>
    <cellStyle name="Normal 2 19 3 2 2 2 2" xfId="15954"/>
    <cellStyle name="Normal 2 19 3 2 2 2 3" xfId="22106"/>
    <cellStyle name="Normal 2 19 3 2 2 3" xfId="12888"/>
    <cellStyle name="Normal 2 19 3 2 2 4" xfId="19040"/>
    <cellStyle name="Normal 2 19 3 2 3" xfId="8226"/>
    <cellStyle name="Normal 2 19 3 2 3 2" xfId="14420"/>
    <cellStyle name="Normal 2 19 3 2 3 3" xfId="20572"/>
    <cellStyle name="Normal 2 19 3 2 4" xfId="11354"/>
    <cellStyle name="Normal 2 19 3 2 5" xfId="17506"/>
    <cellStyle name="Normal 2 19 3 3" xfId="5892"/>
    <cellStyle name="Normal 2 19 3 3 2" xfId="8992"/>
    <cellStyle name="Normal 2 19 3 3 2 2" xfId="15185"/>
    <cellStyle name="Normal 2 19 3 3 2 3" xfId="21337"/>
    <cellStyle name="Normal 2 19 3 3 3" xfId="12119"/>
    <cellStyle name="Normal 2 19 3 3 4" xfId="18271"/>
    <cellStyle name="Normal 2 19 3 4" xfId="7457"/>
    <cellStyle name="Normal 2 19 3 4 2" xfId="13651"/>
    <cellStyle name="Normal 2 19 3 4 3" xfId="19803"/>
    <cellStyle name="Normal 2 19 3 5" xfId="10585"/>
    <cellStyle name="Normal 2 19 3 6" xfId="16737"/>
    <cellStyle name="Normal 2 2" xfId="22"/>
    <cellStyle name="Normal 2 2 10" xfId="331"/>
    <cellStyle name="Normal 2 2 10 2" xfId="5051"/>
    <cellStyle name="Normal 2 2 10 2 2" xfId="6676"/>
    <cellStyle name="Normal 2 2 10 2 2 2" xfId="9762"/>
    <cellStyle name="Normal 2 2 10 2 2 2 2" xfId="15955"/>
    <cellStyle name="Normal 2 2 10 2 2 2 3" xfId="22107"/>
    <cellStyle name="Normal 2 2 10 2 2 3" xfId="12889"/>
    <cellStyle name="Normal 2 2 10 2 2 4" xfId="19041"/>
    <cellStyle name="Normal 2 2 10 2 3" xfId="8227"/>
    <cellStyle name="Normal 2 2 10 2 3 2" xfId="14421"/>
    <cellStyle name="Normal 2 2 10 2 3 3" xfId="20573"/>
    <cellStyle name="Normal 2 2 10 2 4" xfId="11355"/>
    <cellStyle name="Normal 2 2 10 2 5" xfId="17507"/>
    <cellStyle name="Normal 2 2 10 3" xfId="5893"/>
    <cellStyle name="Normal 2 2 10 3 2" xfId="8993"/>
    <cellStyle name="Normal 2 2 10 3 2 2" xfId="15186"/>
    <cellStyle name="Normal 2 2 10 3 2 3" xfId="21338"/>
    <cellStyle name="Normal 2 2 10 3 3" xfId="12120"/>
    <cellStyle name="Normal 2 2 10 3 4" xfId="18272"/>
    <cellStyle name="Normal 2 2 10 4" xfId="7458"/>
    <cellStyle name="Normal 2 2 10 4 2" xfId="13652"/>
    <cellStyle name="Normal 2 2 10 4 3" xfId="19804"/>
    <cellStyle name="Normal 2 2 10 5" xfId="10586"/>
    <cellStyle name="Normal 2 2 10 6" xfId="16738"/>
    <cellStyle name="Normal 2 2 10 7" xfId="3538"/>
    <cellStyle name="Normal 2 2 11" xfId="352"/>
    <cellStyle name="Normal 2 2 11 2" xfId="5052"/>
    <cellStyle name="Normal 2 2 11 2 2" xfId="6677"/>
    <cellStyle name="Normal 2 2 11 2 2 2" xfId="9763"/>
    <cellStyle name="Normal 2 2 11 2 2 2 2" xfId="15956"/>
    <cellStyle name="Normal 2 2 11 2 2 2 3" xfId="22108"/>
    <cellStyle name="Normal 2 2 11 2 2 3" xfId="12890"/>
    <cellStyle name="Normal 2 2 11 2 2 4" xfId="19042"/>
    <cellStyle name="Normal 2 2 11 2 3" xfId="8228"/>
    <cellStyle name="Normal 2 2 11 2 3 2" xfId="14422"/>
    <cellStyle name="Normal 2 2 11 2 3 3" xfId="20574"/>
    <cellStyle name="Normal 2 2 11 2 4" xfId="11356"/>
    <cellStyle name="Normal 2 2 11 2 5" xfId="17508"/>
    <cellStyle name="Normal 2 2 11 3" xfId="5894"/>
    <cellStyle name="Normal 2 2 11 3 2" xfId="8994"/>
    <cellStyle name="Normal 2 2 11 3 2 2" xfId="15187"/>
    <cellStyle name="Normal 2 2 11 3 2 3" xfId="21339"/>
    <cellStyle name="Normal 2 2 11 3 3" xfId="12121"/>
    <cellStyle name="Normal 2 2 11 3 4" xfId="18273"/>
    <cellStyle name="Normal 2 2 11 4" xfId="7459"/>
    <cellStyle name="Normal 2 2 11 4 2" xfId="13653"/>
    <cellStyle name="Normal 2 2 11 4 3" xfId="19805"/>
    <cellStyle name="Normal 2 2 11 5" xfId="10587"/>
    <cellStyle name="Normal 2 2 11 6" xfId="16739"/>
    <cellStyle name="Normal 2 2 11 7" xfId="3539"/>
    <cellStyle name="Normal 2 2 12" xfId="316"/>
    <cellStyle name="Normal 2 2 12 2" xfId="5053"/>
    <cellStyle name="Normal 2 2 12 2 2" xfId="6678"/>
    <cellStyle name="Normal 2 2 12 2 2 2" xfId="9764"/>
    <cellStyle name="Normal 2 2 12 2 2 2 2" xfId="15957"/>
    <cellStyle name="Normal 2 2 12 2 2 2 3" xfId="22109"/>
    <cellStyle name="Normal 2 2 12 2 2 3" xfId="12891"/>
    <cellStyle name="Normal 2 2 12 2 2 4" xfId="19043"/>
    <cellStyle name="Normal 2 2 12 2 3" xfId="8229"/>
    <cellStyle name="Normal 2 2 12 2 3 2" xfId="14423"/>
    <cellStyle name="Normal 2 2 12 2 3 3" xfId="20575"/>
    <cellStyle name="Normal 2 2 12 2 4" xfId="11357"/>
    <cellStyle name="Normal 2 2 12 2 5" xfId="17509"/>
    <cellStyle name="Normal 2 2 12 3" xfId="5895"/>
    <cellStyle name="Normal 2 2 12 3 2" xfId="8995"/>
    <cellStyle name="Normal 2 2 12 3 2 2" xfId="15188"/>
    <cellStyle name="Normal 2 2 12 3 2 3" xfId="21340"/>
    <cellStyle name="Normal 2 2 12 3 3" xfId="12122"/>
    <cellStyle name="Normal 2 2 12 3 4" xfId="18274"/>
    <cellStyle name="Normal 2 2 12 4" xfId="7460"/>
    <cellStyle name="Normal 2 2 12 4 2" xfId="13654"/>
    <cellStyle name="Normal 2 2 12 4 3" xfId="19806"/>
    <cellStyle name="Normal 2 2 12 5" xfId="10588"/>
    <cellStyle name="Normal 2 2 12 6" xfId="16740"/>
    <cellStyle name="Normal 2 2 12 7" xfId="3540"/>
    <cellStyle name="Normal 2 2 13" xfId="355"/>
    <cellStyle name="Normal 2 2 13 2" xfId="5054"/>
    <cellStyle name="Normal 2 2 13 2 2" xfId="6679"/>
    <cellStyle name="Normal 2 2 13 2 2 2" xfId="9765"/>
    <cellStyle name="Normal 2 2 13 2 2 2 2" xfId="15958"/>
    <cellStyle name="Normal 2 2 13 2 2 2 3" xfId="22110"/>
    <cellStyle name="Normal 2 2 13 2 2 3" xfId="12892"/>
    <cellStyle name="Normal 2 2 13 2 2 4" xfId="19044"/>
    <cellStyle name="Normal 2 2 13 2 3" xfId="8230"/>
    <cellStyle name="Normal 2 2 13 2 3 2" xfId="14424"/>
    <cellStyle name="Normal 2 2 13 2 3 3" xfId="20576"/>
    <cellStyle name="Normal 2 2 13 2 4" xfId="11358"/>
    <cellStyle name="Normal 2 2 13 2 5" xfId="17510"/>
    <cellStyle name="Normal 2 2 13 3" xfId="5896"/>
    <cellStyle name="Normal 2 2 13 3 2" xfId="8996"/>
    <cellStyle name="Normal 2 2 13 3 2 2" xfId="15189"/>
    <cellStyle name="Normal 2 2 13 3 2 3" xfId="21341"/>
    <cellStyle name="Normal 2 2 13 3 3" xfId="12123"/>
    <cellStyle name="Normal 2 2 13 3 4" xfId="18275"/>
    <cellStyle name="Normal 2 2 13 4" xfId="7461"/>
    <cellStyle name="Normal 2 2 13 4 2" xfId="13655"/>
    <cellStyle name="Normal 2 2 13 4 3" xfId="19807"/>
    <cellStyle name="Normal 2 2 13 5" xfId="10589"/>
    <cellStyle name="Normal 2 2 13 6" xfId="16741"/>
    <cellStyle name="Normal 2 2 13 7" xfId="3541"/>
    <cellStyle name="Normal 2 2 14" xfId="370"/>
    <cellStyle name="Normal 2 2 14 2" xfId="5055"/>
    <cellStyle name="Normal 2 2 14 2 2" xfId="6680"/>
    <cellStyle name="Normal 2 2 14 2 2 2" xfId="9766"/>
    <cellStyle name="Normal 2 2 14 2 2 2 2" xfId="15959"/>
    <cellStyle name="Normal 2 2 14 2 2 2 3" xfId="22111"/>
    <cellStyle name="Normal 2 2 14 2 2 3" xfId="12893"/>
    <cellStyle name="Normal 2 2 14 2 2 4" xfId="19045"/>
    <cellStyle name="Normal 2 2 14 2 3" xfId="8231"/>
    <cellStyle name="Normal 2 2 14 2 3 2" xfId="14425"/>
    <cellStyle name="Normal 2 2 14 2 3 3" xfId="20577"/>
    <cellStyle name="Normal 2 2 14 2 4" xfId="11359"/>
    <cellStyle name="Normal 2 2 14 2 5" xfId="17511"/>
    <cellStyle name="Normal 2 2 14 3" xfId="5897"/>
    <cellStyle name="Normal 2 2 14 3 2" xfId="8997"/>
    <cellStyle name="Normal 2 2 14 3 2 2" xfId="15190"/>
    <cellStyle name="Normal 2 2 14 3 2 3" xfId="21342"/>
    <cellStyle name="Normal 2 2 14 3 3" xfId="12124"/>
    <cellStyle name="Normal 2 2 14 3 4" xfId="18276"/>
    <cellStyle name="Normal 2 2 14 4" xfId="7462"/>
    <cellStyle name="Normal 2 2 14 4 2" xfId="13656"/>
    <cellStyle name="Normal 2 2 14 4 3" xfId="19808"/>
    <cellStyle name="Normal 2 2 14 5" xfId="10590"/>
    <cellStyle name="Normal 2 2 14 6" xfId="16742"/>
    <cellStyle name="Normal 2 2 14 7" xfId="3542"/>
    <cellStyle name="Normal 2 2 15" xfId="436"/>
    <cellStyle name="Normal 2 2 15 2" xfId="5056"/>
    <cellStyle name="Normal 2 2 15 2 2" xfId="6681"/>
    <cellStyle name="Normal 2 2 15 2 2 2" xfId="9767"/>
    <cellStyle name="Normal 2 2 15 2 2 2 2" xfId="15960"/>
    <cellStyle name="Normal 2 2 15 2 2 2 3" xfId="22112"/>
    <cellStyle name="Normal 2 2 15 2 2 3" xfId="12894"/>
    <cellStyle name="Normal 2 2 15 2 2 4" xfId="19046"/>
    <cellStyle name="Normal 2 2 15 2 3" xfId="8232"/>
    <cellStyle name="Normal 2 2 15 2 3 2" xfId="14426"/>
    <cellStyle name="Normal 2 2 15 2 3 3" xfId="20578"/>
    <cellStyle name="Normal 2 2 15 2 4" xfId="11360"/>
    <cellStyle name="Normal 2 2 15 2 5" xfId="17512"/>
    <cellStyle name="Normal 2 2 15 3" xfId="5898"/>
    <cellStyle name="Normal 2 2 15 3 2" xfId="8998"/>
    <cellStyle name="Normal 2 2 15 3 2 2" xfId="15191"/>
    <cellStyle name="Normal 2 2 15 3 2 3" xfId="21343"/>
    <cellStyle name="Normal 2 2 15 3 3" xfId="12125"/>
    <cellStyle name="Normal 2 2 15 3 4" xfId="18277"/>
    <cellStyle name="Normal 2 2 15 4" xfId="7463"/>
    <cellStyle name="Normal 2 2 15 4 2" xfId="13657"/>
    <cellStyle name="Normal 2 2 15 4 3" xfId="19809"/>
    <cellStyle name="Normal 2 2 15 5" xfId="10591"/>
    <cellStyle name="Normal 2 2 15 6" xfId="16743"/>
    <cellStyle name="Normal 2 2 15 7" xfId="3543"/>
    <cellStyle name="Normal 2 2 16" xfId="456"/>
    <cellStyle name="Normal 2 2 16 2" xfId="5057"/>
    <cellStyle name="Normal 2 2 16 2 2" xfId="6682"/>
    <cellStyle name="Normal 2 2 16 2 2 2" xfId="9768"/>
    <cellStyle name="Normal 2 2 16 2 2 2 2" xfId="15961"/>
    <cellStyle name="Normal 2 2 16 2 2 2 3" xfId="22113"/>
    <cellStyle name="Normal 2 2 16 2 2 3" xfId="12895"/>
    <cellStyle name="Normal 2 2 16 2 2 4" xfId="19047"/>
    <cellStyle name="Normal 2 2 16 2 3" xfId="8233"/>
    <cellStyle name="Normal 2 2 16 2 3 2" xfId="14427"/>
    <cellStyle name="Normal 2 2 16 2 3 3" xfId="20579"/>
    <cellStyle name="Normal 2 2 16 2 4" xfId="11361"/>
    <cellStyle name="Normal 2 2 16 2 5" xfId="17513"/>
    <cellStyle name="Normal 2 2 16 3" xfId="5899"/>
    <cellStyle name="Normal 2 2 16 3 2" xfId="8999"/>
    <cellStyle name="Normal 2 2 16 3 2 2" xfId="15192"/>
    <cellStyle name="Normal 2 2 16 3 2 3" xfId="21344"/>
    <cellStyle name="Normal 2 2 16 3 3" xfId="12126"/>
    <cellStyle name="Normal 2 2 16 3 4" xfId="18278"/>
    <cellStyle name="Normal 2 2 16 4" xfId="7464"/>
    <cellStyle name="Normal 2 2 16 4 2" xfId="13658"/>
    <cellStyle name="Normal 2 2 16 4 3" xfId="19810"/>
    <cellStyle name="Normal 2 2 16 5" xfId="10592"/>
    <cellStyle name="Normal 2 2 16 6" xfId="16744"/>
    <cellStyle name="Normal 2 2 16 7" xfId="3544"/>
    <cellStyle name="Normal 2 2 17" xfId="479"/>
    <cellStyle name="Normal 2 2 17 2" xfId="5058"/>
    <cellStyle name="Normal 2 2 17 2 2" xfId="6683"/>
    <cellStyle name="Normal 2 2 17 2 2 2" xfId="9769"/>
    <cellStyle name="Normal 2 2 17 2 2 2 2" xfId="15962"/>
    <cellStyle name="Normal 2 2 17 2 2 2 3" xfId="22114"/>
    <cellStyle name="Normal 2 2 17 2 2 3" xfId="12896"/>
    <cellStyle name="Normal 2 2 17 2 2 4" xfId="19048"/>
    <cellStyle name="Normal 2 2 17 2 3" xfId="8234"/>
    <cellStyle name="Normal 2 2 17 2 3 2" xfId="14428"/>
    <cellStyle name="Normal 2 2 17 2 3 3" xfId="20580"/>
    <cellStyle name="Normal 2 2 17 2 4" xfId="11362"/>
    <cellStyle name="Normal 2 2 17 2 5" xfId="17514"/>
    <cellStyle name="Normal 2 2 17 3" xfId="5900"/>
    <cellStyle name="Normal 2 2 17 3 2" xfId="9000"/>
    <cellStyle name="Normal 2 2 17 3 2 2" xfId="15193"/>
    <cellStyle name="Normal 2 2 17 3 2 3" xfId="21345"/>
    <cellStyle name="Normal 2 2 17 3 3" xfId="12127"/>
    <cellStyle name="Normal 2 2 17 3 4" xfId="18279"/>
    <cellStyle name="Normal 2 2 17 4" xfId="7465"/>
    <cellStyle name="Normal 2 2 17 4 2" xfId="13659"/>
    <cellStyle name="Normal 2 2 17 4 3" xfId="19811"/>
    <cellStyle name="Normal 2 2 17 5" xfId="10593"/>
    <cellStyle name="Normal 2 2 17 6" xfId="16745"/>
    <cellStyle name="Normal 2 2 17 7" xfId="3545"/>
    <cellStyle name="Normal 2 2 18" xfId="514"/>
    <cellStyle name="Normal 2 2 18 2" xfId="5059"/>
    <cellStyle name="Normal 2 2 18 2 2" xfId="6684"/>
    <cellStyle name="Normal 2 2 18 2 2 2" xfId="9770"/>
    <cellStyle name="Normal 2 2 18 2 2 2 2" xfId="15963"/>
    <cellStyle name="Normal 2 2 18 2 2 2 3" xfId="22115"/>
    <cellStyle name="Normal 2 2 18 2 2 3" xfId="12897"/>
    <cellStyle name="Normal 2 2 18 2 2 4" xfId="19049"/>
    <cellStyle name="Normal 2 2 18 2 3" xfId="8235"/>
    <cellStyle name="Normal 2 2 18 2 3 2" xfId="14429"/>
    <cellStyle name="Normal 2 2 18 2 3 3" xfId="20581"/>
    <cellStyle name="Normal 2 2 18 2 4" xfId="11363"/>
    <cellStyle name="Normal 2 2 18 2 5" xfId="17515"/>
    <cellStyle name="Normal 2 2 18 3" xfId="5901"/>
    <cellStyle name="Normal 2 2 18 3 2" xfId="9001"/>
    <cellStyle name="Normal 2 2 18 3 2 2" xfId="15194"/>
    <cellStyle name="Normal 2 2 18 3 2 3" xfId="21346"/>
    <cellStyle name="Normal 2 2 18 3 3" xfId="12128"/>
    <cellStyle name="Normal 2 2 18 3 4" xfId="18280"/>
    <cellStyle name="Normal 2 2 18 4" xfId="7466"/>
    <cellStyle name="Normal 2 2 18 4 2" xfId="13660"/>
    <cellStyle name="Normal 2 2 18 4 3" xfId="19812"/>
    <cellStyle name="Normal 2 2 18 5" xfId="10594"/>
    <cellStyle name="Normal 2 2 18 6" xfId="16746"/>
    <cellStyle name="Normal 2 2 18 7" xfId="3546"/>
    <cellStyle name="Normal 2 2 19" xfId="527"/>
    <cellStyle name="Normal 2 2 19 2" xfId="5060"/>
    <cellStyle name="Normal 2 2 19 2 2" xfId="6685"/>
    <cellStyle name="Normal 2 2 19 2 2 2" xfId="9771"/>
    <cellStyle name="Normal 2 2 19 2 2 2 2" xfId="15964"/>
    <cellStyle name="Normal 2 2 19 2 2 2 3" xfId="22116"/>
    <cellStyle name="Normal 2 2 19 2 2 3" xfId="12898"/>
    <cellStyle name="Normal 2 2 19 2 2 4" xfId="19050"/>
    <cellStyle name="Normal 2 2 19 2 3" xfId="8236"/>
    <cellStyle name="Normal 2 2 19 2 3 2" xfId="14430"/>
    <cellStyle name="Normal 2 2 19 2 3 3" xfId="20582"/>
    <cellStyle name="Normal 2 2 19 2 4" xfId="11364"/>
    <cellStyle name="Normal 2 2 19 2 5" xfId="17516"/>
    <cellStyle name="Normal 2 2 19 3" xfId="5902"/>
    <cellStyle name="Normal 2 2 19 3 2" xfId="9002"/>
    <cellStyle name="Normal 2 2 19 3 2 2" xfId="15195"/>
    <cellStyle name="Normal 2 2 19 3 2 3" xfId="21347"/>
    <cellStyle name="Normal 2 2 19 3 3" xfId="12129"/>
    <cellStyle name="Normal 2 2 19 3 4" xfId="18281"/>
    <cellStyle name="Normal 2 2 19 4" xfId="7467"/>
    <cellStyle name="Normal 2 2 19 4 2" xfId="13661"/>
    <cellStyle name="Normal 2 2 19 4 3" xfId="19813"/>
    <cellStyle name="Normal 2 2 19 5" xfId="10595"/>
    <cellStyle name="Normal 2 2 19 6" xfId="16747"/>
    <cellStyle name="Normal 2 2 19 7" xfId="3547"/>
    <cellStyle name="Normal 2 2 2" xfId="75"/>
    <cellStyle name="Normal 2 2 2 2" xfId="222"/>
    <cellStyle name="Normal 2 2 2 2 10" xfId="16748"/>
    <cellStyle name="Normal 2 2 2 2 11" xfId="3549"/>
    <cellStyle name="Normal 2 2 2 2 2" xfId="3550"/>
    <cellStyle name="Normal 2 2 2 2 2 2" xfId="3551"/>
    <cellStyle name="Normal 2 2 2 2 2 2 2" xfId="5063"/>
    <cellStyle name="Normal 2 2 2 2 2 2 2 2" xfId="6688"/>
    <cellStyle name="Normal 2 2 2 2 2 2 2 2 2" xfId="9774"/>
    <cellStyle name="Normal 2 2 2 2 2 2 2 2 2 2" xfId="15967"/>
    <cellStyle name="Normal 2 2 2 2 2 2 2 2 2 3" xfId="22119"/>
    <cellStyle name="Normal 2 2 2 2 2 2 2 2 3" xfId="12901"/>
    <cellStyle name="Normal 2 2 2 2 2 2 2 2 4" xfId="19053"/>
    <cellStyle name="Normal 2 2 2 2 2 2 2 3" xfId="8239"/>
    <cellStyle name="Normal 2 2 2 2 2 2 2 3 2" xfId="14433"/>
    <cellStyle name="Normal 2 2 2 2 2 2 2 3 3" xfId="20585"/>
    <cellStyle name="Normal 2 2 2 2 2 2 2 4" xfId="11367"/>
    <cellStyle name="Normal 2 2 2 2 2 2 2 5" xfId="17519"/>
    <cellStyle name="Normal 2 2 2 2 2 2 3" xfId="5905"/>
    <cellStyle name="Normal 2 2 2 2 2 2 3 2" xfId="9005"/>
    <cellStyle name="Normal 2 2 2 2 2 2 3 2 2" xfId="15198"/>
    <cellStyle name="Normal 2 2 2 2 2 2 3 2 3" xfId="21350"/>
    <cellStyle name="Normal 2 2 2 2 2 2 3 3" xfId="12132"/>
    <cellStyle name="Normal 2 2 2 2 2 2 3 4" xfId="18284"/>
    <cellStyle name="Normal 2 2 2 2 2 2 4" xfId="7470"/>
    <cellStyle name="Normal 2 2 2 2 2 2 4 2" xfId="13664"/>
    <cellStyle name="Normal 2 2 2 2 2 2 4 3" xfId="19816"/>
    <cellStyle name="Normal 2 2 2 2 2 2 5" xfId="10598"/>
    <cellStyle name="Normal 2 2 2 2 2 2 6" xfId="16750"/>
    <cellStyle name="Normal 2 2 2 2 2 3" xfId="5062"/>
    <cellStyle name="Normal 2 2 2 2 2 3 2" xfId="6687"/>
    <cellStyle name="Normal 2 2 2 2 2 3 2 2" xfId="9773"/>
    <cellStyle name="Normal 2 2 2 2 2 3 2 2 2" xfId="15966"/>
    <cellStyle name="Normal 2 2 2 2 2 3 2 2 3" xfId="22118"/>
    <cellStyle name="Normal 2 2 2 2 2 3 2 3" xfId="12900"/>
    <cellStyle name="Normal 2 2 2 2 2 3 2 4" xfId="19052"/>
    <cellStyle name="Normal 2 2 2 2 2 3 3" xfId="8238"/>
    <cellStyle name="Normal 2 2 2 2 2 3 3 2" xfId="14432"/>
    <cellStyle name="Normal 2 2 2 2 2 3 3 3" xfId="20584"/>
    <cellStyle name="Normal 2 2 2 2 2 3 4" xfId="11366"/>
    <cellStyle name="Normal 2 2 2 2 2 3 5" xfId="17518"/>
    <cellStyle name="Normal 2 2 2 2 2 4" xfId="5904"/>
    <cellStyle name="Normal 2 2 2 2 2 4 2" xfId="9004"/>
    <cellStyle name="Normal 2 2 2 2 2 4 2 2" xfId="15197"/>
    <cellStyle name="Normal 2 2 2 2 2 4 2 3" xfId="21349"/>
    <cellStyle name="Normal 2 2 2 2 2 4 3" xfId="12131"/>
    <cellStyle name="Normal 2 2 2 2 2 4 4" xfId="18283"/>
    <cellStyle name="Normal 2 2 2 2 2 5" xfId="7469"/>
    <cellStyle name="Normal 2 2 2 2 2 5 2" xfId="13663"/>
    <cellStyle name="Normal 2 2 2 2 2 5 3" xfId="19815"/>
    <cellStyle name="Normal 2 2 2 2 2 6" xfId="10597"/>
    <cellStyle name="Normal 2 2 2 2 2 7" xfId="16749"/>
    <cellStyle name="Normal 2 2 2 2 3" xfId="3552"/>
    <cellStyle name="Normal 2 2 2 2 3 2" xfId="5064"/>
    <cellStyle name="Normal 2 2 2 2 3 2 2" xfId="6689"/>
    <cellStyle name="Normal 2 2 2 2 3 2 2 2" xfId="9775"/>
    <cellStyle name="Normal 2 2 2 2 3 2 2 2 2" xfId="15968"/>
    <cellStyle name="Normal 2 2 2 2 3 2 2 2 3" xfId="22120"/>
    <cellStyle name="Normal 2 2 2 2 3 2 2 3" xfId="12902"/>
    <cellStyle name="Normal 2 2 2 2 3 2 2 4" xfId="19054"/>
    <cellStyle name="Normal 2 2 2 2 3 2 3" xfId="8240"/>
    <cellStyle name="Normal 2 2 2 2 3 2 3 2" xfId="14434"/>
    <cellStyle name="Normal 2 2 2 2 3 2 3 3" xfId="20586"/>
    <cellStyle name="Normal 2 2 2 2 3 2 4" xfId="11368"/>
    <cellStyle name="Normal 2 2 2 2 3 2 5" xfId="17520"/>
    <cellStyle name="Normal 2 2 2 2 3 3" xfId="5906"/>
    <cellStyle name="Normal 2 2 2 2 3 3 2" xfId="9006"/>
    <cellStyle name="Normal 2 2 2 2 3 3 2 2" xfId="15199"/>
    <cellStyle name="Normal 2 2 2 2 3 3 2 3" xfId="21351"/>
    <cellStyle name="Normal 2 2 2 2 3 3 3" xfId="12133"/>
    <cellStyle name="Normal 2 2 2 2 3 3 4" xfId="18285"/>
    <cellStyle name="Normal 2 2 2 2 3 4" xfId="7471"/>
    <cellStyle name="Normal 2 2 2 2 3 4 2" xfId="13665"/>
    <cellStyle name="Normal 2 2 2 2 3 4 3" xfId="19817"/>
    <cellStyle name="Normal 2 2 2 2 3 5" xfId="10599"/>
    <cellStyle name="Normal 2 2 2 2 3 6" xfId="16751"/>
    <cellStyle name="Normal 2 2 2 2 4" xfId="3553"/>
    <cellStyle name="Normal 2 2 2 2 4 2" xfId="5065"/>
    <cellStyle name="Normal 2 2 2 2 4 2 2" xfId="6690"/>
    <cellStyle name="Normal 2 2 2 2 4 2 2 2" xfId="9776"/>
    <cellStyle name="Normal 2 2 2 2 4 2 2 2 2" xfId="15969"/>
    <cellStyle name="Normal 2 2 2 2 4 2 2 2 3" xfId="22121"/>
    <cellStyle name="Normal 2 2 2 2 4 2 2 3" xfId="12903"/>
    <cellStyle name="Normal 2 2 2 2 4 2 2 4" xfId="19055"/>
    <cellStyle name="Normal 2 2 2 2 4 2 3" xfId="8241"/>
    <cellStyle name="Normal 2 2 2 2 4 2 3 2" xfId="14435"/>
    <cellStyle name="Normal 2 2 2 2 4 2 3 3" xfId="20587"/>
    <cellStyle name="Normal 2 2 2 2 4 2 4" xfId="11369"/>
    <cellStyle name="Normal 2 2 2 2 4 2 5" xfId="17521"/>
    <cellStyle name="Normal 2 2 2 2 4 3" xfId="5907"/>
    <cellStyle name="Normal 2 2 2 2 4 3 2" xfId="9007"/>
    <cellStyle name="Normal 2 2 2 2 4 3 2 2" xfId="15200"/>
    <cellStyle name="Normal 2 2 2 2 4 3 2 3" xfId="21352"/>
    <cellStyle name="Normal 2 2 2 2 4 3 3" xfId="12134"/>
    <cellStyle name="Normal 2 2 2 2 4 3 4" xfId="18286"/>
    <cellStyle name="Normal 2 2 2 2 4 4" xfId="7472"/>
    <cellStyle name="Normal 2 2 2 2 4 4 2" xfId="13666"/>
    <cellStyle name="Normal 2 2 2 2 4 4 3" xfId="19818"/>
    <cellStyle name="Normal 2 2 2 2 4 5" xfId="10600"/>
    <cellStyle name="Normal 2 2 2 2 4 6" xfId="16752"/>
    <cellStyle name="Normal 2 2 2 2 5" xfId="3554"/>
    <cellStyle name="Normal 2 2 2 2 5 2" xfId="5066"/>
    <cellStyle name="Normal 2 2 2 2 5 2 2" xfId="6691"/>
    <cellStyle name="Normal 2 2 2 2 5 2 2 2" xfId="9777"/>
    <cellStyle name="Normal 2 2 2 2 5 2 2 2 2" xfId="15970"/>
    <cellStyle name="Normal 2 2 2 2 5 2 2 2 3" xfId="22122"/>
    <cellStyle name="Normal 2 2 2 2 5 2 2 3" xfId="12904"/>
    <cellStyle name="Normal 2 2 2 2 5 2 2 4" xfId="19056"/>
    <cellStyle name="Normal 2 2 2 2 5 2 3" xfId="8242"/>
    <cellStyle name="Normal 2 2 2 2 5 2 3 2" xfId="14436"/>
    <cellStyle name="Normal 2 2 2 2 5 2 3 3" xfId="20588"/>
    <cellStyle name="Normal 2 2 2 2 5 2 4" xfId="11370"/>
    <cellStyle name="Normal 2 2 2 2 5 2 5" xfId="17522"/>
    <cellStyle name="Normal 2 2 2 2 5 3" xfId="5908"/>
    <cellStyle name="Normal 2 2 2 2 5 3 2" xfId="9008"/>
    <cellStyle name="Normal 2 2 2 2 5 3 2 2" xfId="15201"/>
    <cellStyle name="Normal 2 2 2 2 5 3 2 3" xfId="21353"/>
    <cellStyle name="Normal 2 2 2 2 5 3 3" xfId="12135"/>
    <cellStyle name="Normal 2 2 2 2 5 3 4" xfId="18287"/>
    <cellStyle name="Normal 2 2 2 2 5 4" xfId="7473"/>
    <cellStyle name="Normal 2 2 2 2 5 4 2" xfId="13667"/>
    <cellStyle name="Normal 2 2 2 2 5 4 3" xfId="19819"/>
    <cellStyle name="Normal 2 2 2 2 5 5" xfId="10601"/>
    <cellStyle name="Normal 2 2 2 2 5 6" xfId="16753"/>
    <cellStyle name="Normal 2 2 2 2 6" xfId="5061"/>
    <cellStyle name="Normal 2 2 2 2 6 2" xfId="6686"/>
    <cellStyle name="Normal 2 2 2 2 6 2 2" xfId="9772"/>
    <cellStyle name="Normal 2 2 2 2 6 2 2 2" xfId="15965"/>
    <cellStyle name="Normal 2 2 2 2 6 2 2 3" xfId="22117"/>
    <cellStyle name="Normal 2 2 2 2 6 2 3" xfId="12899"/>
    <cellStyle name="Normal 2 2 2 2 6 2 4" xfId="19051"/>
    <cellStyle name="Normal 2 2 2 2 6 3" xfId="8237"/>
    <cellStyle name="Normal 2 2 2 2 6 3 2" xfId="14431"/>
    <cellStyle name="Normal 2 2 2 2 6 3 3" xfId="20583"/>
    <cellStyle name="Normal 2 2 2 2 6 4" xfId="11365"/>
    <cellStyle name="Normal 2 2 2 2 6 5" xfId="17517"/>
    <cellStyle name="Normal 2 2 2 2 7" xfId="5903"/>
    <cellStyle name="Normal 2 2 2 2 7 2" xfId="9003"/>
    <cellStyle name="Normal 2 2 2 2 7 2 2" xfId="15196"/>
    <cellStyle name="Normal 2 2 2 2 7 2 3" xfId="21348"/>
    <cellStyle name="Normal 2 2 2 2 7 3" xfId="12130"/>
    <cellStyle name="Normal 2 2 2 2 7 4" xfId="18282"/>
    <cellStyle name="Normal 2 2 2 2 8" xfId="7468"/>
    <cellStyle name="Normal 2 2 2 2 8 2" xfId="13662"/>
    <cellStyle name="Normal 2 2 2 2 8 3" xfId="19814"/>
    <cellStyle name="Normal 2 2 2 2 9" xfId="10596"/>
    <cellStyle name="Normal 2 2 2 3" xfId="3555"/>
    <cellStyle name="Normal 2 2 2 4" xfId="3556"/>
    <cellStyle name="Normal 2 2 2 4 2" xfId="3557"/>
    <cellStyle name="Normal 2 2 2 5" xfId="3558"/>
    <cellStyle name="Normal 2 2 2 5 2" xfId="3559"/>
    <cellStyle name="Normal 2 2 2 6" xfId="3548"/>
    <cellStyle name="Normal 2 2 2 7" xfId="1170"/>
    <cellStyle name="Normal 2 2 2 8" xfId="212"/>
    <cellStyle name="Normal 2 2 2 9" xfId="23235"/>
    <cellStyle name="Normal 2 2 20" xfId="554"/>
    <cellStyle name="Normal 2 2 20 2" xfId="5067"/>
    <cellStyle name="Normal 2 2 20 2 2" xfId="6692"/>
    <cellStyle name="Normal 2 2 20 2 2 2" xfId="9778"/>
    <cellStyle name="Normal 2 2 20 2 2 2 2" xfId="15971"/>
    <cellStyle name="Normal 2 2 20 2 2 2 3" xfId="22123"/>
    <cellStyle name="Normal 2 2 20 2 2 3" xfId="12905"/>
    <cellStyle name="Normal 2 2 20 2 2 4" xfId="19057"/>
    <cellStyle name="Normal 2 2 20 2 3" xfId="8243"/>
    <cellStyle name="Normal 2 2 20 2 3 2" xfId="14437"/>
    <cellStyle name="Normal 2 2 20 2 3 3" xfId="20589"/>
    <cellStyle name="Normal 2 2 20 2 4" xfId="11371"/>
    <cellStyle name="Normal 2 2 20 2 5" xfId="17523"/>
    <cellStyle name="Normal 2 2 20 3" xfId="5909"/>
    <cellStyle name="Normal 2 2 20 3 2" xfId="9009"/>
    <cellStyle name="Normal 2 2 20 3 2 2" xfId="15202"/>
    <cellStyle name="Normal 2 2 20 3 2 3" xfId="21354"/>
    <cellStyle name="Normal 2 2 20 3 3" xfId="12136"/>
    <cellStyle name="Normal 2 2 20 3 4" xfId="18288"/>
    <cellStyle name="Normal 2 2 20 4" xfId="7474"/>
    <cellStyle name="Normal 2 2 20 4 2" xfId="13668"/>
    <cellStyle name="Normal 2 2 20 4 3" xfId="19820"/>
    <cellStyle name="Normal 2 2 20 5" xfId="10602"/>
    <cellStyle name="Normal 2 2 20 6" xfId="16754"/>
    <cellStyle name="Normal 2 2 20 7" xfId="3560"/>
    <cellStyle name="Normal 2 2 21" xfId="582"/>
    <cellStyle name="Normal 2 2 21 2" xfId="5068"/>
    <cellStyle name="Normal 2 2 21 2 2" xfId="6693"/>
    <cellStyle name="Normal 2 2 21 2 2 2" xfId="9779"/>
    <cellStyle name="Normal 2 2 21 2 2 2 2" xfId="15972"/>
    <cellStyle name="Normal 2 2 21 2 2 2 3" xfId="22124"/>
    <cellStyle name="Normal 2 2 21 2 2 3" xfId="12906"/>
    <cellStyle name="Normal 2 2 21 2 2 4" xfId="19058"/>
    <cellStyle name="Normal 2 2 21 2 3" xfId="8244"/>
    <cellStyle name="Normal 2 2 21 2 3 2" xfId="14438"/>
    <cellStyle name="Normal 2 2 21 2 3 3" xfId="20590"/>
    <cellStyle name="Normal 2 2 21 2 4" xfId="11372"/>
    <cellStyle name="Normal 2 2 21 2 5" xfId="17524"/>
    <cellStyle name="Normal 2 2 21 3" xfId="5910"/>
    <cellStyle name="Normal 2 2 21 3 2" xfId="9010"/>
    <cellStyle name="Normal 2 2 21 3 2 2" xfId="15203"/>
    <cellStyle name="Normal 2 2 21 3 2 3" xfId="21355"/>
    <cellStyle name="Normal 2 2 21 3 3" xfId="12137"/>
    <cellStyle name="Normal 2 2 21 3 4" xfId="18289"/>
    <cellStyle name="Normal 2 2 21 4" xfId="7475"/>
    <cellStyle name="Normal 2 2 21 4 2" xfId="13669"/>
    <cellStyle name="Normal 2 2 21 4 3" xfId="19821"/>
    <cellStyle name="Normal 2 2 21 5" xfId="10603"/>
    <cellStyle name="Normal 2 2 21 6" xfId="16755"/>
    <cellStyle name="Normal 2 2 21 7" xfId="3561"/>
    <cellStyle name="Normal 2 2 22" xfId="599"/>
    <cellStyle name="Normal 2 2 22 2" xfId="5069"/>
    <cellStyle name="Normal 2 2 22 2 2" xfId="6694"/>
    <cellStyle name="Normal 2 2 22 2 2 2" xfId="9780"/>
    <cellStyle name="Normal 2 2 22 2 2 2 2" xfId="15973"/>
    <cellStyle name="Normal 2 2 22 2 2 2 3" xfId="22125"/>
    <cellStyle name="Normal 2 2 22 2 2 3" xfId="12907"/>
    <cellStyle name="Normal 2 2 22 2 2 4" xfId="19059"/>
    <cellStyle name="Normal 2 2 22 2 3" xfId="8245"/>
    <cellStyle name="Normal 2 2 22 2 3 2" xfId="14439"/>
    <cellStyle name="Normal 2 2 22 2 3 3" xfId="20591"/>
    <cellStyle name="Normal 2 2 22 2 4" xfId="11373"/>
    <cellStyle name="Normal 2 2 22 2 5" xfId="17525"/>
    <cellStyle name="Normal 2 2 22 3" xfId="5911"/>
    <cellStyle name="Normal 2 2 22 3 2" xfId="9011"/>
    <cellStyle name="Normal 2 2 22 3 2 2" xfId="15204"/>
    <cellStyle name="Normal 2 2 22 3 2 3" xfId="21356"/>
    <cellStyle name="Normal 2 2 22 3 3" xfId="12138"/>
    <cellStyle name="Normal 2 2 22 3 4" xfId="18290"/>
    <cellStyle name="Normal 2 2 22 4" xfId="7476"/>
    <cellStyle name="Normal 2 2 22 4 2" xfId="13670"/>
    <cellStyle name="Normal 2 2 22 4 3" xfId="19822"/>
    <cellStyle name="Normal 2 2 22 5" xfId="10604"/>
    <cellStyle name="Normal 2 2 22 6" xfId="16756"/>
    <cellStyle name="Normal 2 2 22 7" xfId="3562"/>
    <cellStyle name="Normal 2 2 23" xfId="623"/>
    <cellStyle name="Normal 2 2 23 2" xfId="3564"/>
    <cellStyle name="Normal 2 2 23 3" xfId="3563"/>
    <cellStyle name="Normal 2 2 24" xfId="664"/>
    <cellStyle name="Normal 2 2 24 2" xfId="3566"/>
    <cellStyle name="Normal 2 2 24 3" xfId="3565"/>
    <cellStyle name="Normal 2 2 25" xfId="692"/>
    <cellStyle name="Normal 2 2 25 2" xfId="10243"/>
    <cellStyle name="Normal 2 2 26" xfId="724"/>
    <cellStyle name="Normal 2 2 27" xfId="751"/>
    <cellStyle name="Normal 2 2 28" xfId="777"/>
    <cellStyle name="Normal 2 2 29" xfId="801"/>
    <cellStyle name="Normal 2 2 3" xfId="94"/>
    <cellStyle name="Normal 2 2 3 10" xfId="5912"/>
    <cellStyle name="Normal 2 2 3 10 2" xfId="9012"/>
    <cellStyle name="Normal 2 2 3 10 2 2" xfId="15205"/>
    <cellStyle name="Normal 2 2 3 10 2 3" xfId="21357"/>
    <cellStyle name="Normal 2 2 3 10 3" xfId="12139"/>
    <cellStyle name="Normal 2 2 3 10 4" xfId="18291"/>
    <cellStyle name="Normal 2 2 3 11" xfId="7477"/>
    <cellStyle name="Normal 2 2 3 11 2" xfId="13671"/>
    <cellStyle name="Normal 2 2 3 11 3" xfId="19823"/>
    <cellStyle name="Normal 2 2 3 12" xfId="10605"/>
    <cellStyle name="Normal 2 2 3 13" xfId="16757"/>
    <cellStyle name="Normal 2 2 3 14" xfId="3567"/>
    <cellStyle name="Normal 2 2 3 15" xfId="247"/>
    <cellStyle name="Normal 2 2 3 2" xfId="140"/>
    <cellStyle name="Normal 2 2 3 2 2" xfId="5071"/>
    <cellStyle name="Normal 2 2 3 2 2 2" xfId="6696"/>
    <cellStyle name="Normal 2 2 3 2 2 2 2" xfId="9782"/>
    <cellStyle name="Normal 2 2 3 2 2 2 2 2" xfId="15975"/>
    <cellStyle name="Normal 2 2 3 2 2 2 2 3" xfId="22127"/>
    <cellStyle name="Normal 2 2 3 2 2 2 3" xfId="12909"/>
    <cellStyle name="Normal 2 2 3 2 2 2 4" xfId="19061"/>
    <cellStyle name="Normal 2 2 3 2 2 3" xfId="8247"/>
    <cellStyle name="Normal 2 2 3 2 2 3 2" xfId="14441"/>
    <cellStyle name="Normal 2 2 3 2 2 3 3" xfId="20593"/>
    <cellStyle name="Normal 2 2 3 2 2 4" xfId="11375"/>
    <cellStyle name="Normal 2 2 3 2 2 5" xfId="17527"/>
    <cellStyle name="Normal 2 2 3 2 3" xfId="5913"/>
    <cellStyle name="Normal 2 2 3 2 3 2" xfId="9013"/>
    <cellStyle name="Normal 2 2 3 2 3 2 2" xfId="15206"/>
    <cellStyle name="Normal 2 2 3 2 3 2 3" xfId="21358"/>
    <cellStyle name="Normal 2 2 3 2 3 3" xfId="12140"/>
    <cellStyle name="Normal 2 2 3 2 3 4" xfId="18292"/>
    <cellStyle name="Normal 2 2 3 2 4" xfId="7478"/>
    <cellStyle name="Normal 2 2 3 2 4 2" xfId="13672"/>
    <cellStyle name="Normal 2 2 3 2 4 3" xfId="19824"/>
    <cellStyle name="Normal 2 2 3 2 5" xfId="10606"/>
    <cellStyle name="Normal 2 2 3 2 6" xfId="16758"/>
    <cellStyle name="Normal 2 2 3 2 7" xfId="3568"/>
    <cellStyle name="Normal 2 2 3 3" xfId="110"/>
    <cellStyle name="Normal 2 2 3 3 2" xfId="5072"/>
    <cellStyle name="Normal 2 2 3 3 2 2" xfId="6697"/>
    <cellStyle name="Normal 2 2 3 3 2 2 2" xfId="9783"/>
    <cellStyle name="Normal 2 2 3 3 2 2 2 2" xfId="15976"/>
    <cellStyle name="Normal 2 2 3 3 2 2 2 3" xfId="22128"/>
    <cellStyle name="Normal 2 2 3 3 2 2 3" xfId="12910"/>
    <cellStyle name="Normal 2 2 3 3 2 2 4" xfId="19062"/>
    <cellStyle name="Normal 2 2 3 3 2 3" xfId="8248"/>
    <cellStyle name="Normal 2 2 3 3 2 3 2" xfId="14442"/>
    <cellStyle name="Normal 2 2 3 3 2 3 3" xfId="20594"/>
    <cellStyle name="Normal 2 2 3 3 2 4" xfId="11376"/>
    <cellStyle name="Normal 2 2 3 3 2 5" xfId="17528"/>
    <cellStyle name="Normal 2 2 3 3 3" xfId="5914"/>
    <cellStyle name="Normal 2 2 3 3 3 2" xfId="9014"/>
    <cellStyle name="Normal 2 2 3 3 3 2 2" xfId="15207"/>
    <cellStyle name="Normal 2 2 3 3 3 2 3" xfId="21359"/>
    <cellStyle name="Normal 2 2 3 3 3 3" xfId="12141"/>
    <cellStyle name="Normal 2 2 3 3 3 4" xfId="18293"/>
    <cellStyle name="Normal 2 2 3 3 4" xfId="7479"/>
    <cellStyle name="Normal 2 2 3 3 4 2" xfId="13673"/>
    <cellStyle name="Normal 2 2 3 3 4 3" xfId="19825"/>
    <cellStyle name="Normal 2 2 3 3 5" xfId="10607"/>
    <cellStyle name="Normal 2 2 3 3 6" xfId="16759"/>
    <cellStyle name="Normal 2 2 3 3 7" xfId="3569"/>
    <cellStyle name="Normal 2 2 3 4" xfId="3570"/>
    <cellStyle name="Normal 2 2 3 4 2" xfId="5073"/>
    <cellStyle name="Normal 2 2 3 4 2 2" xfId="6698"/>
    <cellStyle name="Normal 2 2 3 4 2 2 2" xfId="9784"/>
    <cellStyle name="Normal 2 2 3 4 2 2 2 2" xfId="15977"/>
    <cellStyle name="Normal 2 2 3 4 2 2 2 3" xfId="22129"/>
    <cellStyle name="Normal 2 2 3 4 2 2 3" xfId="12911"/>
    <cellStyle name="Normal 2 2 3 4 2 2 4" xfId="19063"/>
    <cellStyle name="Normal 2 2 3 4 2 3" xfId="8249"/>
    <cellStyle name="Normal 2 2 3 4 2 3 2" xfId="14443"/>
    <cellStyle name="Normal 2 2 3 4 2 3 3" xfId="20595"/>
    <cellStyle name="Normal 2 2 3 4 2 4" xfId="11377"/>
    <cellStyle name="Normal 2 2 3 4 2 5" xfId="17529"/>
    <cellStyle name="Normal 2 2 3 4 3" xfId="5915"/>
    <cellStyle name="Normal 2 2 3 4 3 2" xfId="9015"/>
    <cellStyle name="Normal 2 2 3 4 3 2 2" xfId="15208"/>
    <cellStyle name="Normal 2 2 3 4 3 2 3" xfId="21360"/>
    <cellStyle name="Normal 2 2 3 4 3 3" xfId="12142"/>
    <cellStyle name="Normal 2 2 3 4 3 4" xfId="18294"/>
    <cellStyle name="Normal 2 2 3 4 4" xfId="7480"/>
    <cellStyle name="Normal 2 2 3 4 4 2" xfId="13674"/>
    <cellStyle name="Normal 2 2 3 4 4 3" xfId="19826"/>
    <cellStyle name="Normal 2 2 3 4 5" xfId="10608"/>
    <cellStyle name="Normal 2 2 3 4 6" xfId="16760"/>
    <cellStyle name="Normal 2 2 3 5" xfId="3571"/>
    <cellStyle name="Normal 2 2 3 5 2" xfId="5074"/>
    <cellStyle name="Normal 2 2 3 5 2 2" xfId="6699"/>
    <cellStyle name="Normal 2 2 3 5 2 2 2" xfId="9785"/>
    <cellStyle name="Normal 2 2 3 5 2 2 2 2" xfId="15978"/>
    <cellStyle name="Normal 2 2 3 5 2 2 2 3" xfId="22130"/>
    <cellStyle name="Normal 2 2 3 5 2 2 3" xfId="12912"/>
    <cellStyle name="Normal 2 2 3 5 2 2 4" xfId="19064"/>
    <cellStyle name="Normal 2 2 3 5 2 3" xfId="8250"/>
    <cellStyle name="Normal 2 2 3 5 2 3 2" xfId="14444"/>
    <cellStyle name="Normal 2 2 3 5 2 3 3" xfId="20596"/>
    <cellStyle name="Normal 2 2 3 5 2 4" xfId="11378"/>
    <cellStyle name="Normal 2 2 3 5 2 5" xfId="17530"/>
    <cellStyle name="Normal 2 2 3 5 3" xfId="5916"/>
    <cellStyle name="Normal 2 2 3 5 3 2" xfId="9016"/>
    <cellStyle name="Normal 2 2 3 5 3 2 2" xfId="15209"/>
    <cellStyle name="Normal 2 2 3 5 3 2 3" xfId="21361"/>
    <cellStyle name="Normal 2 2 3 5 3 3" xfId="12143"/>
    <cellStyle name="Normal 2 2 3 5 3 4" xfId="18295"/>
    <cellStyle name="Normal 2 2 3 5 4" xfId="7481"/>
    <cellStyle name="Normal 2 2 3 5 4 2" xfId="13675"/>
    <cellStyle name="Normal 2 2 3 5 4 3" xfId="19827"/>
    <cellStyle name="Normal 2 2 3 5 5" xfId="10609"/>
    <cellStyle name="Normal 2 2 3 5 6" xfId="16761"/>
    <cellStyle name="Normal 2 2 3 6" xfId="3572"/>
    <cellStyle name="Normal 2 2 3 6 2" xfId="5075"/>
    <cellStyle name="Normal 2 2 3 6 2 2" xfId="6700"/>
    <cellStyle name="Normal 2 2 3 6 2 2 2" xfId="9786"/>
    <cellStyle name="Normal 2 2 3 6 2 2 2 2" xfId="15979"/>
    <cellStyle name="Normal 2 2 3 6 2 2 2 3" xfId="22131"/>
    <cellStyle name="Normal 2 2 3 6 2 2 3" xfId="12913"/>
    <cellStyle name="Normal 2 2 3 6 2 2 4" xfId="19065"/>
    <cellStyle name="Normal 2 2 3 6 2 3" xfId="8251"/>
    <cellStyle name="Normal 2 2 3 6 2 3 2" xfId="14445"/>
    <cellStyle name="Normal 2 2 3 6 2 3 3" xfId="20597"/>
    <cellStyle name="Normal 2 2 3 6 2 4" xfId="11379"/>
    <cellStyle name="Normal 2 2 3 6 2 5" xfId="17531"/>
    <cellStyle name="Normal 2 2 3 6 3" xfId="5917"/>
    <cellStyle name="Normal 2 2 3 6 3 2" xfId="9017"/>
    <cellStyle name="Normal 2 2 3 6 3 2 2" xfId="15210"/>
    <cellStyle name="Normal 2 2 3 6 3 2 3" xfId="21362"/>
    <cellStyle name="Normal 2 2 3 6 3 3" xfId="12144"/>
    <cellStyle name="Normal 2 2 3 6 3 4" xfId="18296"/>
    <cellStyle name="Normal 2 2 3 6 4" xfId="7482"/>
    <cellStyle name="Normal 2 2 3 6 4 2" xfId="13676"/>
    <cellStyle name="Normal 2 2 3 6 4 3" xfId="19828"/>
    <cellStyle name="Normal 2 2 3 6 5" xfId="10610"/>
    <cellStyle name="Normal 2 2 3 6 6" xfId="16762"/>
    <cellStyle name="Normal 2 2 3 7" xfId="3573"/>
    <cellStyle name="Normal 2 2 3 7 2" xfId="3574"/>
    <cellStyle name="Normal 2 2 3 8" xfId="3575"/>
    <cellStyle name="Normal 2 2 3 8 2" xfId="3576"/>
    <cellStyle name="Normal 2 2 3 9" xfId="5070"/>
    <cellStyle name="Normal 2 2 3 9 2" xfId="6695"/>
    <cellStyle name="Normal 2 2 3 9 2 2" xfId="9781"/>
    <cellStyle name="Normal 2 2 3 9 2 2 2" xfId="15974"/>
    <cellStyle name="Normal 2 2 3 9 2 2 3" xfId="22126"/>
    <cellStyle name="Normal 2 2 3 9 2 3" xfId="12908"/>
    <cellStyle name="Normal 2 2 3 9 2 4" xfId="19060"/>
    <cellStyle name="Normal 2 2 3 9 3" xfId="8246"/>
    <cellStyle name="Normal 2 2 3 9 3 2" xfId="14440"/>
    <cellStyle name="Normal 2 2 3 9 3 3" xfId="20592"/>
    <cellStyle name="Normal 2 2 3 9 4" xfId="11374"/>
    <cellStyle name="Normal 2 2 3 9 5" xfId="17526"/>
    <cellStyle name="Normal 2 2 30" xfId="1160"/>
    <cellStyle name="Normal 2 2 31" xfId="200"/>
    <cellStyle name="Normal 2 2 4" xfId="123"/>
    <cellStyle name="Normal 2 2 4 10" xfId="3577"/>
    <cellStyle name="Normal 2 2 4 11" xfId="266"/>
    <cellStyle name="Normal 2 2 4 2" xfId="3578"/>
    <cellStyle name="Normal 2 2 4 2 2" xfId="5077"/>
    <cellStyle name="Normal 2 2 4 2 2 2" xfId="6702"/>
    <cellStyle name="Normal 2 2 4 2 2 2 2" xfId="9788"/>
    <cellStyle name="Normal 2 2 4 2 2 2 2 2" xfId="15981"/>
    <cellStyle name="Normal 2 2 4 2 2 2 2 3" xfId="22133"/>
    <cellStyle name="Normal 2 2 4 2 2 2 3" xfId="12915"/>
    <cellStyle name="Normal 2 2 4 2 2 2 4" xfId="19067"/>
    <cellStyle name="Normal 2 2 4 2 2 3" xfId="8253"/>
    <cellStyle name="Normal 2 2 4 2 2 3 2" xfId="14447"/>
    <cellStyle name="Normal 2 2 4 2 2 3 3" xfId="20599"/>
    <cellStyle name="Normal 2 2 4 2 2 4" xfId="11381"/>
    <cellStyle name="Normal 2 2 4 2 2 5" xfId="17533"/>
    <cellStyle name="Normal 2 2 4 2 3" xfId="5919"/>
    <cellStyle name="Normal 2 2 4 2 3 2" xfId="9019"/>
    <cellStyle name="Normal 2 2 4 2 3 2 2" xfId="15212"/>
    <cellStyle name="Normal 2 2 4 2 3 2 3" xfId="21364"/>
    <cellStyle name="Normal 2 2 4 2 3 3" xfId="12146"/>
    <cellStyle name="Normal 2 2 4 2 3 4" xfId="18298"/>
    <cellStyle name="Normal 2 2 4 2 4" xfId="7484"/>
    <cellStyle name="Normal 2 2 4 2 4 2" xfId="13678"/>
    <cellStyle name="Normal 2 2 4 2 4 3" xfId="19830"/>
    <cellStyle name="Normal 2 2 4 2 5" xfId="10612"/>
    <cellStyle name="Normal 2 2 4 2 6" xfId="16764"/>
    <cellStyle name="Normal 2 2 4 3" xfId="3579"/>
    <cellStyle name="Normal 2 2 4 3 2" xfId="3580"/>
    <cellStyle name="Normal 2 2 4 4" xfId="3581"/>
    <cellStyle name="Normal 2 2 4 4 2" xfId="3582"/>
    <cellStyle name="Normal 2 2 4 5" xfId="5076"/>
    <cellStyle name="Normal 2 2 4 5 2" xfId="6701"/>
    <cellStyle name="Normal 2 2 4 5 2 2" xfId="9787"/>
    <cellStyle name="Normal 2 2 4 5 2 2 2" xfId="15980"/>
    <cellStyle name="Normal 2 2 4 5 2 2 3" xfId="22132"/>
    <cellStyle name="Normal 2 2 4 5 2 3" xfId="12914"/>
    <cellStyle name="Normal 2 2 4 5 2 4" xfId="19066"/>
    <cellStyle name="Normal 2 2 4 5 3" xfId="8252"/>
    <cellStyle name="Normal 2 2 4 5 3 2" xfId="14446"/>
    <cellStyle name="Normal 2 2 4 5 3 3" xfId="20598"/>
    <cellStyle name="Normal 2 2 4 5 4" xfId="11380"/>
    <cellStyle name="Normal 2 2 4 5 5" xfId="17532"/>
    <cellStyle name="Normal 2 2 4 6" xfId="5918"/>
    <cellStyle name="Normal 2 2 4 6 2" xfId="9018"/>
    <cellStyle name="Normal 2 2 4 6 2 2" xfId="15211"/>
    <cellStyle name="Normal 2 2 4 6 2 3" xfId="21363"/>
    <cellStyle name="Normal 2 2 4 6 3" xfId="12145"/>
    <cellStyle name="Normal 2 2 4 6 4" xfId="18297"/>
    <cellStyle name="Normal 2 2 4 7" xfId="7483"/>
    <cellStyle name="Normal 2 2 4 7 2" xfId="13677"/>
    <cellStyle name="Normal 2 2 4 7 3" xfId="19829"/>
    <cellStyle name="Normal 2 2 4 8" xfId="10611"/>
    <cellStyle name="Normal 2 2 4 9" xfId="16763"/>
    <cellStyle name="Normal 2 2 5" xfId="291"/>
    <cellStyle name="Normal 2 2 5 2" xfId="3584"/>
    <cellStyle name="Normal 2 2 5 2 2" xfId="5079"/>
    <cellStyle name="Normal 2 2 5 2 2 2" xfId="6704"/>
    <cellStyle name="Normal 2 2 5 2 2 2 2" xfId="9790"/>
    <cellStyle name="Normal 2 2 5 2 2 2 2 2" xfId="15983"/>
    <cellStyle name="Normal 2 2 5 2 2 2 2 3" xfId="22135"/>
    <cellStyle name="Normal 2 2 5 2 2 2 3" xfId="12917"/>
    <cellStyle name="Normal 2 2 5 2 2 2 4" xfId="19069"/>
    <cellStyle name="Normal 2 2 5 2 2 3" xfId="8255"/>
    <cellStyle name="Normal 2 2 5 2 2 3 2" xfId="14449"/>
    <cellStyle name="Normal 2 2 5 2 2 3 3" xfId="20601"/>
    <cellStyle name="Normal 2 2 5 2 2 4" xfId="11383"/>
    <cellStyle name="Normal 2 2 5 2 2 5" xfId="17535"/>
    <cellStyle name="Normal 2 2 5 2 3" xfId="5921"/>
    <cellStyle name="Normal 2 2 5 2 3 2" xfId="9021"/>
    <cellStyle name="Normal 2 2 5 2 3 2 2" xfId="15214"/>
    <cellStyle name="Normal 2 2 5 2 3 2 3" xfId="21366"/>
    <cellStyle name="Normal 2 2 5 2 3 3" xfId="12148"/>
    <cellStyle name="Normal 2 2 5 2 3 4" xfId="18300"/>
    <cellStyle name="Normal 2 2 5 2 4" xfId="7486"/>
    <cellStyle name="Normal 2 2 5 2 4 2" xfId="13680"/>
    <cellStyle name="Normal 2 2 5 2 4 3" xfId="19832"/>
    <cellStyle name="Normal 2 2 5 2 5" xfId="10614"/>
    <cellStyle name="Normal 2 2 5 2 6" xfId="16766"/>
    <cellStyle name="Normal 2 2 5 3" xfId="3585"/>
    <cellStyle name="Normal 2 2 5 4" xfId="5078"/>
    <cellStyle name="Normal 2 2 5 4 2" xfId="6703"/>
    <cellStyle name="Normal 2 2 5 4 2 2" xfId="9789"/>
    <cellStyle name="Normal 2 2 5 4 2 2 2" xfId="15982"/>
    <cellStyle name="Normal 2 2 5 4 2 2 3" xfId="22134"/>
    <cellStyle name="Normal 2 2 5 4 2 3" xfId="12916"/>
    <cellStyle name="Normal 2 2 5 4 2 4" xfId="19068"/>
    <cellStyle name="Normal 2 2 5 4 3" xfId="8254"/>
    <cellStyle name="Normal 2 2 5 4 3 2" xfId="14448"/>
    <cellStyle name="Normal 2 2 5 4 3 3" xfId="20600"/>
    <cellStyle name="Normal 2 2 5 4 4" xfId="11382"/>
    <cellStyle name="Normal 2 2 5 4 5" xfId="17534"/>
    <cellStyle name="Normal 2 2 5 5" xfId="5920"/>
    <cellStyle name="Normal 2 2 5 5 2" xfId="9020"/>
    <cellStyle name="Normal 2 2 5 5 2 2" xfId="15213"/>
    <cellStyle name="Normal 2 2 5 5 2 3" xfId="21365"/>
    <cellStyle name="Normal 2 2 5 5 3" xfId="12147"/>
    <cellStyle name="Normal 2 2 5 5 4" xfId="18299"/>
    <cellStyle name="Normal 2 2 5 6" xfId="7485"/>
    <cellStyle name="Normal 2 2 5 6 2" xfId="13679"/>
    <cellStyle name="Normal 2 2 5 6 3" xfId="19831"/>
    <cellStyle name="Normal 2 2 5 7" xfId="10613"/>
    <cellStyle name="Normal 2 2 5 8" xfId="16765"/>
    <cellStyle name="Normal 2 2 5 9" xfId="3583"/>
    <cellStyle name="Normal 2 2 6" xfId="271"/>
    <cellStyle name="Normal 2 2 6 2" xfId="5080"/>
    <cellStyle name="Normal 2 2 6 2 2" xfId="6705"/>
    <cellStyle name="Normal 2 2 6 2 2 2" xfId="9791"/>
    <cellStyle name="Normal 2 2 6 2 2 2 2" xfId="15984"/>
    <cellStyle name="Normal 2 2 6 2 2 2 3" xfId="22136"/>
    <cellStyle name="Normal 2 2 6 2 2 3" xfId="12918"/>
    <cellStyle name="Normal 2 2 6 2 2 4" xfId="19070"/>
    <cellStyle name="Normal 2 2 6 2 3" xfId="8256"/>
    <cellStyle name="Normal 2 2 6 2 3 2" xfId="14450"/>
    <cellStyle name="Normal 2 2 6 2 3 3" xfId="20602"/>
    <cellStyle name="Normal 2 2 6 2 4" xfId="11384"/>
    <cellStyle name="Normal 2 2 6 2 5" xfId="17536"/>
    <cellStyle name="Normal 2 2 6 3" xfId="5922"/>
    <cellStyle name="Normal 2 2 6 3 2" xfId="9022"/>
    <cellStyle name="Normal 2 2 6 3 2 2" xfId="15215"/>
    <cellStyle name="Normal 2 2 6 3 2 3" xfId="21367"/>
    <cellStyle name="Normal 2 2 6 3 3" xfId="12149"/>
    <cellStyle name="Normal 2 2 6 3 4" xfId="18301"/>
    <cellStyle name="Normal 2 2 6 4" xfId="7487"/>
    <cellStyle name="Normal 2 2 6 4 2" xfId="13681"/>
    <cellStyle name="Normal 2 2 6 4 3" xfId="19833"/>
    <cellStyle name="Normal 2 2 6 5" xfId="10615"/>
    <cellStyle name="Normal 2 2 6 6" xfId="16767"/>
    <cellStyle name="Normal 2 2 6 7" xfId="3586"/>
    <cellStyle name="Normal 2 2 7" xfId="329"/>
    <cellStyle name="Normal 2 2 7 2" xfId="5081"/>
    <cellStyle name="Normal 2 2 7 2 2" xfId="6706"/>
    <cellStyle name="Normal 2 2 7 2 2 2" xfId="9792"/>
    <cellStyle name="Normal 2 2 7 2 2 2 2" xfId="15985"/>
    <cellStyle name="Normal 2 2 7 2 2 2 3" xfId="22137"/>
    <cellStyle name="Normal 2 2 7 2 2 3" xfId="12919"/>
    <cellStyle name="Normal 2 2 7 2 2 4" xfId="19071"/>
    <cellStyle name="Normal 2 2 7 2 3" xfId="8257"/>
    <cellStyle name="Normal 2 2 7 2 3 2" xfId="14451"/>
    <cellStyle name="Normal 2 2 7 2 3 3" xfId="20603"/>
    <cellStyle name="Normal 2 2 7 2 4" xfId="11385"/>
    <cellStyle name="Normal 2 2 7 2 5" xfId="17537"/>
    <cellStyle name="Normal 2 2 7 3" xfId="5923"/>
    <cellStyle name="Normal 2 2 7 3 2" xfId="9023"/>
    <cellStyle name="Normal 2 2 7 3 2 2" xfId="15216"/>
    <cellStyle name="Normal 2 2 7 3 2 3" xfId="21368"/>
    <cellStyle name="Normal 2 2 7 3 3" xfId="12150"/>
    <cellStyle name="Normal 2 2 7 3 4" xfId="18302"/>
    <cellStyle name="Normal 2 2 7 4" xfId="7488"/>
    <cellStyle name="Normal 2 2 7 4 2" xfId="13682"/>
    <cellStyle name="Normal 2 2 7 4 3" xfId="19834"/>
    <cellStyle name="Normal 2 2 7 5" xfId="10616"/>
    <cellStyle name="Normal 2 2 7 6" xfId="16768"/>
    <cellStyle name="Normal 2 2 7 7" xfId="3587"/>
    <cellStyle name="Normal 2 2 8" xfId="332"/>
    <cellStyle name="Normal 2 2 8 2" xfId="5082"/>
    <cellStyle name="Normal 2 2 8 2 2" xfId="6707"/>
    <cellStyle name="Normal 2 2 8 2 2 2" xfId="9793"/>
    <cellStyle name="Normal 2 2 8 2 2 2 2" xfId="15986"/>
    <cellStyle name="Normal 2 2 8 2 2 2 3" xfId="22138"/>
    <cellStyle name="Normal 2 2 8 2 2 3" xfId="12920"/>
    <cellStyle name="Normal 2 2 8 2 2 4" xfId="19072"/>
    <cellStyle name="Normal 2 2 8 2 3" xfId="8258"/>
    <cellStyle name="Normal 2 2 8 2 3 2" xfId="14452"/>
    <cellStyle name="Normal 2 2 8 2 3 3" xfId="20604"/>
    <cellStyle name="Normal 2 2 8 2 4" xfId="11386"/>
    <cellStyle name="Normal 2 2 8 2 5" xfId="17538"/>
    <cellStyle name="Normal 2 2 8 3" xfId="5924"/>
    <cellStyle name="Normal 2 2 8 3 2" xfId="9024"/>
    <cellStyle name="Normal 2 2 8 3 2 2" xfId="15217"/>
    <cellStyle name="Normal 2 2 8 3 2 3" xfId="21369"/>
    <cellStyle name="Normal 2 2 8 3 3" xfId="12151"/>
    <cellStyle name="Normal 2 2 8 3 4" xfId="18303"/>
    <cellStyle name="Normal 2 2 8 4" xfId="7489"/>
    <cellStyle name="Normal 2 2 8 4 2" xfId="13683"/>
    <cellStyle name="Normal 2 2 8 4 3" xfId="19835"/>
    <cellStyle name="Normal 2 2 8 5" xfId="10617"/>
    <cellStyle name="Normal 2 2 8 6" xfId="16769"/>
    <cellStyle name="Normal 2 2 8 7" xfId="3588"/>
    <cellStyle name="Normal 2 2 9" xfId="345"/>
    <cellStyle name="Normal 2 2 9 2" xfId="5083"/>
    <cellStyle name="Normal 2 2 9 2 2" xfId="6708"/>
    <cellStyle name="Normal 2 2 9 2 2 2" xfId="9794"/>
    <cellStyle name="Normal 2 2 9 2 2 2 2" xfId="15987"/>
    <cellStyle name="Normal 2 2 9 2 2 2 3" xfId="22139"/>
    <cellStyle name="Normal 2 2 9 2 2 3" xfId="12921"/>
    <cellStyle name="Normal 2 2 9 2 2 4" xfId="19073"/>
    <cellStyle name="Normal 2 2 9 2 3" xfId="8259"/>
    <cellStyle name="Normal 2 2 9 2 3 2" xfId="14453"/>
    <cellStyle name="Normal 2 2 9 2 3 3" xfId="20605"/>
    <cellStyle name="Normal 2 2 9 2 4" xfId="11387"/>
    <cellStyle name="Normal 2 2 9 2 5" xfId="17539"/>
    <cellStyle name="Normal 2 2 9 3" xfId="5925"/>
    <cellStyle name="Normal 2 2 9 3 2" xfId="9025"/>
    <cellStyle name="Normal 2 2 9 3 2 2" xfId="15218"/>
    <cellStyle name="Normal 2 2 9 3 2 3" xfId="21370"/>
    <cellStyle name="Normal 2 2 9 3 3" xfId="12152"/>
    <cellStyle name="Normal 2 2 9 3 4" xfId="18304"/>
    <cellStyle name="Normal 2 2 9 4" xfId="7490"/>
    <cellStyle name="Normal 2 2 9 4 2" xfId="13684"/>
    <cellStyle name="Normal 2 2 9 4 3" xfId="19836"/>
    <cellStyle name="Normal 2 2 9 5" xfId="10618"/>
    <cellStyle name="Normal 2 2 9 6" xfId="16770"/>
    <cellStyle name="Normal 2 2 9 7" xfId="3589"/>
    <cellStyle name="Normal 2 20" xfId="3590"/>
    <cellStyle name="Normal 2 20 2" xfId="5084"/>
    <cellStyle name="Normal 2 20 2 2" xfId="6709"/>
    <cellStyle name="Normal 2 20 2 2 2" xfId="9795"/>
    <cellStyle name="Normal 2 20 2 2 2 2" xfId="15988"/>
    <cellStyle name="Normal 2 20 2 2 2 3" xfId="22140"/>
    <cellStyle name="Normal 2 20 2 2 3" xfId="12922"/>
    <cellStyle name="Normal 2 20 2 2 4" xfId="19074"/>
    <cellStyle name="Normal 2 20 2 3" xfId="8260"/>
    <cellStyle name="Normal 2 20 2 3 2" xfId="14454"/>
    <cellStyle name="Normal 2 20 2 3 3" xfId="20606"/>
    <cellStyle name="Normal 2 20 2 4" xfId="11388"/>
    <cellStyle name="Normal 2 20 2 5" xfId="17540"/>
    <cellStyle name="Normal 2 20 3" xfId="5926"/>
    <cellStyle name="Normal 2 20 3 2" xfId="9026"/>
    <cellStyle name="Normal 2 20 3 2 2" xfId="15219"/>
    <cellStyle name="Normal 2 20 3 2 3" xfId="21371"/>
    <cellStyle name="Normal 2 20 3 3" xfId="12153"/>
    <cellStyle name="Normal 2 20 3 4" xfId="18305"/>
    <cellStyle name="Normal 2 20 4" xfId="7491"/>
    <cellStyle name="Normal 2 20 4 2" xfId="13685"/>
    <cellStyle name="Normal 2 20 4 3" xfId="19837"/>
    <cellStyle name="Normal 2 20 5" xfId="10619"/>
    <cellStyle name="Normal 2 20 6" xfId="16771"/>
    <cellStyle name="Normal 2 21" xfId="3591"/>
    <cellStyle name="Normal 2 22" xfId="1278"/>
    <cellStyle name="Normal 2 22 2" xfId="4699"/>
    <cellStyle name="Normal 2 22 3" xfId="3592"/>
    <cellStyle name="Normal 2 23" xfId="4616"/>
    <cellStyle name="Normal 2 24" xfId="1326"/>
    <cellStyle name="Normal 2 24 2" xfId="4767"/>
    <cellStyle name="Normal 2 24 2 2" xfId="6392"/>
    <cellStyle name="Normal 2 24 2 2 2" xfId="9478"/>
    <cellStyle name="Normal 2 24 2 2 2 2" xfId="15671"/>
    <cellStyle name="Normal 2 24 2 2 2 3" xfId="21823"/>
    <cellStyle name="Normal 2 24 2 2 3" xfId="12605"/>
    <cellStyle name="Normal 2 24 2 2 4" xfId="18757"/>
    <cellStyle name="Normal 2 24 2 3" xfId="7943"/>
    <cellStyle name="Normal 2 24 2 3 2" xfId="14137"/>
    <cellStyle name="Normal 2 24 2 3 3" xfId="20289"/>
    <cellStyle name="Normal 2 24 2 4" xfId="11071"/>
    <cellStyle name="Normal 2 24 2 5" xfId="17223"/>
    <cellStyle name="Normal 2 24 3" xfId="5606"/>
    <cellStyle name="Normal 2 24 3 2" xfId="8709"/>
    <cellStyle name="Normal 2 24 3 2 2" xfId="14902"/>
    <cellStyle name="Normal 2 24 3 2 3" xfId="21054"/>
    <cellStyle name="Normal 2 24 3 3" xfId="11836"/>
    <cellStyle name="Normal 2 24 3 4" xfId="17988"/>
    <cellStyle name="Normal 2 24 4" xfId="7174"/>
    <cellStyle name="Normal 2 24 4 2" xfId="13368"/>
    <cellStyle name="Normal 2 24 4 3" xfId="19520"/>
    <cellStyle name="Normal 2 24 5" xfId="10302"/>
    <cellStyle name="Normal 2 24 6" xfId="16454"/>
    <cellStyle name="Normal 2 25" xfId="5578"/>
    <cellStyle name="Normal 2 25 2" xfId="8682"/>
    <cellStyle name="Normal 2 26" xfId="10222"/>
    <cellStyle name="Normal 2 27" xfId="1176"/>
    <cellStyle name="Normal 2 28" xfId="23234"/>
    <cellStyle name="Normal 2 3" xfId="23"/>
    <cellStyle name="Normal 2 3 10" xfId="10258"/>
    <cellStyle name="Normal 2 3 11" xfId="23236"/>
    <cellStyle name="Normal 2 3 2" xfId="3594"/>
    <cellStyle name="Normal 2 3 2 2" xfId="3595"/>
    <cellStyle name="Normal 2 3 2 2 2" xfId="23238"/>
    <cellStyle name="Normal 2 3 2 3" xfId="5085"/>
    <cellStyle name="Normal 2 3 2 3 2" xfId="6710"/>
    <cellStyle name="Normal 2 3 2 3 2 2" xfId="9796"/>
    <cellStyle name="Normal 2 3 2 3 2 2 2" xfId="15989"/>
    <cellStyle name="Normal 2 3 2 3 2 2 3" xfId="22141"/>
    <cellStyle name="Normal 2 3 2 3 2 3" xfId="12923"/>
    <cellStyle name="Normal 2 3 2 3 2 4" xfId="19075"/>
    <cellStyle name="Normal 2 3 2 3 3" xfId="8261"/>
    <cellStyle name="Normal 2 3 2 3 3 2" xfId="14455"/>
    <cellStyle name="Normal 2 3 2 3 3 3" xfId="20607"/>
    <cellStyle name="Normal 2 3 2 3 4" xfId="11389"/>
    <cellStyle name="Normal 2 3 2 3 5" xfId="17541"/>
    <cellStyle name="Normal 2 3 2 4" xfId="5927"/>
    <cellStyle name="Normal 2 3 2 4 2" xfId="9027"/>
    <cellStyle name="Normal 2 3 2 4 2 2" xfId="15220"/>
    <cellStyle name="Normal 2 3 2 4 2 3" xfId="21372"/>
    <cellStyle name="Normal 2 3 2 4 3" xfId="12154"/>
    <cellStyle name="Normal 2 3 2 4 4" xfId="18306"/>
    <cellStyle name="Normal 2 3 2 5" xfId="7492"/>
    <cellStyle name="Normal 2 3 2 5 2" xfId="13686"/>
    <cellStyle name="Normal 2 3 2 5 3" xfId="19838"/>
    <cellStyle name="Normal 2 3 2 6" xfId="10620"/>
    <cellStyle name="Normal 2 3 2 7" xfId="16772"/>
    <cellStyle name="Normal 2 3 2 8" xfId="23237"/>
    <cellStyle name="Normal 2 3 3" xfId="3596"/>
    <cellStyle name="Normal 2 3 3 2" xfId="5086"/>
    <cellStyle name="Normal 2 3 3 2 2" xfId="6711"/>
    <cellStyle name="Normal 2 3 3 2 2 2" xfId="9797"/>
    <cellStyle name="Normal 2 3 3 2 2 2 2" xfId="15990"/>
    <cellStyle name="Normal 2 3 3 2 2 2 3" xfId="22142"/>
    <cellStyle name="Normal 2 3 3 2 2 3" xfId="12924"/>
    <cellStyle name="Normal 2 3 3 2 2 4" xfId="19076"/>
    <cellStyle name="Normal 2 3 3 2 3" xfId="8262"/>
    <cellStyle name="Normal 2 3 3 2 3 2" xfId="14456"/>
    <cellStyle name="Normal 2 3 3 2 3 3" xfId="20608"/>
    <cellStyle name="Normal 2 3 3 2 4" xfId="11390"/>
    <cellStyle name="Normal 2 3 3 2 5" xfId="17542"/>
    <cellStyle name="Normal 2 3 3 3" xfId="5928"/>
    <cellStyle name="Normal 2 3 3 3 2" xfId="9028"/>
    <cellStyle name="Normal 2 3 3 3 2 2" xfId="15221"/>
    <cellStyle name="Normal 2 3 3 3 2 3" xfId="21373"/>
    <cellStyle name="Normal 2 3 3 3 3" xfId="12155"/>
    <cellStyle name="Normal 2 3 3 3 4" xfId="18307"/>
    <cellStyle name="Normal 2 3 3 4" xfId="7493"/>
    <cellStyle name="Normal 2 3 3 4 2" xfId="13687"/>
    <cellStyle name="Normal 2 3 3 4 3" xfId="19839"/>
    <cellStyle name="Normal 2 3 3 5" xfId="10621"/>
    <cellStyle name="Normal 2 3 3 6" xfId="16773"/>
    <cellStyle name="Normal 2 3 3 7" xfId="23239"/>
    <cellStyle name="Normal 2 3 4" xfId="3597"/>
    <cellStyle name="Normal 2 3 4 2" xfId="5087"/>
    <cellStyle name="Normal 2 3 4 2 2" xfId="6712"/>
    <cellStyle name="Normal 2 3 4 2 2 2" xfId="9798"/>
    <cellStyle name="Normal 2 3 4 2 2 2 2" xfId="15991"/>
    <cellStyle name="Normal 2 3 4 2 2 2 3" xfId="22143"/>
    <cellStyle name="Normal 2 3 4 2 2 3" xfId="12925"/>
    <cellStyle name="Normal 2 3 4 2 2 4" xfId="19077"/>
    <cellStyle name="Normal 2 3 4 2 3" xfId="8263"/>
    <cellStyle name="Normal 2 3 4 2 3 2" xfId="14457"/>
    <cellStyle name="Normal 2 3 4 2 3 3" xfId="20609"/>
    <cellStyle name="Normal 2 3 4 2 4" xfId="11391"/>
    <cellStyle name="Normal 2 3 4 2 5" xfId="17543"/>
    <cellStyle name="Normal 2 3 4 3" xfId="5929"/>
    <cellStyle name="Normal 2 3 4 3 2" xfId="9029"/>
    <cellStyle name="Normal 2 3 4 3 2 2" xfId="15222"/>
    <cellStyle name="Normal 2 3 4 3 2 3" xfId="21374"/>
    <cellStyle name="Normal 2 3 4 3 3" xfId="12156"/>
    <cellStyle name="Normal 2 3 4 3 4" xfId="18308"/>
    <cellStyle name="Normal 2 3 4 4" xfId="7494"/>
    <cellStyle name="Normal 2 3 4 4 2" xfId="13688"/>
    <cellStyle name="Normal 2 3 4 4 3" xfId="19840"/>
    <cellStyle name="Normal 2 3 4 5" xfId="10622"/>
    <cellStyle name="Normal 2 3 4 6" xfId="16774"/>
    <cellStyle name="Normal 2 3 5" xfId="3598"/>
    <cellStyle name="Normal 2 3 5 2" xfId="5088"/>
    <cellStyle name="Normal 2 3 5 2 2" xfId="6713"/>
    <cellStyle name="Normal 2 3 5 2 2 2" xfId="9799"/>
    <cellStyle name="Normal 2 3 5 2 2 2 2" xfId="15992"/>
    <cellStyle name="Normal 2 3 5 2 2 2 3" xfId="22144"/>
    <cellStyle name="Normal 2 3 5 2 2 3" xfId="12926"/>
    <cellStyle name="Normal 2 3 5 2 2 4" xfId="19078"/>
    <cellStyle name="Normal 2 3 5 2 3" xfId="8264"/>
    <cellStyle name="Normal 2 3 5 2 3 2" xfId="14458"/>
    <cellStyle name="Normal 2 3 5 2 3 3" xfId="20610"/>
    <cellStyle name="Normal 2 3 5 2 4" xfId="11392"/>
    <cellStyle name="Normal 2 3 5 2 5" xfId="17544"/>
    <cellStyle name="Normal 2 3 5 3" xfId="5930"/>
    <cellStyle name="Normal 2 3 5 3 2" xfId="9030"/>
    <cellStyle name="Normal 2 3 5 3 2 2" xfId="15223"/>
    <cellStyle name="Normal 2 3 5 3 2 3" xfId="21375"/>
    <cellStyle name="Normal 2 3 5 3 3" xfId="12157"/>
    <cellStyle name="Normal 2 3 5 3 4" xfId="18309"/>
    <cellStyle name="Normal 2 3 5 4" xfId="7495"/>
    <cellStyle name="Normal 2 3 5 4 2" xfId="13689"/>
    <cellStyle name="Normal 2 3 5 4 3" xfId="19841"/>
    <cellStyle name="Normal 2 3 5 5" xfId="10623"/>
    <cellStyle name="Normal 2 3 5 6" xfId="16775"/>
    <cellStyle name="Normal 2 3 6" xfId="3599"/>
    <cellStyle name="Normal 2 3 6 2" xfId="5089"/>
    <cellStyle name="Normal 2 3 6 2 2" xfId="6714"/>
    <cellStyle name="Normal 2 3 6 2 2 2" xfId="9800"/>
    <cellStyle name="Normal 2 3 6 2 2 2 2" xfId="15993"/>
    <cellStyle name="Normal 2 3 6 2 2 2 3" xfId="22145"/>
    <cellStyle name="Normal 2 3 6 2 2 3" xfId="12927"/>
    <cellStyle name="Normal 2 3 6 2 2 4" xfId="19079"/>
    <cellStyle name="Normal 2 3 6 2 3" xfId="8265"/>
    <cellStyle name="Normal 2 3 6 2 3 2" xfId="14459"/>
    <cellStyle name="Normal 2 3 6 2 3 3" xfId="20611"/>
    <cellStyle name="Normal 2 3 6 2 4" xfId="11393"/>
    <cellStyle name="Normal 2 3 6 2 5" xfId="17545"/>
    <cellStyle name="Normal 2 3 6 3" xfId="5931"/>
    <cellStyle name="Normal 2 3 6 3 2" xfId="9031"/>
    <cellStyle name="Normal 2 3 6 3 2 2" xfId="15224"/>
    <cellStyle name="Normal 2 3 6 3 2 3" xfId="21376"/>
    <cellStyle name="Normal 2 3 6 3 3" xfId="12158"/>
    <cellStyle name="Normal 2 3 6 3 4" xfId="18310"/>
    <cellStyle name="Normal 2 3 6 4" xfId="7496"/>
    <cellStyle name="Normal 2 3 6 4 2" xfId="13690"/>
    <cellStyle name="Normal 2 3 6 4 3" xfId="19842"/>
    <cellStyle name="Normal 2 3 6 5" xfId="10624"/>
    <cellStyle name="Normal 2 3 6 6" xfId="16776"/>
    <cellStyle name="Normal 2 3 7" xfId="3600"/>
    <cellStyle name="Normal 2 3 8" xfId="3601"/>
    <cellStyle name="Normal 2 3 9" xfId="3593"/>
    <cellStyle name="Normal 2 4" xfId="54"/>
    <cellStyle name="Normal 2 4 2" xfId="105"/>
    <cellStyle name="Normal 2 4 2 2" xfId="148"/>
    <cellStyle name="Normal 2 4 2 2 2" xfId="6716"/>
    <cellStyle name="Normal 2 4 2 2 2 2" xfId="9802"/>
    <cellStyle name="Normal 2 4 2 2 2 2 2" xfId="15995"/>
    <cellStyle name="Normal 2 4 2 2 2 2 3" xfId="22147"/>
    <cellStyle name="Normal 2 4 2 2 2 3" xfId="12929"/>
    <cellStyle name="Normal 2 4 2 2 2 4" xfId="19081"/>
    <cellStyle name="Normal 2 4 2 2 3" xfId="8267"/>
    <cellStyle name="Normal 2 4 2 2 3 2" xfId="14461"/>
    <cellStyle name="Normal 2 4 2 2 3 3" xfId="20613"/>
    <cellStyle name="Normal 2 4 2 2 4" xfId="11395"/>
    <cellStyle name="Normal 2 4 2 2 5" xfId="17547"/>
    <cellStyle name="Normal 2 4 2 2 6" xfId="5091"/>
    <cellStyle name="Normal 2 4 2 2 7" xfId="23242"/>
    <cellStyle name="Normal 2 4 2 3" xfId="5933"/>
    <cellStyle name="Normal 2 4 2 3 2" xfId="9033"/>
    <cellStyle name="Normal 2 4 2 3 2 2" xfId="15226"/>
    <cellStyle name="Normal 2 4 2 3 2 3" xfId="21378"/>
    <cellStyle name="Normal 2 4 2 3 3" xfId="12160"/>
    <cellStyle name="Normal 2 4 2 3 4" xfId="18312"/>
    <cellStyle name="Normal 2 4 2 4" xfId="7498"/>
    <cellStyle name="Normal 2 4 2 4 2" xfId="13692"/>
    <cellStyle name="Normal 2 4 2 4 3" xfId="19844"/>
    <cellStyle name="Normal 2 4 2 5" xfId="10626"/>
    <cellStyle name="Normal 2 4 2 6" xfId="16778"/>
    <cellStyle name="Normal 2 4 2 7" xfId="3603"/>
    <cellStyle name="Normal 2 4 2 8" xfId="23241"/>
    <cellStyle name="Normal 2 4 3" xfId="133"/>
    <cellStyle name="Normal 2 4 3 2" xfId="3604"/>
    <cellStyle name="Normal 2 4 3 3" xfId="23243"/>
    <cellStyle name="Normal 2 4 4" xfId="118"/>
    <cellStyle name="Normal 2 4 4 2" xfId="4675"/>
    <cellStyle name="Normal 2 4 5" xfId="3602"/>
    <cellStyle name="Normal 2 4 5 2" xfId="5090"/>
    <cellStyle name="Normal 2 4 5 2 2" xfId="6715"/>
    <cellStyle name="Normal 2 4 5 2 2 2" xfId="9801"/>
    <cellStyle name="Normal 2 4 5 2 2 2 2" xfId="15994"/>
    <cellStyle name="Normal 2 4 5 2 2 2 3" xfId="22146"/>
    <cellStyle name="Normal 2 4 5 2 2 3" xfId="12928"/>
    <cellStyle name="Normal 2 4 5 2 2 4" xfId="19080"/>
    <cellStyle name="Normal 2 4 5 2 3" xfId="8266"/>
    <cellStyle name="Normal 2 4 5 2 3 2" xfId="14460"/>
    <cellStyle name="Normal 2 4 5 2 3 3" xfId="20612"/>
    <cellStyle name="Normal 2 4 5 2 4" xfId="11394"/>
    <cellStyle name="Normal 2 4 5 2 5" xfId="17546"/>
    <cellStyle name="Normal 2 4 5 3" xfId="5932"/>
    <cellStyle name="Normal 2 4 5 3 2" xfId="9032"/>
    <cellStyle name="Normal 2 4 5 3 2 2" xfId="15225"/>
    <cellStyle name="Normal 2 4 5 3 2 3" xfId="21377"/>
    <cellStyle name="Normal 2 4 5 3 3" xfId="12159"/>
    <cellStyle name="Normal 2 4 5 3 4" xfId="18311"/>
    <cellStyle name="Normal 2 4 5 4" xfId="7497"/>
    <cellStyle name="Normal 2 4 5 4 2" xfId="13691"/>
    <cellStyle name="Normal 2 4 5 4 3" xfId="19843"/>
    <cellStyle name="Normal 2 4 5 5" xfId="10625"/>
    <cellStyle name="Normal 2 4 5 6" xfId="16777"/>
    <cellStyle name="Normal 2 4 6" xfId="1238"/>
    <cellStyle name="Normal 2 4 7" xfId="23240"/>
    <cellStyle name="Normal 2 5" xfId="72"/>
    <cellStyle name="Normal 2 5 2" xfId="106"/>
    <cellStyle name="Normal 2 5 2 2" xfId="149"/>
    <cellStyle name="Normal 2 5 2 3" xfId="4676"/>
    <cellStyle name="Normal 2 5 2 4" xfId="23245"/>
    <cellStyle name="Normal 2 5 3" xfId="136"/>
    <cellStyle name="Normal 2 5 3 2" xfId="5092"/>
    <cellStyle name="Normal 2 5 3 2 2" xfId="6717"/>
    <cellStyle name="Normal 2 5 3 2 2 2" xfId="9803"/>
    <cellStyle name="Normal 2 5 3 2 2 2 2" xfId="15996"/>
    <cellStyle name="Normal 2 5 3 2 2 2 3" xfId="22148"/>
    <cellStyle name="Normal 2 5 3 2 2 3" xfId="12930"/>
    <cellStyle name="Normal 2 5 3 2 2 4" xfId="19082"/>
    <cellStyle name="Normal 2 5 3 2 3" xfId="8268"/>
    <cellStyle name="Normal 2 5 3 2 3 2" xfId="14462"/>
    <cellStyle name="Normal 2 5 3 2 3 3" xfId="20614"/>
    <cellStyle name="Normal 2 5 3 2 4" xfId="11396"/>
    <cellStyle name="Normal 2 5 3 2 5" xfId="17548"/>
    <cellStyle name="Normal 2 5 3 3" xfId="5934"/>
    <cellStyle name="Normal 2 5 3 3 2" xfId="9034"/>
    <cellStyle name="Normal 2 5 3 3 2 2" xfId="15227"/>
    <cellStyle name="Normal 2 5 3 3 2 3" xfId="21379"/>
    <cellStyle name="Normal 2 5 3 3 3" xfId="12161"/>
    <cellStyle name="Normal 2 5 3 3 4" xfId="18313"/>
    <cellStyle name="Normal 2 5 3 4" xfId="7499"/>
    <cellStyle name="Normal 2 5 3 4 2" xfId="13693"/>
    <cellStyle name="Normal 2 5 3 4 3" xfId="19845"/>
    <cellStyle name="Normal 2 5 3 5" xfId="10627"/>
    <cellStyle name="Normal 2 5 3 6" xfId="16779"/>
    <cellStyle name="Normal 2 5 3 7" xfId="3605"/>
    <cellStyle name="Normal 2 5 4" xfId="119"/>
    <cellStyle name="Normal 2 5 5" xfId="1239"/>
    <cellStyle name="Normal 2 5 6" xfId="23244"/>
    <cellStyle name="Normal 2 6" xfId="93"/>
    <cellStyle name="Normal 2 6 2" xfId="4677"/>
    <cellStyle name="Normal 2 6 3" xfId="3606"/>
    <cellStyle name="Normal 2 6 3 2" xfId="5093"/>
    <cellStyle name="Normal 2 6 3 2 2" xfId="6718"/>
    <cellStyle name="Normal 2 6 3 2 2 2" xfId="9804"/>
    <cellStyle name="Normal 2 6 3 2 2 2 2" xfId="15997"/>
    <cellStyle name="Normal 2 6 3 2 2 2 3" xfId="22149"/>
    <cellStyle name="Normal 2 6 3 2 2 3" xfId="12931"/>
    <cellStyle name="Normal 2 6 3 2 2 4" xfId="19083"/>
    <cellStyle name="Normal 2 6 3 2 3" xfId="8269"/>
    <cellStyle name="Normal 2 6 3 2 3 2" xfId="14463"/>
    <cellStyle name="Normal 2 6 3 2 3 3" xfId="20615"/>
    <cellStyle name="Normal 2 6 3 2 4" xfId="11397"/>
    <cellStyle name="Normal 2 6 3 2 5" xfId="17549"/>
    <cellStyle name="Normal 2 6 3 3" xfId="5935"/>
    <cellStyle name="Normal 2 6 3 3 2" xfId="9035"/>
    <cellStyle name="Normal 2 6 3 3 2 2" xfId="15228"/>
    <cellStyle name="Normal 2 6 3 3 2 3" xfId="21380"/>
    <cellStyle name="Normal 2 6 3 3 3" xfId="12162"/>
    <cellStyle name="Normal 2 6 3 3 4" xfId="18314"/>
    <cellStyle name="Normal 2 6 3 4" xfId="7500"/>
    <cellStyle name="Normal 2 6 3 4 2" xfId="13694"/>
    <cellStyle name="Normal 2 6 3 4 3" xfId="19846"/>
    <cellStyle name="Normal 2 6 3 5" xfId="10628"/>
    <cellStyle name="Normal 2 6 3 6" xfId="16780"/>
    <cellStyle name="Normal 2 6 4" xfId="1240"/>
    <cellStyle name="Normal 2 6 5" xfId="23246"/>
    <cellStyle name="Normal 2 7" xfId="80"/>
    <cellStyle name="Normal 2 7 2" xfId="4678"/>
    <cellStyle name="Normal 2 7 3" xfId="3607"/>
    <cellStyle name="Normal 2 7 3 2" xfId="5094"/>
    <cellStyle name="Normal 2 7 3 2 2" xfId="6719"/>
    <cellStyle name="Normal 2 7 3 2 2 2" xfId="9805"/>
    <cellStyle name="Normal 2 7 3 2 2 2 2" xfId="15998"/>
    <cellStyle name="Normal 2 7 3 2 2 2 3" xfId="22150"/>
    <cellStyle name="Normal 2 7 3 2 2 3" xfId="12932"/>
    <cellStyle name="Normal 2 7 3 2 2 4" xfId="19084"/>
    <cellStyle name="Normal 2 7 3 2 3" xfId="8270"/>
    <cellStyle name="Normal 2 7 3 2 3 2" xfId="14464"/>
    <cellStyle name="Normal 2 7 3 2 3 3" xfId="20616"/>
    <cellStyle name="Normal 2 7 3 2 4" xfId="11398"/>
    <cellStyle name="Normal 2 7 3 2 5" xfId="17550"/>
    <cellStyle name="Normal 2 7 3 3" xfId="5936"/>
    <cellStyle name="Normal 2 7 3 3 2" xfId="9036"/>
    <cellStyle name="Normal 2 7 3 3 2 2" xfId="15229"/>
    <cellStyle name="Normal 2 7 3 3 2 3" xfId="21381"/>
    <cellStyle name="Normal 2 7 3 3 3" xfId="12163"/>
    <cellStyle name="Normal 2 7 3 3 4" xfId="18315"/>
    <cellStyle name="Normal 2 7 3 4" xfId="7501"/>
    <cellStyle name="Normal 2 7 3 4 2" xfId="13695"/>
    <cellStyle name="Normal 2 7 3 4 3" xfId="19847"/>
    <cellStyle name="Normal 2 7 3 5" xfId="10629"/>
    <cellStyle name="Normal 2 7 3 6" xfId="16781"/>
    <cellStyle name="Normal 2 7 4" xfId="1241"/>
    <cellStyle name="Normal 2 8" xfId="1242"/>
    <cellStyle name="Normal 2 8 2" xfId="4679"/>
    <cellStyle name="Normal 2 8 3" xfId="3608"/>
    <cellStyle name="Normal 2 8 3 2" xfId="5095"/>
    <cellStyle name="Normal 2 8 3 2 2" xfId="6720"/>
    <cellStyle name="Normal 2 8 3 2 2 2" xfId="9806"/>
    <cellStyle name="Normal 2 8 3 2 2 2 2" xfId="15999"/>
    <cellStyle name="Normal 2 8 3 2 2 2 3" xfId="22151"/>
    <cellStyle name="Normal 2 8 3 2 2 3" xfId="12933"/>
    <cellStyle name="Normal 2 8 3 2 2 4" xfId="19085"/>
    <cellStyle name="Normal 2 8 3 2 3" xfId="8271"/>
    <cellStyle name="Normal 2 8 3 2 3 2" xfId="14465"/>
    <cellStyle name="Normal 2 8 3 2 3 3" xfId="20617"/>
    <cellStyle name="Normal 2 8 3 2 4" xfId="11399"/>
    <cellStyle name="Normal 2 8 3 2 5" xfId="17551"/>
    <cellStyle name="Normal 2 8 3 3" xfId="5937"/>
    <cellStyle name="Normal 2 8 3 3 2" xfId="9037"/>
    <cellStyle name="Normal 2 8 3 3 2 2" xfId="15230"/>
    <cellStyle name="Normal 2 8 3 3 2 3" xfId="21382"/>
    <cellStyle name="Normal 2 8 3 3 3" xfId="12164"/>
    <cellStyle name="Normal 2 8 3 3 4" xfId="18316"/>
    <cellStyle name="Normal 2 8 3 4" xfId="7502"/>
    <cellStyle name="Normal 2 8 3 4 2" xfId="13696"/>
    <cellStyle name="Normal 2 8 3 4 3" xfId="19848"/>
    <cellStyle name="Normal 2 8 3 5" xfId="10630"/>
    <cellStyle name="Normal 2 8 3 6" xfId="16782"/>
    <cellStyle name="Normal 2 9" xfId="1243"/>
    <cellStyle name="Normal 2 9 2" xfId="4680"/>
    <cellStyle name="Normal 2 9 3" xfId="3609"/>
    <cellStyle name="Normal 2 9 3 2" xfId="5096"/>
    <cellStyle name="Normal 2 9 3 2 2" xfId="6721"/>
    <cellStyle name="Normal 2 9 3 2 2 2" xfId="9807"/>
    <cellStyle name="Normal 2 9 3 2 2 2 2" xfId="16000"/>
    <cellStyle name="Normal 2 9 3 2 2 2 3" xfId="22152"/>
    <cellStyle name="Normal 2 9 3 2 2 3" xfId="12934"/>
    <cellStyle name="Normal 2 9 3 2 2 4" xfId="19086"/>
    <cellStyle name="Normal 2 9 3 2 3" xfId="8272"/>
    <cellStyle name="Normal 2 9 3 2 3 2" xfId="14466"/>
    <cellStyle name="Normal 2 9 3 2 3 3" xfId="20618"/>
    <cellStyle name="Normal 2 9 3 2 4" xfId="11400"/>
    <cellStyle name="Normal 2 9 3 2 5" xfId="17552"/>
    <cellStyle name="Normal 2 9 3 3" xfId="5938"/>
    <cellStyle name="Normal 2 9 3 3 2" xfId="9038"/>
    <cellStyle name="Normal 2 9 3 3 2 2" xfId="15231"/>
    <cellStyle name="Normal 2 9 3 3 2 3" xfId="21383"/>
    <cellStyle name="Normal 2 9 3 3 3" xfId="12165"/>
    <cellStyle name="Normal 2 9 3 3 4" xfId="18317"/>
    <cellStyle name="Normal 2 9 3 4" xfId="7503"/>
    <cellStyle name="Normal 2 9 3 4 2" xfId="13697"/>
    <cellStyle name="Normal 2 9 3 4 3" xfId="19849"/>
    <cellStyle name="Normal 2 9 3 5" xfId="10631"/>
    <cellStyle name="Normal 2 9 3 6" xfId="16783"/>
    <cellStyle name="Normal 2_Gas CBR Summary" xfId="24"/>
    <cellStyle name="Normal 20" xfId="406"/>
    <cellStyle name="Normal 20 10" xfId="3611"/>
    <cellStyle name="Normal 20 11" xfId="3612"/>
    <cellStyle name="Normal 20 12" xfId="3613"/>
    <cellStyle name="Normal 20 13" xfId="3614"/>
    <cellStyle name="Normal 20 14" xfId="3615"/>
    <cellStyle name="Normal 20 15" xfId="3616"/>
    <cellStyle name="Normal 20 16" xfId="3617"/>
    <cellStyle name="Normal 20 17" xfId="3618"/>
    <cellStyle name="Normal 20 18" xfId="3619"/>
    <cellStyle name="Normal 20 19" xfId="3620"/>
    <cellStyle name="Normal 20 2" xfId="3621"/>
    <cellStyle name="Normal 20 2 2" xfId="23248"/>
    <cellStyle name="Normal 20 20" xfId="3622"/>
    <cellStyle name="Normal 20 21" xfId="3623"/>
    <cellStyle name="Normal 20 22" xfId="3624"/>
    <cellStyle name="Normal 20 23" xfId="3625"/>
    <cellStyle name="Normal 20 24" xfId="3626"/>
    <cellStyle name="Normal 20 25" xfId="3610"/>
    <cellStyle name="Normal 20 26" xfId="23247"/>
    <cellStyle name="Normal 20 3" xfId="3627"/>
    <cellStyle name="Normal 20 4" xfId="3628"/>
    <cellStyle name="Normal 20 5" xfId="3629"/>
    <cellStyle name="Normal 20 6" xfId="3630"/>
    <cellStyle name="Normal 20 7" xfId="3631"/>
    <cellStyle name="Normal 20 8" xfId="3632"/>
    <cellStyle name="Normal 20 9" xfId="3633"/>
    <cellStyle name="Normal 21" xfId="418"/>
    <cellStyle name="Normal 21 10" xfId="5939"/>
    <cellStyle name="Normal 21 10 2" xfId="9039"/>
    <cellStyle name="Normal 21 10 2 2" xfId="15232"/>
    <cellStyle name="Normal 21 10 2 3" xfId="21384"/>
    <cellStyle name="Normal 21 10 3" xfId="12166"/>
    <cellStyle name="Normal 21 10 4" xfId="18318"/>
    <cellStyle name="Normal 21 11" xfId="7504"/>
    <cellStyle name="Normal 21 11 2" xfId="13698"/>
    <cellStyle name="Normal 21 11 3" xfId="19850"/>
    <cellStyle name="Normal 21 12" xfId="10632"/>
    <cellStyle name="Normal 21 13" xfId="16784"/>
    <cellStyle name="Normal 21 14" xfId="3634"/>
    <cellStyle name="Normal 21 2" xfId="3635"/>
    <cellStyle name="Normal 21 2 10" xfId="10633"/>
    <cellStyle name="Normal 21 2 11" xfId="16785"/>
    <cellStyle name="Normal 21 2 12" xfId="23249"/>
    <cellStyle name="Normal 21 2 2" xfId="3636"/>
    <cellStyle name="Normal 21 2 2 2" xfId="5099"/>
    <cellStyle name="Normal 21 2 2 2 2" xfId="6724"/>
    <cellStyle name="Normal 21 2 2 2 2 2" xfId="9810"/>
    <cellStyle name="Normal 21 2 2 2 2 2 2" xfId="16003"/>
    <cellStyle name="Normal 21 2 2 2 2 2 3" xfId="22155"/>
    <cellStyle name="Normal 21 2 2 2 2 3" xfId="12937"/>
    <cellStyle name="Normal 21 2 2 2 2 4" xfId="19089"/>
    <cellStyle name="Normal 21 2 2 2 3" xfId="8275"/>
    <cellStyle name="Normal 21 2 2 2 3 2" xfId="14469"/>
    <cellStyle name="Normal 21 2 2 2 3 3" xfId="20621"/>
    <cellStyle name="Normal 21 2 2 2 4" xfId="11403"/>
    <cellStyle name="Normal 21 2 2 2 5" xfId="17555"/>
    <cellStyle name="Normal 21 2 2 3" xfId="5941"/>
    <cellStyle name="Normal 21 2 2 3 2" xfId="9041"/>
    <cellStyle name="Normal 21 2 2 3 2 2" xfId="15234"/>
    <cellStyle name="Normal 21 2 2 3 2 3" xfId="21386"/>
    <cellStyle name="Normal 21 2 2 3 3" xfId="12168"/>
    <cellStyle name="Normal 21 2 2 3 4" xfId="18320"/>
    <cellStyle name="Normal 21 2 2 4" xfId="7506"/>
    <cellStyle name="Normal 21 2 2 4 2" xfId="13700"/>
    <cellStyle name="Normal 21 2 2 4 3" xfId="19852"/>
    <cellStyle name="Normal 21 2 2 5" xfId="10634"/>
    <cellStyle name="Normal 21 2 2 6" xfId="16786"/>
    <cellStyle name="Normal 21 2 3" xfId="3637"/>
    <cellStyle name="Normal 21 2 3 2" xfId="5100"/>
    <cellStyle name="Normal 21 2 3 2 2" xfId="6725"/>
    <cellStyle name="Normal 21 2 3 2 2 2" xfId="9811"/>
    <cellStyle name="Normal 21 2 3 2 2 2 2" xfId="16004"/>
    <cellStyle name="Normal 21 2 3 2 2 2 3" xfId="22156"/>
    <cellStyle name="Normal 21 2 3 2 2 3" xfId="12938"/>
    <cellStyle name="Normal 21 2 3 2 2 4" xfId="19090"/>
    <cellStyle name="Normal 21 2 3 2 3" xfId="8276"/>
    <cellStyle name="Normal 21 2 3 2 3 2" xfId="14470"/>
    <cellStyle name="Normal 21 2 3 2 3 3" xfId="20622"/>
    <cellStyle name="Normal 21 2 3 2 4" xfId="11404"/>
    <cellStyle name="Normal 21 2 3 2 5" xfId="17556"/>
    <cellStyle name="Normal 21 2 3 3" xfId="5942"/>
    <cellStyle name="Normal 21 2 3 3 2" xfId="9042"/>
    <cellStyle name="Normal 21 2 3 3 2 2" xfId="15235"/>
    <cellStyle name="Normal 21 2 3 3 2 3" xfId="21387"/>
    <cellStyle name="Normal 21 2 3 3 3" xfId="12169"/>
    <cellStyle name="Normal 21 2 3 3 4" xfId="18321"/>
    <cellStyle name="Normal 21 2 3 4" xfId="7507"/>
    <cellStyle name="Normal 21 2 3 4 2" xfId="13701"/>
    <cellStyle name="Normal 21 2 3 4 3" xfId="19853"/>
    <cellStyle name="Normal 21 2 3 5" xfId="10635"/>
    <cellStyle name="Normal 21 2 3 6" xfId="16787"/>
    <cellStyle name="Normal 21 2 4" xfId="3638"/>
    <cellStyle name="Normal 21 2 4 2" xfId="5101"/>
    <cellStyle name="Normal 21 2 4 2 2" xfId="6726"/>
    <cellStyle name="Normal 21 2 4 2 2 2" xfId="9812"/>
    <cellStyle name="Normal 21 2 4 2 2 2 2" xfId="16005"/>
    <cellStyle name="Normal 21 2 4 2 2 2 3" xfId="22157"/>
    <cellStyle name="Normal 21 2 4 2 2 3" xfId="12939"/>
    <cellStyle name="Normal 21 2 4 2 2 4" xfId="19091"/>
    <cellStyle name="Normal 21 2 4 2 3" xfId="8277"/>
    <cellStyle name="Normal 21 2 4 2 3 2" xfId="14471"/>
    <cellStyle name="Normal 21 2 4 2 3 3" xfId="20623"/>
    <cellStyle name="Normal 21 2 4 2 4" xfId="11405"/>
    <cellStyle name="Normal 21 2 4 2 5" xfId="17557"/>
    <cellStyle name="Normal 21 2 4 3" xfId="5943"/>
    <cellStyle name="Normal 21 2 4 3 2" xfId="9043"/>
    <cellStyle name="Normal 21 2 4 3 2 2" xfId="15236"/>
    <cellStyle name="Normal 21 2 4 3 2 3" xfId="21388"/>
    <cellStyle name="Normal 21 2 4 3 3" xfId="12170"/>
    <cellStyle name="Normal 21 2 4 3 4" xfId="18322"/>
    <cellStyle name="Normal 21 2 4 4" xfId="7508"/>
    <cellStyle name="Normal 21 2 4 4 2" xfId="13702"/>
    <cellStyle name="Normal 21 2 4 4 3" xfId="19854"/>
    <cellStyle name="Normal 21 2 4 5" xfId="10636"/>
    <cellStyle name="Normal 21 2 4 6" xfId="16788"/>
    <cellStyle name="Normal 21 2 5" xfId="3639"/>
    <cellStyle name="Normal 21 2 5 2" xfId="5102"/>
    <cellStyle name="Normal 21 2 5 2 2" xfId="6727"/>
    <cellStyle name="Normal 21 2 5 2 2 2" xfId="9813"/>
    <cellStyle name="Normal 21 2 5 2 2 2 2" xfId="16006"/>
    <cellStyle name="Normal 21 2 5 2 2 2 3" xfId="22158"/>
    <cellStyle name="Normal 21 2 5 2 2 3" xfId="12940"/>
    <cellStyle name="Normal 21 2 5 2 2 4" xfId="19092"/>
    <cellStyle name="Normal 21 2 5 2 3" xfId="8278"/>
    <cellStyle name="Normal 21 2 5 2 3 2" xfId="14472"/>
    <cellStyle name="Normal 21 2 5 2 3 3" xfId="20624"/>
    <cellStyle name="Normal 21 2 5 2 4" xfId="11406"/>
    <cellStyle name="Normal 21 2 5 2 5" xfId="17558"/>
    <cellStyle name="Normal 21 2 5 3" xfId="5944"/>
    <cellStyle name="Normal 21 2 5 3 2" xfId="9044"/>
    <cellStyle name="Normal 21 2 5 3 2 2" xfId="15237"/>
    <cellStyle name="Normal 21 2 5 3 2 3" xfId="21389"/>
    <cellStyle name="Normal 21 2 5 3 3" xfId="12171"/>
    <cellStyle name="Normal 21 2 5 3 4" xfId="18323"/>
    <cellStyle name="Normal 21 2 5 4" xfId="7509"/>
    <cellStyle name="Normal 21 2 5 4 2" xfId="13703"/>
    <cellStyle name="Normal 21 2 5 4 3" xfId="19855"/>
    <cellStyle name="Normal 21 2 5 5" xfId="10637"/>
    <cellStyle name="Normal 21 2 5 6" xfId="16789"/>
    <cellStyle name="Normal 21 2 6" xfId="3640"/>
    <cellStyle name="Normal 21 2 6 2" xfId="5103"/>
    <cellStyle name="Normal 21 2 6 2 2" xfId="6728"/>
    <cellStyle name="Normal 21 2 6 2 2 2" xfId="9814"/>
    <cellStyle name="Normal 21 2 6 2 2 2 2" xfId="16007"/>
    <cellStyle name="Normal 21 2 6 2 2 2 3" xfId="22159"/>
    <cellStyle name="Normal 21 2 6 2 2 3" xfId="12941"/>
    <cellStyle name="Normal 21 2 6 2 2 4" xfId="19093"/>
    <cellStyle name="Normal 21 2 6 2 3" xfId="8279"/>
    <cellStyle name="Normal 21 2 6 2 3 2" xfId="14473"/>
    <cellStyle name="Normal 21 2 6 2 3 3" xfId="20625"/>
    <cellStyle name="Normal 21 2 6 2 4" xfId="11407"/>
    <cellStyle name="Normal 21 2 6 2 5" xfId="17559"/>
    <cellStyle name="Normal 21 2 6 3" xfId="5945"/>
    <cellStyle name="Normal 21 2 6 3 2" xfId="9045"/>
    <cellStyle name="Normal 21 2 6 3 2 2" xfId="15238"/>
    <cellStyle name="Normal 21 2 6 3 2 3" xfId="21390"/>
    <cellStyle name="Normal 21 2 6 3 3" xfId="12172"/>
    <cellStyle name="Normal 21 2 6 3 4" xfId="18324"/>
    <cellStyle name="Normal 21 2 6 4" xfId="7510"/>
    <cellStyle name="Normal 21 2 6 4 2" xfId="13704"/>
    <cellStyle name="Normal 21 2 6 4 3" xfId="19856"/>
    <cellStyle name="Normal 21 2 6 5" xfId="10638"/>
    <cellStyle name="Normal 21 2 6 6" xfId="16790"/>
    <cellStyle name="Normal 21 2 7" xfId="5098"/>
    <cellStyle name="Normal 21 2 7 2" xfId="6723"/>
    <cellStyle name="Normal 21 2 7 2 2" xfId="9809"/>
    <cellStyle name="Normal 21 2 7 2 2 2" xfId="16002"/>
    <cellStyle name="Normal 21 2 7 2 2 3" xfId="22154"/>
    <cellStyle name="Normal 21 2 7 2 3" xfId="12936"/>
    <cellStyle name="Normal 21 2 7 2 4" xfId="19088"/>
    <cellStyle name="Normal 21 2 7 3" xfId="8274"/>
    <cellStyle name="Normal 21 2 7 3 2" xfId="14468"/>
    <cellStyle name="Normal 21 2 7 3 3" xfId="20620"/>
    <cellStyle name="Normal 21 2 7 4" xfId="11402"/>
    <cellStyle name="Normal 21 2 7 5" xfId="17554"/>
    <cellStyle name="Normal 21 2 8" xfId="5940"/>
    <cellStyle name="Normal 21 2 8 2" xfId="9040"/>
    <cellStyle name="Normal 21 2 8 2 2" xfId="15233"/>
    <cellStyle name="Normal 21 2 8 2 3" xfId="21385"/>
    <cellStyle name="Normal 21 2 8 3" xfId="12167"/>
    <cellStyle name="Normal 21 2 8 4" xfId="18319"/>
    <cellStyle name="Normal 21 2 9" xfId="7505"/>
    <cellStyle name="Normal 21 2 9 2" xfId="13699"/>
    <cellStyle name="Normal 21 2 9 3" xfId="19851"/>
    <cellStyle name="Normal 21 3" xfId="3641"/>
    <cellStyle name="Normal 21 3 2" xfId="3642"/>
    <cellStyle name="Normal 21 3 2 2" xfId="5105"/>
    <cellStyle name="Normal 21 3 2 2 2" xfId="6730"/>
    <cellStyle name="Normal 21 3 2 2 2 2" xfId="9816"/>
    <cellStyle name="Normal 21 3 2 2 2 2 2" xfId="16009"/>
    <cellStyle name="Normal 21 3 2 2 2 2 3" xfId="22161"/>
    <cellStyle name="Normal 21 3 2 2 2 3" xfId="12943"/>
    <cellStyle name="Normal 21 3 2 2 2 4" xfId="19095"/>
    <cellStyle name="Normal 21 3 2 2 3" xfId="8281"/>
    <cellStyle name="Normal 21 3 2 2 3 2" xfId="14475"/>
    <cellStyle name="Normal 21 3 2 2 3 3" xfId="20627"/>
    <cellStyle name="Normal 21 3 2 2 4" xfId="11409"/>
    <cellStyle name="Normal 21 3 2 2 5" xfId="17561"/>
    <cellStyle name="Normal 21 3 2 3" xfId="5947"/>
    <cellStyle name="Normal 21 3 2 3 2" xfId="9047"/>
    <cellStyle name="Normal 21 3 2 3 2 2" xfId="15240"/>
    <cellStyle name="Normal 21 3 2 3 2 3" xfId="21392"/>
    <cellStyle name="Normal 21 3 2 3 3" xfId="12174"/>
    <cellStyle name="Normal 21 3 2 3 4" xfId="18326"/>
    <cellStyle name="Normal 21 3 2 4" xfId="7512"/>
    <cellStyle name="Normal 21 3 2 4 2" xfId="13706"/>
    <cellStyle name="Normal 21 3 2 4 3" xfId="19858"/>
    <cellStyle name="Normal 21 3 2 5" xfId="10640"/>
    <cellStyle name="Normal 21 3 2 6" xfId="16792"/>
    <cellStyle name="Normal 21 3 3" xfId="5104"/>
    <cellStyle name="Normal 21 3 3 2" xfId="6729"/>
    <cellStyle name="Normal 21 3 3 2 2" xfId="9815"/>
    <cellStyle name="Normal 21 3 3 2 2 2" xfId="16008"/>
    <cellStyle name="Normal 21 3 3 2 2 3" xfId="22160"/>
    <cellStyle name="Normal 21 3 3 2 3" xfId="12942"/>
    <cellStyle name="Normal 21 3 3 2 4" xfId="19094"/>
    <cellStyle name="Normal 21 3 3 3" xfId="8280"/>
    <cellStyle name="Normal 21 3 3 3 2" xfId="14474"/>
    <cellStyle name="Normal 21 3 3 3 3" xfId="20626"/>
    <cellStyle name="Normal 21 3 3 4" xfId="11408"/>
    <cellStyle name="Normal 21 3 3 5" xfId="17560"/>
    <cellStyle name="Normal 21 3 4" xfId="5946"/>
    <cellStyle name="Normal 21 3 4 2" xfId="9046"/>
    <cellStyle name="Normal 21 3 4 2 2" xfId="15239"/>
    <cellStyle name="Normal 21 3 4 2 3" xfId="21391"/>
    <cellStyle name="Normal 21 3 4 3" xfId="12173"/>
    <cellStyle name="Normal 21 3 4 4" xfId="18325"/>
    <cellStyle name="Normal 21 3 5" xfId="7511"/>
    <cellStyle name="Normal 21 3 5 2" xfId="13705"/>
    <cellStyle name="Normal 21 3 5 3" xfId="19857"/>
    <cellStyle name="Normal 21 3 6" xfId="10639"/>
    <cellStyle name="Normal 21 3 7" xfId="16791"/>
    <cellStyle name="Normal 21 4" xfId="3643"/>
    <cellStyle name="Normal 21 4 2" xfId="5106"/>
    <cellStyle name="Normal 21 4 2 2" xfId="6731"/>
    <cellStyle name="Normal 21 4 2 2 2" xfId="9817"/>
    <cellStyle name="Normal 21 4 2 2 2 2" xfId="16010"/>
    <cellStyle name="Normal 21 4 2 2 2 3" xfId="22162"/>
    <cellStyle name="Normal 21 4 2 2 3" xfId="12944"/>
    <cellStyle name="Normal 21 4 2 2 4" xfId="19096"/>
    <cellStyle name="Normal 21 4 2 3" xfId="8282"/>
    <cellStyle name="Normal 21 4 2 3 2" xfId="14476"/>
    <cellStyle name="Normal 21 4 2 3 3" xfId="20628"/>
    <cellStyle name="Normal 21 4 2 4" xfId="11410"/>
    <cellStyle name="Normal 21 4 2 5" xfId="17562"/>
    <cellStyle name="Normal 21 4 3" xfId="5948"/>
    <cellStyle name="Normal 21 4 3 2" xfId="9048"/>
    <cellStyle name="Normal 21 4 3 2 2" xfId="15241"/>
    <cellStyle name="Normal 21 4 3 2 3" xfId="21393"/>
    <cellStyle name="Normal 21 4 3 3" xfId="12175"/>
    <cellStyle name="Normal 21 4 3 4" xfId="18327"/>
    <cellStyle name="Normal 21 4 4" xfId="7513"/>
    <cellStyle name="Normal 21 4 4 2" xfId="13707"/>
    <cellStyle name="Normal 21 4 4 3" xfId="19859"/>
    <cellStyle name="Normal 21 4 5" xfId="10641"/>
    <cellStyle name="Normal 21 4 6" xfId="16793"/>
    <cellStyle name="Normal 21 5" xfId="3644"/>
    <cellStyle name="Normal 21 5 2" xfId="5107"/>
    <cellStyle name="Normal 21 5 2 2" xfId="6732"/>
    <cellStyle name="Normal 21 5 2 2 2" xfId="9818"/>
    <cellStyle name="Normal 21 5 2 2 2 2" xfId="16011"/>
    <cellStyle name="Normal 21 5 2 2 2 3" xfId="22163"/>
    <cellStyle name="Normal 21 5 2 2 3" xfId="12945"/>
    <cellStyle name="Normal 21 5 2 2 4" xfId="19097"/>
    <cellStyle name="Normal 21 5 2 3" xfId="8283"/>
    <cellStyle name="Normal 21 5 2 3 2" xfId="14477"/>
    <cellStyle name="Normal 21 5 2 3 3" xfId="20629"/>
    <cellStyle name="Normal 21 5 2 4" xfId="11411"/>
    <cellStyle name="Normal 21 5 2 5" xfId="17563"/>
    <cellStyle name="Normal 21 5 3" xfId="5949"/>
    <cellStyle name="Normal 21 5 3 2" xfId="9049"/>
    <cellStyle name="Normal 21 5 3 2 2" xfId="15242"/>
    <cellStyle name="Normal 21 5 3 2 3" xfId="21394"/>
    <cellStyle name="Normal 21 5 3 3" xfId="12176"/>
    <cellStyle name="Normal 21 5 3 4" xfId="18328"/>
    <cellStyle name="Normal 21 5 4" xfId="7514"/>
    <cellStyle name="Normal 21 5 4 2" xfId="13708"/>
    <cellStyle name="Normal 21 5 4 3" xfId="19860"/>
    <cellStyle name="Normal 21 5 5" xfId="10642"/>
    <cellStyle name="Normal 21 5 6" xfId="16794"/>
    <cellStyle name="Normal 21 6" xfId="3645"/>
    <cellStyle name="Normal 21 6 2" xfId="5108"/>
    <cellStyle name="Normal 21 6 2 2" xfId="6733"/>
    <cellStyle name="Normal 21 6 2 2 2" xfId="9819"/>
    <cellStyle name="Normal 21 6 2 2 2 2" xfId="16012"/>
    <cellStyle name="Normal 21 6 2 2 2 3" xfId="22164"/>
    <cellStyle name="Normal 21 6 2 2 3" xfId="12946"/>
    <cellStyle name="Normal 21 6 2 2 4" xfId="19098"/>
    <cellStyle name="Normal 21 6 2 3" xfId="8284"/>
    <cellStyle name="Normal 21 6 2 3 2" xfId="14478"/>
    <cellStyle name="Normal 21 6 2 3 3" xfId="20630"/>
    <cellStyle name="Normal 21 6 2 4" xfId="11412"/>
    <cellStyle name="Normal 21 6 2 5" xfId="17564"/>
    <cellStyle name="Normal 21 6 3" xfId="5950"/>
    <cellStyle name="Normal 21 6 3 2" xfId="9050"/>
    <cellStyle name="Normal 21 6 3 2 2" xfId="15243"/>
    <cellStyle name="Normal 21 6 3 2 3" xfId="21395"/>
    <cellStyle name="Normal 21 6 3 3" xfId="12177"/>
    <cellStyle name="Normal 21 6 3 4" xfId="18329"/>
    <cellStyle name="Normal 21 6 4" xfId="7515"/>
    <cellStyle name="Normal 21 6 4 2" xfId="13709"/>
    <cellStyle name="Normal 21 6 4 3" xfId="19861"/>
    <cellStyle name="Normal 21 6 5" xfId="10643"/>
    <cellStyle name="Normal 21 6 6" xfId="16795"/>
    <cellStyle name="Normal 21 7" xfId="3646"/>
    <cellStyle name="Normal 21 8" xfId="3647"/>
    <cellStyle name="Normal 21 8 2" xfId="5109"/>
    <cellStyle name="Normal 21 8 2 2" xfId="6734"/>
    <cellStyle name="Normal 21 8 2 2 2" xfId="9820"/>
    <cellStyle name="Normal 21 8 2 2 2 2" xfId="16013"/>
    <cellStyle name="Normal 21 8 2 2 2 3" xfId="22165"/>
    <cellStyle name="Normal 21 8 2 2 3" xfId="12947"/>
    <cellStyle name="Normal 21 8 2 2 4" xfId="19099"/>
    <cellStyle name="Normal 21 8 2 3" xfId="8285"/>
    <cellStyle name="Normal 21 8 2 3 2" xfId="14479"/>
    <cellStyle name="Normal 21 8 2 3 3" xfId="20631"/>
    <cellStyle name="Normal 21 8 2 4" xfId="11413"/>
    <cellStyle name="Normal 21 8 2 5" xfId="17565"/>
    <cellStyle name="Normal 21 8 3" xfId="5951"/>
    <cellStyle name="Normal 21 8 3 2" xfId="9051"/>
    <cellStyle name="Normal 21 8 3 2 2" xfId="15244"/>
    <cellStyle name="Normal 21 8 3 2 3" xfId="21396"/>
    <cellStyle name="Normal 21 8 3 3" xfId="12178"/>
    <cellStyle name="Normal 21 8 3 4" xfId="18330"/>
    <cellStyle name="Normal 21 8 4" xfId="7516"/>
    <cellStyle name="Normal 21 8 4 2" xfId="13710"/>
    <cellStyle name="Normal 21 8 4 3" xfId="19862"/>
    <cellStyle name="Normal 21 8 5" xfId="10644"/>
    <cellStyle name="Normal 21 8 6" xfId="16796"/>
    <cellStyle name="Normal 21 9" xfId="5097"/>
    <cellStyle name="Normal 21 9 2" xfId="6722"/>
    <cellStyle name="Normal 21 9 2 2" xfId="9808"/>
    <cellStyle name="Normal 21 9 2 2 2" xfId="16001"/>
    <cellStyle name="Normal 21 9 2 2 3" xfId="22153"/>
    <cellStyle name="Normal 21 9 2 3" xfId="12935"/>
    <cellStyle name="Normal 21 9 2 4" xfId="19087"/>
    <cellStyle name="Normal 21 9 3" xfId="8273"/>
    <cellStyle name="Normal 21 9 3 2" xfId="14467"/>
    <cellStyle name="Normal 21 9 3 3" xfId="20619"/>
    <cellStyle name="Normal 21 9 4" xfId="11401"/>
    <cellStyle name="Normal 21 9 5" xfId="17553"/>
    <cellStyle name="Normal 22" xfId="430"/>
    <cellStyle name="Normal 22 10" xfId="7517"/>
    <cellStyle name="Normal 22 10 2" xfId="13711"/>
    <cellStyle name="Normal 22 10 3" xfId="19863"/>
    <cellStyle name="Normal 22 11" xfId="10645"/>
    <cellStyle name="Normal 22 12" xfId="16797"/>
    <cellStyle name="Normal 22 13" xfId="3648"/>
    <cellStyle name="Normal 22 2" xfId="3649"/>
    <cellStyle name="Normal 22 2 10" xfId="10646"/>
    <cellStyle name="Normal 22 2 11" xfId="16798"/>
    <cellStyle name="Normal 22 2 2" xfId="3650"/>
    <cellStyle name="Normal 22 2 2 2" xfId="5112"/>
    <cellStyle name="Normal 22 2 2 2 2" xfId="6737"/>
    <cellStyle name="Normal 22 2 2 2 2 2" xfId="9823"/>
    <cellStyle name="Normal 22 2 2 2 2 2 2" xfId="16016"/>
    <cellStyle name="Normal 22 2 2 2 2 2 3" xfId="22168"/>
    <cellStyle name="Normal 22 2 2 2 2 3" xfId="12950"/>
    <cellStyle name="Normal 22 2 2 2 2 4" xfId="19102"/>
    <cellStyle name="Normal 22 2 2 2 3" xfId="8288"/>
    <cellStyle name="Normal 22 2 2 2 3 2" xfId="14482"/>
    <cellStyle name="Normal 22 2 2 2 3 3" xfId="20634"/>
    <cellStyle name="Normal 22 2 2 2 4" xfId="11416"/>
    <cellStyle name="Normal 22 2 2 2 5" xfId="17568"/>
    <cellStyle name="Normal 22 2 2 3" xfId="5954"/>
    <cellStyle name="Normal 22 2 2 3 2" xfId="9054"/>
    <cellStyle name="Normal 22 2 2 3 2 2" xfId="15247"/>
    <cellStyle name="Normal 22 2 2 3 2 3" xfId="21399"/>
    <cellStyle name="Normal 22 2 2 3 3" xfId="12181"/>
    <cellStyle name="Normal 22 2 2 3 4" xfId="18333"/>
    <cellStyle name="Normal 22 2 2 4" xfId="7519"/>
    <cellStyle name="Normal 22 2 2 4 2" xfId="13713"/>
    <cellStyle name="Normal 22 2 2 4 3" xfId="19865"/>
    <cellStyle name="Normal 22 2 2 5" xfId="10647"/>
    <cellStyle name="Normal 22 2 2 6" xfId="16799"/>
    <cellStyle name="Normal 22 2 3" xfId="3651"/>
    <cellStyle name="Normal 22 2 3 2" xfId="5113"/>
    <cellStyle name="Normal 22 2 3 2 2" xfId="6738"/>
    <cellStyle name="Normal 22 2 3 2 2 2" xfId="9824"/>
    <cellStyle name="Normal 22 2 3 2 2 2 2" xfId="16017"/>
    <cellStyle name="Normal 22 2 3 2 2 2 3" xfId="22169"/>
    <cellStyle name="Normal 22 2 3 2 2 3" xfId="12951"/>
    <cellStyle name="Normal 22 2 3 2 2 4" xfId="19103"/>
    <cellStyle name="Normal 22 2 3 2 3" xfId="8289"/>
    <cellStyle name="Normal 22 2 3 2 3 2" xfId="14483"/>
    <cellStyle name="Normal 22 2 3 2 3 3" xfId="20635"/>
    <cellStyle name="Normal 22 2 3 2 4" xfId="11417"/>
    <cellStyle name="Normal 22 2 3 2 5" xfId="17569"/>
    <cellStyle name="Normal 22 2 3 3" xfId="5955"/>
    <cellStyle name="Normal 22 2 3 3 2" xfId="9055"/>
    <cellStyle name="Normal 22 2 3 3 2 2" xfId="15248"/>
    <cellStyle name="Normal 22 2 3 3 2 3" xfId="21400"/>
    <cellStyle name="Normal 22 2 3 3 3" xfId="12182"/>
    <cellStyle name="Normal 22 2 3 3 4" xfId="18334"/>
    <cellStyle name="Normal 22 2 3 4" xfId="7520"/>
    <cellStyle name="Normal 22 2 3 4 2" xfId="13714"/>
    <cellStyle name="Normal 22 2 3 4 3" xfId="19866"/>
    <cellStyle name="Normal 22 2 3 5" xfId="10648"/>
    <cellStyle name="Normal 22 2 3 6" xfId="16800"/>
    <cellStyle name="Normal 22 2 4" xfId="3652"/>
    <cellStyle name="Normal 22 2 4 2" xfId="5114"/>
    <cellStyle name="Normal 22 2 4 2 2" xfId="6739"/>
    <cellStyle name="Normal 22 2 4 2 2 2" xfId="9825"/>
    <cellStyle name="Normal 22 2 4 2 2 2 2" xfId="16018"/>
    <cellStyle name="Normal 22 2 4 2 2 2 3" xfId="22170"/>
    <cellStyle name="Normal 22 2 4 2 2 3" xfId="12952"/>
    <cellStyle name="Normal 22 2 4 2 2 4" xfId="19104"/>
    <cellStyle name="Normal 22 2 4 2 3" xfId="8290"/>
    <cellStyle name="Normal 22 2 4 2 3 2" xfId="14484"/>
    <cellStyle name="Normal 22 2 4 2 3 3" xfId="20636"/>
    <cellStyle name="Normal 22 2 4 2 4" xfId="11418"/>
    <cellStyle name="Normal 22 2 4 2 5" xfId="17570"/>
    <cellStyle name="Normal 22 2 4 3" xfId="5956"/>
    <cellStyle name="Normal 22 2 4 3 2" xfId="9056"/>
    <cellStyle name="Normal 22 2 4 3 2 2" xfId="15249"/>
    <cellStyle name="Normal 22 2 4 3 2 3" xfId="21401"/>
    <cellStyle name="Normal 22 2 4 3 3" xfId="12183"/>
    <cellStyle name="Normal 22 2 4 3 4" xfId="18335"/>
    <cellStyle name="Normal 22 2 4 4" xfId="7521"/>
    <cellStyle name="Normal 22 2 4 4 2" xfId="13715"/>
    <cellStyle name="Normal 22 2 4 4 3" xfId="19867"/>
    <cellStyle name="Normal 22 2 4 5" xfId="10649"/>
    <cellStyle name="Normal 22 2 4 6" xfId="16801"/>
    <cellStyle name="Normal 22 2 5" xfId="3653"/>
    <cellStyle name="Normal 22 2 5 2" xfId="5115"/>
    <cellStyle name="Normal 22 2 5 2 2" xfId="6740"/>
    <cellStyle name="Normal 22 2 5 2 2 2" xfId="9826"/>
    <cellStyle name="Normal 22 2 5 2 2 2 2" xfId="16019"/>
    <cellStyle name="Normal 22 2 5 2 2 2 3" xfId="22171"/>
    <cellStyle name="Normal 22 2 5 2 2 3" xfId="12953"/>
    <cellStyle name="Normal 22 2 5 2 2 4" xfId="19105"/>
    <cellStyle name="Normal 22 2 5 2 3" xfId="8291"/>
    <cellStyle name="Normal 22 2 5 2 3 2" xfId="14485"/>
    <cellStyle name="Normal 22 2 5 2 3 3" xfId="20637"/>
    <cellStyle name="Normal 22 2 5 2 4" xfId="11419"/>
    <cellStyle name="Normal 22 2 5 2 5" xfId="17571"/>
    <cellStyle name="Normal 22 2 5 3" xfId="5957"/>
    <cellStyle name="Normal 22 2 5 3 2" xfId="9057"/>
    <cellStyle name="Normal 22 2 5 3 2 2" xfId="15250"/>
    <cellStyle name="Normal 22 2 5 3 2 3" xfId="21402"/>
    <cellStyle name="Normal 22 2 5 3 3" xfId="12184"/>
    <cellStyle name="Normal 22 2 5 3 4" xfId="18336"/>
    <cellStyle name="Normal 22 2 5 4" xfId="7522"/>
    <cellStyle name="Normal 22 2 5 4 2" xfId="13716"/>
    <cellStyle name="Normal 22 2 5 4 3" xfId="19868"/>
    <cellStyle name="Normal 22 2 5 5" xfId="10650"/>
    <cellStyle name="Normal 22 2 5 6" xfId="16802"/>
    <cellStyle name="Normal 22 2 6" xfId="3654"/>
    <cellStyle name="Normal 22 2 7" xfId="5111"/>
    <cellStyle name="Normal 22 2 7 2" xfId="6736"/>
    <cellStyle name="Normal 22 2 7 2 2" xfId="9822"/>
    <cellStyle name="Normal 22 2 7 2 2 2" xfId="16015"/>
    <cellStyle name="Normal 22 2 7 2 2 3" xfId="22167"/>
    <cellStyle name="Normal 22 2 7 2 3" xfId="12949"/>
    <cellStyle name="Normal 22 2 7 2 4" xfId="19101"/>
    <cellStyle name="Normal 22 2 7 3" xfId="8287"/>
    <cellStyle name="Normal 22 2 7 3 2" xfId="14481"/>
    <cellStyle name="Normal 22 2 7 3 3" xfId="20633"/>
    <cellStyle name="Normal 22 2 7 4" xfId="11415"/>
    <cellStyle name="Normal 22 2 7 5" xfId="17567"/>
    <cellStyle name="Normal 22 2 8" xfId="5953"/>
    <cellStyle name="Normal 22 2 8 2" xfId="9053"/>
    <cellStyle name="Normal 22 2 8 2 2" xfId="15246"/>
    <cellStyle name="Normal 22 2 8 2 3" xfId="21398"/>
    <cellStyle name="Normal 22 2 8 3" xfId="12180"/>
    <cellStyle name="Normal 22 2 8 4" xfId="18332"/>
    <cellStyle name="Normal 22 2 9" xfId="7518"/>
    <cellStyle name="Normal 22 2 9 2" xfId="13712"/>
    <cellStyle name="Normal 22 2 9 3" xfId="19864"/>
    <cellStyle name="Normal 22 3" xfId="3655"/>
    <cellStyle name="Normal 22 3 2" xfId="5116"/>
    <cellStyle name="Normal 22 3 2 2" xfId="6741"/>
    <cellStyle name="Normal 22 3 2 2 2" xfId="9827"/>
    <cellStyle name="Normal 22 3 2 2 2 2" xfId="16020"/>
    <cellStyle name="Normal 22 3 2 2 2 3" xfId="22172"/>
    <cellStyle name="Normal 22 3 2 2 3" xfId="12954"/>
    <cellStyle name="Normal 22 3 2 2 4" xfId="19106"/>
    <cellStyle name="Normal 22 3 2 3" xfId="8292"/>
    <cellStyle name="Normal 22 3 2 3 2" xfId="14486"/>
    <cellStyle name="Normal 22 3 2 3 3" xfId="20638"/>
    <cellStyle name="Normal 22 3 2 4" xfId="11420"/>
    <cellStyle name="Normal 22 3 2 5" xfId="17572"/>
    <cellStyle name="Normal 22 3 3" xfId="5958"/>
    <cellStyle name="Normal 22 3 3 2" xfId="9058"/>
    <cellStyle name="Normal 22 3 3 2 2" xfId="15251"/>
    <cellStyle name="Normal 22 3 3 2 3" xfId="21403"/>
    <cellStyle name="Normal 22 3 3 3" xfId="12185"/>
    <cellStyle name="Normal 22 3 3 4" xfId="18337"/>
    <cellStyle name="Normal 22 3 4" xfId="7523"/>
    <cellStyle name="Normal 22 3 4 2" xfId="13717"/>
    <cellStyle name="Normal 22 3 4 3" xfId="19869"/>
    <cellStyle name="Normal 22 3 5" xfId="10651"/>
    <cellStyle name="Normal 22 3 6" xfId="16803"/>
    <cellStyle name="Normal 22 4" xfId="3656"/>
    <cellStyle name="Normal 22 4 2" xfId="5117"/>
    <cellStyle name="Normal 22 4 2 2" xfId="6742"/>
    <cellStyle name="Normal 22 4 2 2 2" xfId="9828"/>
    <cellStyle name="Normal 22 4 2 2 2 2" xfId="16021"/>
    <cellStyle name="Normal 22 4 2 2 2 3" xfId="22173"/>
    <cellStyle name="Normal 22 4 2 2 3" xfId="12955"/>
    <cellStyle name="Normal 22 4 2 2 4" xfId="19107"/>
    <cellStyle name="Normal 22 4 2 3" xfId="8293"/>
    <cellStyle name="Normal 22 4 2 3 2" xfId="14487"/>
    <cellStyle name="Normal 22 4 2 3 3" xfId="20639"/>
    <cellStyle name="Normal 22 4 2 4" xfId="11421"/>
    <cellStyle name="Normal 22 4 2 5" xfId="17573"/>
    <cellStyle name="Normal 22 4 3" xfId="5959"/>
    <cellStyle name="Normal 22 4 3 2" xfId="9059"/>
    <cellStyle name="Normal 22 4 3 2 2" xfId="15252"/>
    <cellStyle name="Normal 22 4 3 2 3" xfId="21404"/>
    <cellStyle name="Normal 22 4 3 3" xfId="12186"/>
    <cellStyle name="Normal 22 4 3 4" xfId="18338"/>
    <cellStyle name="Normal 22 4 4" xfId="7524"/>
    <cellStyle name="Normal 22 4 4 2" xfId="13718"/>
    <cellStyle name="Normal 22 4 4 3" xfId="19870"/>
    <cellStyle name="Normal 22 4 5" xfId="10652"/>
    <cellStyle name="Normal 22 4 6" xfId="16804"/>
    <cellStyle name="Normal 22 5" xfId="3657"/>
    <cellStyle name="Normal 22 5 2" xfId="5118"/>
    <cellStyle name="Normal 22 5 2 2" xfId="6743"/>
    <cellStyle name="Normal 22 5 2 2 2" xfId="9829"/>
    <cellStyle name="Normal 22 5 2 2 2 2" xfId="16022"/>
    <cellStyle name="Normal 22 5 2 2 2 3" xfId="22174"/>
    <cellStyle name="Normal 22 5 2 2 3" xfId="12956"/>
    <cellStyle name="Normal 22 5 2 2 4" xfId="19108"/>
    <cellStyle name="Normal 22 5 2 3" xfId="8294"/>
    <cellStyle name="Normal 22 5 2 3 2" xfId="14488"/>
    <cellStyle name="Normal 22 5 2 3 3" xfId="20640"/>
    <cellStyle name="Normal 22 5 2 4" xfId="11422"/>
    <cellStyle name="Normal 22 5 2 5" xfId="17574"/>
    <cellStyle name="Normal 22 5 3" xfId="5960"/>
    <cellStyle name="Normal 22 5 3 2" xfId="9060"/>
    <cellStyle name="Normal 22 5 3 2 2" xfId="15253"/>
    <cellStyle name="Normal 22 5 3 2 3" xfId="21405"/>
    <cellStyle name="Normal 22 5 3 3" xfId="12187"/>
    <cellStyle name="Normal 22 5 3 4" xfId="18339"/>
    <cellStyle name="Normal 22 5 4" xfId="7525"/>
    <cellStyle name="Normal 22 5 4 2" xfId="13719"/>
    <cellStyle name="Normal 22 5 4 3" xfId="19871"/>
    <cellStyle name="Normal 22 5 5" xfId="10653"/>
    <cellStyle name="Normal 22 5 6" xfId="16805"/>
    <cellStyle name="Normal 22 6" xfId="3658"/>
    <cellStyle name="Normal 22 6 2" xfId="5119"/>
    <cellStyle name="Normal 22 6 2 2" xfId="6744"/>
    <cellStyle name="Normal 22 6 2 2 2" xfId="9830"/>
    <cellStyle name="Normal 22 6 2 2 2 2" xfId="16023"/>
    <cellStyle name="Normal 22 6 2 2 2 3" xfId="22175"/>
    <cellStyle name="Normal 22 6 2 2 3" xfId="12957"/>
    <cellStyle name="Normal 22 6 2 2 4" xfId="19109"/>
    <cellStyle name="Normal 22 6 2 3" xfId="8295"/>
    <cellStyle name="Normal 22 6 2 3 2" xfId="14489"/>
    <cellStyle name="Normal 22 6 2 3 3" xfId="20641"/>
    <cellStyle name="Normal 22 6 2 4" xfId="11423"/>
    <cellStyle name="Normal 22 6 2 5" xfId="17575"/>
    <cellStyle name="Normal 22 6 3" xfId="5961"/>
    <cellStyle name="Normal 22 6 3 2" xfId="9061"/>
    <cellStyle name="Normal 22 6 3 2 2" xfId="15254"/>
    <cellStyle name="Normal 22 6 3 2 3" xfId="21406"/>
    <cellStyle name="Normal 22 6 3 3" xfId="12188"/>
    <cellStyle name="Normal 22 6 3 4" xfId="18340"/>
    <cellStyle name="Normal 22 6 4" xfId="7526"/>
    <cellStyle name="Normal 22 6 4 2" xfId="13720"/>
    <cellStyle name="Normal 22 6 4 3" xfId="19872"/>
    <cellStyle name="Normal 22 6 5" xfId="10654"/>
    <cellStyle name="Normal 22 6 6" xfId="16806"/>
    <cellStyle name="Normal 22 7" xfId="3659"/>
    <cellStyle name="Normal 22 8" xfId="5110"/>
    <cellStyle name="Normal 22 8 2" xfId="6735"/>
    <cellStyle name="Normal 22 8 2 2" xfId="9821"/>
    <cellStyle name="Normal 22 8 2 2 2" xfId="16014"/>
    <cellStyle name="Normal 22 8 2 2 3" xfId="22166"/>
    <cellStyle name="Normal 22 8 2 3" xfId="12948"/>
    <cellStyle name="Normal 22 8 2 4" xfId="19100"/>
    <cellStyle name="Normal 22 8 3" xfId="8286"/>
    <cellStyle name="Normal 22 8 3 2" xfId="14480"/>
    <cellStyle name="Normal 22 8 3 3" xfId="20632"/>
    <cellStyle name="Normal 22 8 4" xfId="11414"/>
    <cellStyle name="Normal 22 8 5" xfId="17566"/>
    <cellStyle name="Normal 22 9" xfId="5952"/>
    <cellStyle name="Normal 22 9 2" xfId="9052"/>
    <cellStyle name="Normal 22 9 2 2" xfId="15245"/>
    <cellStyle name="Normal 22 9 2 3" xfId="21397"/>
    <cellStyle name="Normal 22 9 3" xfId="12179"/>
    <cellStyle name="Normal 22 9 4" xfId="18331"/>
    <cellStyle name="Normal 23" xfId="598"/>
    <cellStyle name="Normal 23 10" xfId="7527"/>
    <cellStyle name="Normal 23 10 2" xfId="13721"/>
    <cellStyle name="Normal 23 10 3" xfId="19873"/>
    <cellStyle name="Normal 23 11" xfId="10655"/>
    <cellStyle name="Normal 23 12" xfId="16807"/>
    <cellStyle name="Normal 23 13" xfId="3660"/>
    <cellStyle name="Normal 23 2" xfId="3661"/>
    <cellStyle name="Normal 23 2 10" xfId="16808"/>
    <cellStyle name="Normal 23 2 11" xfId="23250"/>
    <cellStyle name="Normal 23 2 2" xfId="3662"/>
    <cellStyle name="Normal 23 2 2 2" xfId="5122"/>
    <cellStyle name="Normal 23 2 2 2 2" xfId="6747"/>
    <cellStyle name="Normal 23 2 2 2 2 2" xfId="9833"/>
    <cellStyle name="Normal 23 2 2 2 2 2 2" xfId="16026"/>
    <cellStyle name="Normal 23 2 2 2 2 2 3" xfId="22178"/>
    <cellStyle name="Normal 23 2 2 2 2 3" xfId="12960"/>
    <cellStyle name="Normal 23 2 2 2 2 4" xfId="19112"/>
    <cellStyle name="Normal 23 2 2 2 3" xfId="8298"/>
    <cellStyle name="Normal 23 2 2 2 3 2" xfId="14492"/>
    <cellStyle name="Normal 23 2 2 2 3 3" xfId="20644"/>
    <cellStyle name="Normal 23 2 2 2 4" xfId="11426"/>
    <cellStyle name="Normal 23 2 2 2 5" xfId="17578"/>
    <cellStyle name="Normal 23 2 2 3" xfId="5964"/>
    <cellStyle name="Normal 23 2 2 3 2" xfId="9064"/>
    <cellStyle name="Normal 23 2 2 3 2 2" xfId="15257"/>
    <cellStyle name="Normal 23 2 2 3 2 3" xfId="21409"/>
    <cellStyle name="Normal 23 2 2 3 3" xfId="12191"/>
    <cellStyle name="Normal 23 2 2 3 4" xfId="18343"/>
    <cellStyle name="Normal 23 2 2 4" xfId="7529"/>
    <cellStyle name="Normal 23 2 2 4 2" xfId="13723"/>
    <cellStyle name="Normal 23 2 2 4 3" xfId="19875"/>
    <cellStyle name="Normal 23 2 2 5" xfId="10657"/>
    <cellStyle name="Normal 23 2 2 6" xfId="16809"/>
    <cellStyle name="Normal 23 2 3" xfId="3663"/>
    <cellStyle name="Normal 23 2 3 2" xfId="5123"/>
    <cellStyle name="Normal 23 2 3 2 2" xfId="6748"/>
    <cellStyle name="Normal 23 2 3 2 2 2" xfId="9834"/>
    <cellStyle name="Normal 23 2 3 2 2 2 2" xfId="16027"/>
    <cellStyle name="Normal 23 2 3 2 2 2 3" xfId="22179"/>
    <cellStyle name="Normal 23 2 3 2 2 3" xfId="12961"/>
    <cellStyle name="Normal 23 2 3 2 2 4" xfId="19113"/>
    <cellStyle name="Normal 23 2 3 2 3" xfId="8299"/>
    <cellStyle name="Normal 23 2 3 2 3 2" xfId="14493"/>
    <cellStyle name="Normal 23 2 3 2 3 3" xfId="20645"/>
    <cellStyle name="Normal 23 2 3 2 4" xfId="11427"/>
    <cellStyle name="Normal 23 2 3 2 5" xfId="17579"/>
    <cellStyle name="Normal 23 2 3 3" xfId="5965"/>
    <cellStyle name="Normal 23 2 3 3 2" xfId="9065"/>
    <cellStyle name="Normal 23 2 3 3 2 2" xfId="15258"/>
    <cellStyle name="Normal 23 2 3 3 2 3" xfId="21410"/>
    <cellStyle name="Normal 23 2 3 3 3" xfId="12192"/>
    <cellStyle name="Normal 23 2 3 3 4" xfId="18344"/>
    <cellStyle name="Normal 23 2 3 4" xfId="7530"/>
    <cellStyle name="Normal 23 2 3 4 2" xfId="13724"/>
    <cellStyle name="Normal 23 2 3 4 3" xfId="19876"/>
    <cellStyle name="Normal 23 2 3 5" xfId="10658"/>
    <cellStyle name="Normal 23 2 3 6" xfId="16810"/>
    <cellStyle name="Normal 23 2 4" xfId="3664"/>
    <cellStyle name="Normal 23 2 4 2" xfId="5124"/>
    <cellStyle name="Normal 23 2 4 2 2" xfId="6749"/>
    <cellStyle name="Normal 23 2 4 2 2 2" xfId="9835"/>
    <cellStyle name="Normal 23 2 4 2 2 2 2" xfId="16028"/>
    <cellStyle name="Normal 23 2 4 2 2 2 3" xfId="22180"/>
    <cellStyle name="Normal 23 2 4 2 2 3" xfId="12962"/>
    <cellStyle name="Normal 23 2 4 2 2 4" xfId="19114"/>
    <cellStyle name="Normal 23 2 4 2 3" xfId="8300"/>
    <cellStyle name="Normal 23 2 4 2 3 2" xfId="14494"/>
    <cellStyle name="Normal 23 2 4 2 3 3" xfId="20646"/>
    <cellStyle name="Normal 23 2 4 2 4" xfId="11428"/>
    <cellStyle name="Normal 23 2 4 2 5" xfId="17580"/>
    <cellStyle name="Normal 23 2 4 3" xfId="5966"/>
    <cellStyle name="Normal 23 2 4 3 2" xfId="9066"/>
    <cellStyle name="Normal 23 2 4 3 2 2" xfId="15259"/>
    <cellStyle name="Normal 23 2 4 3 2 3" xfId="21411"/>
    <cellStyle name="Normal 23 2 4 3 3" xfId="12193"/>
    <cellStyle name="Normal 23 2 4 3 4" xfId="18345"/>
    <cellStyle name="Normal 23 2 4 4" xfId="7531"/>
    <cellStyle name="Normal 23 2 4 4 2" xfId="13725"/>
    <cellStyle name="Normal 23 2 4 4 3" xfId="19877"/>
    <cellStyle name="Normal 23 2 4 5" xfId="10659"/>
    <cellStyle name="Normal 23 2 4 6" xfId="16811"/>
    <cellStyle name="Normal 23 2 5" xfId="3665"/>
    <cellStyle name="Normal 23 2 5 2" xfId="5125"/>
    <cellStyle name="Normal 23 2 5 2 2" xfId="6750"/>
    <cellStyle name="Normal 23 2 5 2 2 2" xfId="9836"/>
    <cellStyle name="Normal 23 2 5 2 2 2 2" xfId="16029"/>
    <cellStyle name="Normal 23 2 5 2 2 2 3" xfId="22181"/>
    <cellStyle name="Normal 23 2 5 2 2 3" xfId="12963"/>
    <cellStyle name="Normal 23 2 5 2 2 4" xfId="19115"/>
    <cellStyle name="Normal 23 2 5 2 3" xfId="8301"/>
    <cellStyle name="Normal 23 2 5 2 3 2" xfId="14495"/>
    <cellStyle name="Normal 23 2 5 2 3 3" xfId="20647"/>
    <cellStyle name="Normal 23 2 5 2 4" xfId="11429"/>
    <cellStyle name="Normal 23 2 5 2 5" xfId="17581"/>
    <cellStyle name="Normal 23 2 5 3" xfId="5967"/>
    <cellStyle name="Normal 23 2 5 3 2" xfId="9067"/>
    <cellStyle name="Normal 23 2 5 3 2 2" xfId="15260"/>
    <cellStyle name="Normal 23 2 5 3 2 3" xfId="21412"/>
    <cellStyle name="Normal 23 2 5 3 3" xfId="12194"/>
    <cellStyle name="Normal 23 2 5 3 4" xfId="18346"/>
    <cellStyle name="Normal 23 2 5 4" xfId="7532"/>
    <cellStyle name="Normal 23 2 5 4 2" xfId="13726"/>
    <cellStyle name="Normal 23 2 5 4 3" xfId="19878"/>
    <cellStyle name="Normal 23 2 5 5" xfId="10660"/>
    <cellStyle name="Normal 23 2 5 6" xfId="16812"/>
    <cellStyle name="Normal 23 2 6" xfId="5121"/>
    <cellStyle name="Normal 23 2 6 2" xfId="6746"/>
    <cellStyle name="Normal 23 2 6 2 2" xfId="9832"/>
    <cellStyle name="Normal 23 2 6 2 2 2" xfId="16025"/>
    <cellStyle name="Normal 23 2 6 2 2 3" xfId="22177"/>
    <cellStyle name="Normal 23 2 6 2 3" xfId="12959"/>
    <cellStyle name="Normal 23 2 6 2 4" xfId="19111"/>
    <cellStyle name="Normal 23 2 6 3" xfId="8297"/>
    <cellStyle name="Normal 23 2 6 3 2" xfId="14491"/>
    <cellStyle name="Normal 23 2 6 3 3" xfId="20643"/>
    <cellStyle name="Normal 23 2 6 4" xfId="11425"/>
    <cellStyle name="Normal 23 2 6 5" xfId="17577"/>
    <cellStyle name="Normal 23 2 7" xfId="5963"/>
    <cellStyle name="Normal 23 2 7 2" xfId="9063"/>
    <cellStyle name="Normal 23 2 7 2 2" xfId="15256"/>
    <cellStyle name="Normal 23 2 7 2 3" xfId="21408"/>
    <cellStyle name="Normal 23 2 7 3" xfId="12190"/>
    <cellStyle name="Normal 23 2 7 4" xfId="18342"/>
    <cellStyle name="Normal 23 2 8" xfId="7528"/>
    <cellStyle name="Normal 23 2 8 2" xfId="13722"/>
    <cellStyle name="Normal 23 2 8 3" xfId="19874"/>
    <cellStyle name="Normal 23 2 9" xfId="10656"/>
    <cellStyle name="Normal 23 3" xfId="3666"/>
    <cellStyle name="Normal 23 3 2" xfId="5126"/>
    <cellStyle name="Normal 23 3 2 2" xfId="6751"/>
    <cellStyle name="Normal 23 3 2 2 2" xfId="9837"/>
    <cellStyle name="Normal 23 3 2 2 2 2" xfId="16030"/>
    <cellStyle name="Normal 23 3 2 2 2 3" xfId="22182"/>
    <cellStyle name="Normal 23 3 2 2 3" xfId="12964"/>
    <cellStyle name="Normal 23 3 2 2 4" xfId="19116"/>
    <cellStyle name="Normal 23 3 2 3" xfId="8302"/>
    <cellStyle name="Normal 23 3 2 3 2" xfId="14496"/>
    <cellStyle name="Normal 23 3 2 3 3" xfId="20648"/>
    <cellStyle name="Normal 23 3 2 4" xfId="11430"/>
    <cellStyle name="Normal 23 3 2 5" xfId="17582"/>
    <cellStyle name="Normal 23 3 3" xfId="5968"/>
    <cellStyle name="Normal 23 3 3 2" xfId="9068"/>
    <cellStyle name="Normal 23 3 3 2 2" xfId="15261"/>
    <cellStyle name="Normal 23 3 3 2 3" xfId="21413"/>
    <cellStyle name="Normal 23 3 3 3" xfId="12195"/>
    <cellStyle name="Normal 23 3 3 4" xfId="18347"/>
    <cellStyle name="Normal 23 3 4" xfId="7533"/>
    <cellStyle name="Normal 23 3 4 2" xfId="13727"/>
    <cellStyle name="Normal 23 3 4 3" xfId="19879"/>
    <cellStyle name="Normal 23 3 5" xfId="10661"/>
    <cellStyle name="Normal 23 3 6" xfId="16813"/>
    <cellStyle name="Normal 23 4" xfId="3667"/>
    <cellStyle name="Normal 23 4 2" xfId="5127"/>
    <cellStyle name="Normal 23 4 2 2" xfId="6752"/>
    <cellStyle name="Normal 23 4 2 2 2" xfId="9838"/>
    <cellStyle name="Normal 23 4 2 2 2 2" xfId="16031"/>
    <cellStyle name="Normal 23 4 2 2 2 3" xfId="22183"/>
    <cellStyle name="Normal 23 4 2 2 3" xfId="12965"/>
    <cellStyle name="Normal 23 4 2 2 4" xfId="19117"/>
    <cellStyle name="Normal 23 4 2 3" xfId="8303"/>
    <cellStyle name="Normal 23 4 2 3 2" xfId="14497"/>
    <cellStyle name="Normal 23 4 2 3 3" xfId="20649"/>
    <cellStyle name="Normal 23 4 2 4" xfId="11431"/>
    <cellStyle name="Normal 23 4 2 5" xfId="17583"/>
    <cellStyle name="Normal 23 4 3" xfId="5969"/>
    <cellStyle name="Normal 23 4 3 2" xfId="9069"/>
    <cellStyle name="Normal 23 4 3 2 2" xfId="15262"/>
    <cellStyle name="Normal 23 4 3 2 3" xfId="21414"/>
    <cellStyle name="Normal 23 4 3 3" xfId="12196"/>
    <cellStyle name="Normal 23 4 3 4" xfId="18348"/>
    <cellStyle name="Normal 23 4 4" xfId="7534"/>
    <cellStyle name="Normal 23 4 4 2" xfId="13728"/>
    <cellStyle name="Normal 23 4 4 3" xfId="19880"/>
    <cellStyle name="Normal 23 4 5" xfId="10662"/>
    <cellStyle name="Normal 23 4 6" xfId="16814"/>
    <cellStyle name="Normal 23 5" xfId="3668"/>
    <cellStyle name="Normal 23 5 2" xfId="5128"/>
    <cellStyle name="Normal 23 5 2 2" xfId="6753"/>
    <cellStyle name="Normal 23 5 2 2 2" xfId="9839"/>
    <cellStyle name="Normal 23 5 2 2 2 2" xfId="16032"/>
    <cellStyle name="Normal 23 5 2 2 2 3" xfId="22184"/>
    <cellStyle name="Normal 23 5 2 2 3" xfId="12966"/>
    <cellStyle name="Normal 23 5 2 2 4" xfId="19118"/>
    <cellStyle name="Normal 23 5 2 3" xfId="8304"/>
    <cellStyle name="Normal 23 5 2 3 2" xfId="14498"/>
    <cellStyle name="Normal 23 5 2 3 3" xfId="20650"/>
    <cellStyle name="Normal 23 5 2 4" xfId="11432"/>
    <cellStyle name="Normal 23 5 2 5" xfId="17584"/>
    <cellStyle name="Normal 23 5 3" xfId="5970"/>
    <cellStyle name="Normal 23 5 3 2" xfId="9070"/>
    <cellStyle name="Normal 23 5 3 2 2" xfId="15263"/>
    <cellStyle name="Normal 23 5 3 2 3" xfId="21415"/>
    <cellStyle name="Normal 23 5 3 3" xfId="12197"/>
    <cellStyle name="Normal 23 5 3 4" xfId="18349"/>
    <cellStyle name="Normal 23 5 4" xfId="7535"/>
    <cellStyle name="Normal 23 5 4 2" xfId="13729"/>
    <cellStyle name="Normal 23 5 4 3" xfId="19881"/>
    <cellStyle name="Normal 23 5 5" xfId="10663"/>
    <cellStyle name="Normal 23 5 6" xfId="16815"/>
    <cellStyle name="Normal 23 6" xfId="3669"/>
    <cellStyle name="Normal 23 6 2" xfId="5129"/>
    <cellStyle name="Normal 23 6 2 2" xfId="6754"/>
    <cellStyle name="Normal 23 6 2 2 2" xfId="9840"/>
    <cellStyle name="Normal 23 6 2 2 2 2" xfId="16033"/>
    <cellStyle name="Normal 23 6 2 2 2 3" xfId="22185"/>
    <cellStyle name="Normal 23 6 2 2 3" xfId="12967"/>
    <cellStyle name="Normal 23 6 2 2 4" xfId="19119"/>
    <cellStyle name="Normal 23 6 2 3" xfId="8305"/>
    <cellStyle name="Normal 23 6 2 3 2" xfId="14499"/>
    <cellStyle name="Normal 23 6 2 3 3" xfId="20651"/>
    <cellStyle name="Normal 23 6 2 4" xfId="11433"/>
    <cellStyle name="Normal 23 6 2 5" xfId="17585"/>
    <cellStyle name="Normal 23 6 3" xfId="5971"/>
    <cellStyle name="Normal 23 6 3 2" xfId="9071"/>
    <cellStyle name="Normal 23 6 3 2 2" xfId="15264"/>
    <cellStyle name="Normal 23 6 3 2 3" xfId="21416"/>
    <cellStyle name="Normal 23 6 3 3" xfId="12198"/>
    <cellStyle name="Normal 23 6 3 4" xfId="18350"/>
    <cellStyle name="Normal 23 6 4" xfId="7536"/>
    <cellStyle name="Normal 23 6 4 2" xfId="13730"/>
    <cellStyle name="Normal 23 6 4 3" xfId="19882"/>
    <cellStyle name="Normal 23 6 5" xfId="10664"/>
    <cellStyle name="Normal 23 6 6" xfId="16816"/>
    <cellStyle name="Normal 23 7" xfId="3670"/>
    <cellStyle name="Normal 23 8" xfId="5120"/>
    <cellStyle name="Normal 23 8 2" xfId="6745"/>
    <cellStyle name="Normal 23 8 2 2" xfId="9831"/>
    <cellStyle name="Normal 23 8 2 2 2" xfId="16024"/>
    <cellStyle name="Normal 23 8 2 2 3" xfId="22176"/>
    <cellStyle name="Normal 23 8 2 3" xfId="12958"/>
    <cellStyle name="Normal 23 8 2 4" xfId="19110"/>
    <cellStyle name="Normal 23 8 3" xfId="8296"/>
    <cellStyle name="Normal 23 8 3 2" xfId="14490"/>
    <cellStyle name="Normal 23 8 3 3" xfId="20642"/>
    <cellStyle name="Normal 23 8 4" xfId="11424"/>
    <cellStyle name="Normal 23 8 5" xfId="17576"/>
    <cellStyle name="Normal 23 9" xfId="5962"/>
    <cellStyle name="Normal 23 9 2" xfId="9062"/>
    <cellStyle name="Normal 23 9 2 2" xfId="15255"/>
    <cellStyle name="Normal 23 9 2 3" xfId="21407"/>
    <cellStyle name="Normal 23 9 3" xfId="12189"/>
    <cellStyle name="Normal 23 9 4" xfId="18341"/>
    <cellStyle name="Normal 24" xfId="3671"/>
    <cellStyle name="Normal 24 10" xfId="7537"/>
    <cellStyle name="Normal 24 10 2" xfId="13731"/>
    <cellStyle name="Normal 24 10 3" xfId="19883"/>
    <cellStyle name="Normal 24 11" xfId="10665"/>
    <cellStyle name="Normal 24 12" xfId="16817"/>
    <cellStyle name="Normal 24 2" xfId="3672"/>
    <cellStyle name="Normal 24 2 10" xfId="16818"/>
    <cellStyle name="Normal 24 2 2" xfId="3673"/>
    <cellStyle name="Normal 24 2 2 2" xfId="5132"/>
    <cellStyle name="Normal 24 2 2 2 2" xfId="6757"/>
    <cellStyle name="Normal 24 2 2 2 2 2" xfId="9843"/>
    <cellStyle name="Normal 24 2 2 2 2 2 2" xfId="16036"/>
    <cellStyle name="Normal 24 2 2 2 2 2 3" xfId="22188"/>
    <cellStyle name="Normal 24 2 2 2 2 3" xfId="12970"/>
    <cellStyle name="Normal 24 2 2 2 2 4" xfId="19122"/>
    <cellStyle name="Normal 24 2 2 2 3" xfId="8308"/>
    <cellStyle name="Normal 24 2 2 2 3 2" xfId="14502"/>
    <cellStyle name="Normal 24 2 2 2 3 3" xfId="20654"/>
    <cellStyle name="Normal 24 2 2 2 4" xfId="11436"/>
    <cellStyle name="Normal 24 2 2 2 5" xfId="17588"/>
    <cellStyle name="Normal 24 2 2 3" xfId="5974"/>
    <cellStyle name="Normal 24 2 2 3 2" xfId="9074"/>
    <cellStyle name="Normal 24 2 2 3 2 2" xfId="15267"/>
    <cellStyle name="Normal 24 2 2 3 2 3" xfId="21419"/>
    <cellStyle name="Normal 24 2 2 3 3" xfId="12201"/>
    <cellStyle name="Normal 24 2 2 3 4" xfId="18353"/>
    <cellStyle name="Normal 24 2 2 4" xfId="7539"/>
    <cellStyle name="Normal 24 2 2 4 2" xfId="13733"/>
    <cellStyle name="Normal 24 2 2 4 3" xfId="19885"/>
    <cellStyle name="Normal 24 2 2 5" xfId="10667"/>
    <cellStyle name="Normal 24 2 2 6" xfId="16819"/>
    <cellStyle name="Normal 24 2 3" xfId="3674"/>
    <cellStyle name="Normal 24 2 3 2" xfId="5133"/>
    <cellStyle name="Normal 24 2 3 2 2" xfId="6758"/>
    <cellStyle name="Normal 24 2 3 2 2 2" xfId="9844"/>
    <cellStyle name="Normal 24 2 3 2 2 2 2" xfId="16037"/>
    <cellStyle name="Normal 24 2 3 2 2 2 3" xfId="22189"/>
    <cellStyle name="Normal 24 2 3 2 2 3" xfId="12971"/>
    <cellStyle name="Normal 24 2 3 2 2 4" xfId="19123"/>
    <cellStyle name="Normal 24 2 3 2 3" xfId="8309"/>
    <cellStyle name="Normal 24 2 3 2 3 2" xfId="14503"/>
    <cellStyle name="Normal 24 2 3 2 3 3" xfId="20655"/>
    <cellStyle name="Normal 24 2 3 2 4" xfId="11437"/>
    <cellStyle name="Normal 24 2 3 2 5" xfId="17589"/>
    <cellStyle name="Normal 24 2 3 3" xfId="5975"/>
    <cellStyle name="Normal 24 2 3 3 2" xfId="9075"/>
    <cellStyle name="Normal 24 2 3 3 2 2" xfId="15268"/>
    <cellStyle name="Normal 24 2 3 3 2 3" xfId="21420"/>
    <cellStyle name="Normal 24 2 3 3 3" xfId="12202"/>
    <cellStyle name="Normal 24 2 3 3 4" xfId="18354"/>
    <cellStyle name="Normal 24 2 3 4" xfId="7540"/>
    <cellStyle name="Normal 24 2 3 4 2" xfId="13734"/>
    <cellStyle name="Normal 24 2 3 4 3" xfId="19886"/>
    <cellStyle name="Normal 24 2 3 5" xfId="10668"/>
    <cellStyle name="Normal 24 2 3 6" xfId="16820"/>
    <cellStyle name="Normal 24 2 4" xfId="3675"/>
    <cellStyle name="Normal 24 2 4 2" xfId="5134"/>
    <cellStyle name="Normal 24 2 4 2 2" xfId="6759"/>
    <cellStyle name="Normal 24 2 4 2 2 2" xfId="9845"/>
    <cellStyle name="Normal 24 2 4 2 2 2 2" xfId="16038"/>
    <cellStyle name="Normal 24 2 4 2 2 2 3" xfId="22190"/>
    <cellStyle name="Normal 24 2 4 2 2 3" xfId="12972"/>
    <cellStyle name="Normal 24 2 4 2 2 4" xfId="19124"/>
    <cellStyle name="Normal 24 2 4 2 3" xfId="8310"/>
    <cellStyle name="Normal 24 2 4 2 3 2" xfId="14504"/>
    <cellStyle name="Normal 24 2 4 2 3 3" xfId="20656"/>
    <cellStyle name="Normal 24 2 4 2 4" xfId="11438"/>
    <cellStyle name="Normal 24 2 4 2 5" xfId="17590"/>
    <cellStyle name="Normal 24 2 4 3" xfId="5976"/>
    <cellStyle name="Normal 24 2 4 3 2" xfId="9076"/>
    <cellStyle name="Normal 24 2 4 3 2 2" xfId="15269"/>
    <cellStyle name="Normal 24 2 4 3 2 3" xfId="21421"/>
    <cellStyle name="Normal 24 2 4 3 3" xfId="12203"/>
    <cellStyle name="Normal 24 2 4 3 4" xfId="18355"/>
    <cellStyle name="Normal 24 2 4 4" xfId="7541"/>
    <cellStyle name="Normal 24 2 4 4 2" xfId="13735"/>
    <cellStyle name="Normal 24 2 4 4 3" xfId="19887"/>
    <cellStyle name="Normal 24 2 4 5" xfId="10669"/>
    <cellStyle name="Normal 24 2 4 6" xfId="16821"/>
    <cellStyle name="Normal 24 2 5" xfId="3676"/>
    <cellStyle name="Normal 24 2 5 2" xfId="5135"/>
    <cellStyle name="Normal 24 2 5 2 2" xfId="6760"/>
    <cellStyle name="Normal 24 2 5 2 2 2" xfId="9846"/>
    <cellStyle name="Normal 24 2 5 2 2 2 2" xfId="16039"/>
    <cellStyle name="Normal 24 2 5 2 2 2 3" xfId="22191"/>
    <cellStyle name="Normal 24 2 5 2 2 3" xfId="12973"/>
    <cellStyle name="Normal 24 2 5 2 2 4" xfId="19125"/>
    <cellStyle name="Normal 24 2 5 2 3" xfId="8311"/>
    <cellStyle name="Normal 24 2 5 2 3 2" xfId="14505"/>
    <cellStyle name="Normal 24 2 5 2 3 3" xfId="20657"/>
    <cellStyle name="Normal 24 2 5 2 4" xfId="11439"/>
    <cellStyle name="Normal 24 2 5 2 5" xfId="17591"/>
    <cellStyle name="Normal 24 2 5 3" xfId="5977"/>
    <cellStyle name="Normal 24 2 5 3 2" xfId="9077"/>
    <cellStyle name="Normal 24 2 5 3 2 2" xfId="15270"/>
    <cellStyle name="Normal 24 2 5 3 2 3" xfId="21422"/>
    <cellStyle name="Normal 24 2 5 3 3" xfId="12204"/>
    <cellStyle name="Normal 24 2 5 3 4" xfId="18356"/>
    <cellStyle name="Normal 24 2 5 4" xfId="7542"/>
    <cellStyle name="Normal 24 2 5 4 2" xfId="13736"/>
    <cellStyle name="Normal 24 2 5 4 3" xfId="19888"/>
    <cellStyle name="Normal 24 2 5 5" xfId="10670"/>
    <cellStyle name="Normal 24 2 5 6" xfId="16822"/>
    <cellStyle name="Normal 24 2 6" xfId="5131"/>
    <cellStyle name="Normal 24 2 6 2" xfId="6756"/>
    <cellStyle name="Normal 24 2 6 2 2" xfId="9842"/>
    <cellStyle name="Normal 24 2 6 2 2 2" xfId="16035"/>
    <cellStyle name="Normal 24 2 6 2 2 3" xfId="22187"/>
    <cellStyle name="Normal 24 2 6 2 3" xfId="12969"/>
    <cellStyle name="Normal 24 2 6 2 4" xfId="19121"/>
    <cellStyle name="Normal 24 2 6 3" xfId="8307"/>
    <cellStyle name="Normal 24 2 6 3 2" xfId="14501"/>
    <cellStyle name="Normal 24 2 6 3 3" xfId="20653"/>
    <cellStyle name="Normal 24 2 6 4" xfId="11435"/>
    <cellStyle name="Normal 24 2 6 5" xfId="17587"/>
    <cellStyle name="Normal 24 2 7" xfId="5973"/>
    <cellStyle name="Normal 24 2 7 2" xfId="9073"/>
    <cellStyle name="Normal 24 2 7 2 2" xfId="15266"/>
    <cellStyle name="Normal 24 2 7 2 3" xfId="21418"/>
    <cellStyle name="Normal 24 2 7 3" xfId="12200"/>
    <cellStyle name="Normal 24 2 7 4" xfId="18352"/>
    <cellStyle name="Normal 24 2 8" xfId="7538"/>
    <cellStyle name="Normal 24 2 8 2" xfId="13732"/>
    <cellStyle name="Normal 24 2 8 3" xfId="19884"/>
    <cellStyle name="Normal 24 2 9" xfId="10666"/>
    <cellStyle name="Normal 24 3" xfId="3677"/>
    <cellStyle name="Normal 24 3 2" xfId="5136"/>
    <cellStyle name="Normal 24 3 2 2" xfId="6761"/>
    <cellStyle name="Normal 24 3 2 2 2" xfId="9847"/>
    <cellStyle name="Normal 24 3 2 2 2 2" xfId="16040"/>
    <cellStyle name="Normal 24 3 2 2 2 3" xfId="22192"/>
    <cellStyle name="Normal 24 3 2 2 3" xfId="12974"/>
    <cellStyle name="Normal 24 3 2 2 4" xfId="19126"/>
    <cellStyle name="Normal 24 3 2 3" xfId="8312"/>
    <cellStyle name="Normal 24 3 2 3 2" xfId="14506"/>
    <cellStyle name="Normal 24 3 2 3 3" xfId="20658"/>
    <cellStyle name="Normal 24 3 2 4" xfId="11440"/>
    <cellStyle name="Normal 24 3 2 5" xfId="17592"/>
    <cellStyle name="Normal 24 3 3" xfId="5978"/>
    <cellStyle name="Normal 24 3 3 2" xfId="9078"/>
    <cellStyle name="Normal 24 3 3 2 2" xfId="15271"/>
    <cellStyle name="Normal 24 3 3 2 3" xfId="21423"/>
    <cellStyle name="Normal 24 3 3 3" xfId="12205"/>
    <cellStyle name="Normal 24 3 3 4" xfId="18357"/>
    <cellStyle name="Normal 24 3 4" xfId="7543"/>
    <cellStyle name="Normal 24 3 4 2" xfId="13737"/>
    <cellStyle name="Normal 24 3 4 3" xfId="19889"/>
    <cellStyle name="Normal 24 3 5" xfId="10671"/>
    <cellStyle name="Normal 24 3 6" xfId="16823"/>
    <cellStyle name="Normal 24 4" xfId="3678"/>
    <cellStyle name="Normal 24 4 2" xfId="5137"/>
    <cellStyle name="Normal 24 4 2 2" xfId="6762"/>
    <cellStyle name="Normal 24 4 2 2 2" xfId="9848"/>
    <cellStyle name="Normal 24 4 2 2 2 2" xfId="16041"/>
    <cellStyle name="Normal 24 4 2 2 2 3" xfId="22193"/>
    <cellStyle name="Normal 24 4 2 2 3" xfId="12975"/>
    <cellStyle name="Normal 24 4 2 2 4" xfId="19127"/>
    <cellStyle name="Normal 24 4 2 3" xfId="8313"/>
    <cellStyle name="Normal 24 4 2 3 2" xfId="14507"/>
    <cellStyle name="Normal 24 4 2 3 3" xfId="20659"/>
    <cellStyle name="Normal 24 4 2 4" xfId="11441"/>
    <cellStyle name="Normal 24 4 2 5" xfId="17593"/>
    <cellStyle name="Normal 24 4 3" xfId="5979"/>
    <cellStyle name="Normal 24 4 3 2" xfId="9079"/>
    <cellStyle name="Normal 24 4 3 2 2" xfId="15272"/>
    <cellStyle name="Normal 24 4 3 2 3" xfId="21424"/>
    <cellStyle name="Normal 24 4 3 3" xfId="12206"/>
    <cellStyle name="Normal 24 4 3 4" xfId="18358"/>
    <cellStyle name="Normal 24 4 4" xfId="7544"/>
    <cellStyle name="Normal 24 4 4 2" xfId="13738"/>
    <cellStyle name="Normal 24 4 4 3" xfId="19890"/>
    <cellStyle name="Normal 24 4 5" xfId="10672"/>
    <cellStyle name="Normal 24 4 6" xfId="16824"/>
    <cellStyle name="Normal 24 5" xfId="3679"/>
    <cellStyle name="Normal 24 5 2" xfId="5138"/>
    <cellStyle name="Normal 24 5 2 2" xfId="6763"/>
    <cellStyle name="Normal 24 5 2 2 2" xfId="9849"/>
    <cellStyle name="Normal 24 5 2 2 2 2" xfId="16042"/>
    <cellStyle name="Normal 24 5 2 2 2 3" xfId="22194"/>
    <cellStyle name="Normal 24 5 2 2 3" xfId="12976"/>
    <cellStyle name="Normal 24 5 2 2 4" xfId="19128"/>
    <cellStyle name="Normal 24 5 2 3" xfId="8314"/>
    <cellStyle name="Normal 24 5 2 3 2" xfId="14508"/>
    <cellStyle name="Normal 24 5 2 3 3" xfId="20660"/>
    <cellStyle name="Normal 24 5 2 4" xfId="11442"/>
    <cellStyle name="Normal 24 5 2 5" xfId="17594"/>
    <cellStyle name="Normal 24 5 3" xfId="5980"/>
    <cellStyle name="Normal 24 5 3 2" xfId="9080"/>
    <cellStyle name="Normal 24 5 3 2 2" xfId="15273"/>
    <cellStyle name="Normal 24 5 3 2 3" xfId="21425"/>
    <cellStyle name="Normal 24 5 3 3" xfId="12207"/>
    <cellStyle name="Normal 24 5 3 4" xfId="18359"/>
    <cellStyle name="Normal 24 5 4" xfId="7545"/>
    <cellStyle name="Normal 24 5 4 2" xfId="13739"/>
    <cellStyle name="Normal 24 5 4 3" xfId="19891"/>
    <cellStyle name="Normal 24 5 5" xfId="10673"/>
    <cellStyle name="Normal 24 5 6" xfId="16825"/>
    <cellStyle name="Normal 24 6" xfId="3680"/>
    <cellStyle name="Normal 24 6 2" xfId="5139"/>
    <cellStyle name="Normal 24 6 2 2" xfId="6764"/>
    <cellStyle name="Normal 24 6 2 2 2" xfId="9850"/>
    <cellStyle name="Normal 24 6 2 2 2 2" xfId="16043"/>
    <cellStyle name="Normal 24 6 2 2 2 3" xfId="22195"/>
    <cellStyle name="Normal 24 6 2 2 3" xfId="12977"/>
    <cellStyle name="Normal 24 6 2 2 4" xfId="19129"/>
    <cellStyle name="Normal 24 6 2 3" xfId="8315"/>
    <cellStyle name="Normal 24 6 2 3 2" xfId="14509"/>
    <cellStyle name="Normal 24 6 2 3 3" xfId="20661"/>
    <cellStyle name="Normal 24 6 2 4" xfId="11443"/>
    <cellStyle name="Normal 24 6 2 5" xfId="17595"/>
    <cellStyle name="Normal 24 6 3" xfId="5981"/>
    <cellStyle name="Normal 24 6 3 2" xfId="9081"/>
    <cellStyle name="Normal 24 6 3 2 2" xfId="15274"/>
    <cellStyle name="Normal 24 6 3 2 3" xfId="21426"/>
    <cellStyle name="Normal 24 6 3 3" xfId="12208"/>
    <cellStyle name="Normal 24 6 3 4" xfId="18360"/>
    <cellStyle name="Normal 24 6 4" xfId="7546"/>
    <cellStyle name="Normal 24 6 4 2" xfId="13740"/>
    <cellStyle name="Normal 24 6 4 3" xfId="19892"/>
    <cellStyle name="Normal 24 6 5" xfId="10674"/>
    <cellStyle name="Normal 24 6 6" xfId="16826"/>
    <cellStyle name="Normal 24 7" xfId="3681"/>
    <cellStyle name="Normal 24 8" xfId="5130"/>
    <cellStyle name="Normal 24 8 2" xfId="6755"/>
    <cellStyle name="Normal 24 8 2 2" xfId="9841"/>
    <cellStyle name="Normal 24 8 2 2 2" xfId="16034"/>
    <cellStyle name="Normal 24 8 2 2 3" xfId="22186"/>
    <cellStyle name="Normal 24 8 2 3" xfId="12968"/>
    <cellStyle name="Normal 24 8 2 4" xfId="19120"/>
    <cellStyle name="Normal 24 8 3" xfId="8306"/>
    <cellStyle name="Normal 24 8 3 2" xfId="14500"/>
    <cellStyle name="Normal 24 8 3 3" xfId="20652"/>
    <cellStyle name="Normal 24 8 4" xfId="11434"/>
    <cellStyle name="Normal 24 8 5" xfId="17586"/>
    <cellStyle name="Normal 24 9" xfId="5972"/>
    <cellStyle name="Normal 24 9 2" xfId="9072"/>
    <cellStyle name="Normal 24 9 2 2" xfId="15265"/>
    <cellStyle name="Normal 24 9 2 3" xfId="21417"/>
    <cellStyle name="Normal 24 9 3" xfId="12199"/>
    <cellStyle name="Normal 24 9 4" xfId="18351"/>
    <cellStyle name="Normal 25" xfId="636"/>
    <cellStyle name="Normal 25 10" xfId="3683"/>
    <cellStyle name="Normal 25 11" xfId="3684"/>
    <cellStyle name="Normal 25 12" xfId="3685"/>
    <cellStyle name="Normal 25 13" xfId="3686"/>
    <cellStyle name="Normal 25 14" xfId="3687"/>
    <cellStyle name="Normal 25 15" xfId="3688"/>
    <cellStyle name="Normal 25 16" xfId="3689"/>
    <cellStyle name="Normal 25 17" xfId="3690"/>
    <cellStyle name="Normal 25 18" xfId="3691"/>
    <cellStyle name="Normal 25 19" xfId="3692"/>
    <cellStyle name="Normal 25 2" xfId="3693"/>
    <cellStyle name="Normal 25 20" xfId="3694"/>
    <cellStyle name="Normal 25 21" xfId="3695"/>
    <cellStyle name="Normal 25 22" xfId="3696"/>
    <cellStyle name="Normal 25 23" xfId="3697"/>
    <cellStyle name="Normal 25 24" xfId="3682"/>
    <cellStyle name="Normal 25 25" xfId="23251"/>
    <cellStyle name="Normal 25 3" xfId="3698"/>
    <cellStyle name="Normal 25 4" xfId="3699"/>
    <cellStyle name="Normal 25 5" xfId="3700"/>
    <cellStyle name="Normal 25 6" xfId="3701"/>
    <cellStyle name="Normal 25 7" xfId="3702"/>
    <cellStyle name="Normal 25 8" xfId="3703"/>
    <cellStyle name="Normal 25 9" xfId="3704"/>
    <cellStyle name="Normal 26" xfId="653"/>
    <cellStyle name="Normal 26 10" xfId="7547"/>
    <cellStyle name="Normal 26 10 2" xfId="13741"/>
    <cellStyle name="Normal 26 10 3" xfId="19893"/>
    <cellStyle name="Normal 26 11" xfId="10675"/>
    <cellStyle name="Normal 26 12" xfId="16827"/>
    <cellStyle name="Normal 26 13" xfId="3705"/>
    <cellStyle name="Normal 26 2" xfId="3706"/>
    <cellStyle name="Normal 26 2 10" xfId="16828"/>
    <cellStyle name="Normal 26 2 11" xfId="23252"/>
    <cellStyle name="Normal 26 2 2" xfId="3707"/>
    <cellStyle name="Normal 26 2 2 2" xfId="5142"/>
    <cellStyle name="Normal 26 2 2 2 2" xfId="6767"/>
    <cellStyle name="Normal 26 2 2 2 2 2" xfId="9853"/>
    <cellStyle name="Normal 26 2 2 2 2 2 2" xfId="16046"/>
    <cellStyle name="Normal 26 2 2 2 2 2 3" xfId="22198"/>
    <cellStyle name="Normal 26 2 2 2 2 3" xfId="12980"/>
    <cellStyle name="Normal 26 2 2 2 2 4" xfId="19132"/>
    <cellStyle name="Normal 26 2 2 2 3" xfId="8318"/>
    <cellStyle name="Normal 26 2 2 2 3 2" xfId="14512"/>
    <cellStyle name="Normal 26 2 2 2 3 3" xfId="20664"/>
    <cellStyle name="Normal 26 2 2 2 4" xfId="11446"/>
    <cellStyle name="Normal 26 2 2 2 5" xfId="17598"/>
    <cellStyle name="Normal 26 2 2 3" xfId="5984"/>
    <cellStyle name="Normal 26 2 2 3 2" xfId="9084"/>
    <cellStyle name="Normal 26 2 2 3 2 2" xfId="15277"/>
    <cellStyle name="Normal 26 2 2 3 2 3" xfId="21429"/>
    <cellStyle name="Normal 26 2 2 3 3" xfId="12211"/>
    <cellStyle name="Normal 26 2 2 3 4" xfId="18363"/>
    <cellStyle name="Normal 26 2 2 4" xfId="7549"/>
    <cellStyle name="Normal 26 2 2 4 2" xfId="13743"/>
    <cellStyle name="Normal 26 2 2 4 3" xfId="19895"/>
    <cellStyle name="Normal 26 2 2 5" xfId="10677"/>
    <cellStyle name="Normal 26 2 2 6" xfId="16829"/>
    <cellStyle name="Normal 26 2 3" xfId="3708"/>
    <cellStyle name="Normal 26 2 3 2" xfId="5143"/>
    <cellStyle name="Normal 26 2 3 2 2" xfId="6768"/>
    <cellStyle name="Normal 26 2 3 2 2 2" xfId="9854"/>
    <cellStyle name="Normal 26 2 3 2 2 2 2" xfId="16047"/>
    <cellStyle name="Normal 26 2 3 2 2 2 3" xfId="22199"/>
    <cellStyle name="Normal 26 2 3 2 2 3" xfId="12981"/>
    <cellStyle name="Normal 26 2 3 2 2 4" xfId="19133"/>
    <cellStyle name="Normal 26 2 3 2 3" xfId="8319"/>
    <cellStyle name="Normal 26 2 3 2 3 2" xfId="14513"/>
    <cellStyle name="Normal 26 2 3 2 3 3" xfId="20665"/>
    <cellStyle name="Normal 26 2 3 2 4" xfId="11447"/>
    <cellStyle name="Normal 26 2 3 2 5" xfId="17599"/>
    <cellStyle name="Normal 26 2 3 3" xfId="5985"/>
    <cellStyle name="Normal 26 2 3 3 2" xfId="9085"/>
    <cellStyle name="Normal 26 2 3 3 2 2" xfId="15278"/>
    <cellStyle name="Normal 26 2 3 3 2 3" xfId="21430"/>
    <cellStyle name="Normal 26 2 3 3 3" xfId="12212"/>
    <cellStyle name="Normal 26 2 3 3 4" xfId="18364"/>
    <cellStyle name="Normal 26 2 3 4" xfId="7550"/>
    <cellStyle name="Normal 26 2 3 4 2" xfId="13744"/>
    <cellStyle name="Normal 26 2 3 4 3" xfId="19896"/>
    <cellStyle name="Normal 26 2 3 5" xfId="10678"/>
    <cellStyle name="Normal 26 2 3 6" xfId="16830"/>
    <cellStyle name="Normal 26 2 4" xfId="3709"/>
    <cellStyle name="Normal 26 2 4 2" xfId="5144"/>
    <cellStyle name="Normal 26 2 4 2 2" xfId="6769"/>
    <cellStyle name="Normal 26 2 4 2 2 2" xfId="9855"/>
    <cellStyle name="Normal 26 2 4 2 2 2 2" xfId="16048"/>
    <cellStyle name="Normal 26 2 4 2 2 2 3" xfId="22200"/>
    <cellStyle name="Normal 26 2 4 2 2 3" xfId="12982"/>
    <cellStyle name="Normal 26 2 4 2 2 4" xfId="19134"/>
    <cellStyle name="Normal 26 2 4 2 3" xfId="8320"/>
    <cellStyle name="Normal 26 2 4 2 3 2" xfId="14514"/>
    <cellStyle name="Normal 26 2 4 2 3 3" xfId="20666"/>
    <cellStyle name="Normal 26 2 4 2 4" xfId="11448"/>
    <cellStyle name="Normal 26 2 4 2 5" xfId="17600"/>
    <cellStyle name="Normal 26 2 4 3" xfId="5986"/>
    <cellStyle name="Normal 26 2 4 3 2" xfId="9086"/>
    <cellStyle name="Normal 26 2 4 3 2 2" xfId="15279"/>
    <cellStyle name="Normal 26 2 4 3 2 3" xfId="21431"/>
    <cellStyle name="Normal 26 2 4 3 3" xfId="12213"/>
    <cellStyle name="Normal 26 2 4 3 4" xfId="18365"/>
    <cellStyle name="Normal 26 2 4 4" xfId="7551"/>
    <cellStyle name="Normal 26 2 4 4 2" xfId="13745"/>
    <cellStyle name="Normal 26 2 4 4 3" xfId="19897"/>
    <cellStyle name="Normal 26 2 4 5" xfId="10679"/>
    <cellStyle name="Normal 26 2 4 6" xfId="16831"/>
    <cellStyle name="Normal 26 2 5" xfId="3710"/>
    <cellStyle name="Normal 26 2 5 2" xfId="5145"/>
    <cellStyle name="Normal 26 2 5 2 2" xfId="6770"/>
    <cellStyle name="Normal 26 2 5 2 2 2" xfId="9856"/>
    <cellStyle name="Normal 26 2 5 2 2 2 2" xfId="16049"/>
    <cellStyle name="Normal 26 2 5 2 2 2 3" xfId="22201"/>
    <cellStyle name="Normal 26 2 5 2 2 3" xfId="12983"/>
    <cellStyle name="Normal 26 2 5 2 2 4" xfId="19135"/>
    <cellStyle name="Normal 26 2 5 2 3" xfId="8321"/>
    <cellStyle name="Normal 26 2 5 2 3 2" xfId="14515"/>
    <cellStyle name="Normal 26 2 5 2 3 3" xfId="20667"/>
    <cellStyle name="Normal 26 2 5 2 4" xfId="11449"/>
    <cellStyle name="Normal 26 2 5 2 5" xfId="17601"/>
    <cellStyle name="Normal 26 2 5 3" xfId="5987"/>
    <cellStyle name="Normal 26 2 5 3 2" xfId="9087"/>
    <cellStyle name="Normal 26 2 5 3 2 2" xfId="15280"/>
    <cellStyle name="Normal 26 2 5 3 2 3" xfId="21432"/>
    <cellStyle name="Normal 26 2 5 3 3" xfId="12214"/>
    <cellStyle name="Normal 26 2 5 3 4" xfId="18366"/>
    <cellStyle name="Normal 26 2 5 4" xfId="7552"/>
    <cellStyle name="Normal 26 2 5 4 2" xfId="13746"/>
    <cellStyle name="Normal 26 2 5 4 3" xfId="19898"/>
    <cellStyle name="Normal 26 2 5 5" xfId="10680"/>
    <cellStyle name="Normal 26 2 5 6" xfId="16832"/>
    <cellStyle name="Normal 26 2 6" xfId="5141"/>
    <cellStyle name="Normal 26 2 6 2" xfId="6766"/>
    <cellStyle name="Normal 26 2 6 2 2" xfId="9852"/>
    <cellStyle name="Normal 26 2 6 2 2 2" xfId="16045"/>
    <cellStyle name="Normal 26 2 6 2 2 3" xfId="22197"/>
    <cellStyle name="Normal 26 2 6 2 3" xfId="12979"/>
    <cellStyle name="Normal 26 2 6 2 4" xfId="19131"/>
    <cellStyle name="Normal 26 2 6 3" xfId="8317"/>
    <cellStyle name="Normal 26 2 6 3 2" xfId="14511"/>
    <cellStyle name="Normal 26 2 6 3 3" xfId="20663"/>
    <cellStyle name="Normal 26 2 6 4" xfId="11445"/>
    <cellStyle name="Normal 26 2 6 5" xfId="17597"/>
    <cellStyle name="Normal 26 2 7" xfId="5983"/>
    <cellStyle name="Normal 26 2 7 2" xfId="9083"/>
    <cellStyle name="Normal 26 2 7 2 2" xfId="15276"/>
    <cellStyle name="Normal 26 2 7 2 3" xfId="21428"/>
    <cellStyle name="Normal 26 2 7 3" xfId="12210"/>
    <cellStyle name="Normal 26 2 7 4" xfId="18362"/>
    <cellStyle name="Normal 26 2 8" xfId="7548"/>
    <cellStyle name="Normal 26 2 8 2" xfId="13742"/>
    <cellStyle name="Normal 26 2 8 3" xfId="19894"/>
    <cellStyle name="Normal 26 2 9" xfId="10676"/>
    <cellStyle name="Normal 26 3" xfId="3711"/>
    <cellStyle name="Normal 26 3 2" xfId="5146"/>
    <cellStyle name="Normal 26 3 2 2" xfId="6771"/>
    <cellStyle name="Normal 26 3 2 2 2" xfId="9857"/>
    <cellStyle name="Normal 26 3 2 2 2 2" xfId="16050"/>
    <cellStyle name="Normal 26 3 2 2 2 3" xfId="22202"/>
    <cellStyle name="Normal 26 3 2 2 3" xfId="12984"/>
    <cellStyle name="Normal 26 3 2 2 4" xfId="19136"/>
    <cellStyle name="Normal 26 3 2 3" xfId="8322"/>
    <cellStyle name="Normal 26 3 2 3 2" xfId="14516"/>
    <cellStyle name="Normal 26 3 2 3 3" xfId="20668"/>
    <cellStyle name="Normal 26 3 2 4" xfId="11450"/>
    <cellStyle name="Normal 26 3 2 5" xfId="17602"/>
    <cellStyle name="Normal 26 3 3" xfId="5988"/>
    <cellStyle name="Normal 26 3 3 2" xfId="9088"/>
    <cellStyle name="Normal 26 3 3 2 2" xfId="15281"/>
    <cellStyle name="Normal 26 3 3 2 3" xfId="21433"/>
    <cellStyle name="Normal 26 3 3 3" xfId="12215"/>
    <cellStyle name="Normal 26 3 3 4" xfId="18367"/>
    <cellStyle name="Normal 26 3 4" xfId="7553"/>
    <cellStyle name="Normal 26 3 4 2" xfId="13747"/>
    <cellStyle name="Normal 26 3 4 3" xfId="19899"/>
    <cellStyle name="Normal 26 3 5" xfId="10681"/>
    <cellStyle name="Normal 26 3 6" xfId="16833"/>
    <cellStyle name="Normal 26 4" xfId="3712"/>
    <cellStyle name="Normal 26 4 2" xfId="5147"/>
    <cellStyle name="Normal 26 4 2 2" xfId="6772"/>
    <cellStyle name="Normal 26 4 2 2 2" xfId="9858"/>
    <cellStyle name="Normal 26 4 2 2 2 2" xfId="16051"/>
    <cellStyle name="Normal 26 4 2 2 2 3" xfId="22203"/>
    <cellStyle name="Normal 26 4 2 2 3" xfId="12985"/>
    <cellStyle name="Normal 26 4 2 2 4" xfId="19137"/>
    <cellStyle name="Normal 26 4 2 3" xfId="8323"/>
    <cellStyle name="Normal 26 4 2 3 2" xfId="14517"/>
    <cellStyle name="Normal 26 4 2 3 3" xfId="20669"/>
    <cellStyle name="Normal 26 4 2 4" xfId="11451"/>
    <cellStyle name="Normal 26 4 2 5" xfId="17603"/>
    <cellStyle name="Normal 26 4 3" xfId="5989"/>
    <cellStyle name="Normal 26 4 3 2" xfId="9089"/>
    <cellStyle name="Normal 26 4 3 2 2" xfId="15282"/>
    <cellStyle name="Normal 26 4 3 2 3" xfId="21434"/>
    <cellStyle name="Normal 26 4 3 3" xfId="12216"/>
    <cellStyle name="Normal 26 4 3 4" xfId="18368"/>
    <cellStyle name="Normal 26 4 4" xfId="7554"/>
    <cellStyle name="Normal 26 4 4 2" xfId="13748"/>
    <cellStyle name="Normal 26 4 4 3" xfId="19900"/>
    <cellStyle name="Normal 26 4 5" xfId="10682"/>
    <cellStyle name="Normal 26 4 6" xfId="16834"/>
    <cellStyle name="Normal 26 5" xfId="3713"/>
    <cellStyle name="Normal 26 5 2" xfId="5148"/>
    <cellStyle name="Normal 26 5 2 2" xfId="6773"/>
    <cellStyle name="Normal 26 5 2 2 2" xfId="9859"/>
    <cellStyle name="Normal 26 5 2 2 2 2" xfId="16052"/>
    <cellStyle name="Normal 26 5 2 2 2 3" xfId="22204"/>
    <cellStyle name="Normal 26 5 2 2 3" xfId="12986"/>
    <cellStyle name="Normal 26 5 2 2 4" xfId="19138"/>
    <cellStyle name="Normal 26 5 2 3" xfId="8324"/>
    <cellStyle name="Normal 26 5 2 3 2" xfId="14518"/>
    <cellStyle name="Normal 26 5 2 3 3" xfId="20670"/>
    <cellStyle name="Normal 26 5 2 4" xfId="11452"/>
    <cellStyle name="Normal 26 5 2 5" xfId="17604"/>
    <cellStyle name="Normal 26 5 3" xfId="5990"/>
    <cellStyle name="Normal 26 5 3 2" xfId="9090"/>
    <cellStyle name="Normal 26 5 3 2 2" xfId="15283"/>
    <cellStyle name="Normal 26 5 3 2 3" xfId="21435"/>
    <cellStyle name="Normal 26 5 3 3" xfId="12217"/>
    <cellStyle name="Normal 26 5 3 4" xfId="18369"/>
    <cellStyle name="Normal 26 5 4" xfId="7555"/>
    <cellStyle name="Normal 26 5 4 2" xfId="13749"/>
    <cellStyle name="Normal 26 5 4 3" xfId="19901"/>
    <cellStyle name="Normal 26 5 5" xfId="10683"/>
    <cellStyle name="Normal 26 5 6" xfId="16835"/>
    <cellStyle name="Normal 26 6" xfId="3714"/>
    <cellStyle name="Normal 26 6 2" xfId="5149"/>
    <cellStyle name="Normal 26 6 2 2" xfId="6774"/>
    <cellStyle name="Normal 26 6 2 2 2" xfId="9860"/>
    <cellStyle name="Normal 26 6 2 2 2 2" xfId="16053"/>
    <cellStyle name="Normal 26 6 2 2 2 3" xfId="22205"/>
    <cellStyle name="Normal 26 6 2 2 3" xfId="12987"/>
    <cellStyle name="Normal 26 6 2 2 4" xfId="19139"/>
    <cellStyle name="Normal 26 6 2 3" xfId="8325"/>
    <cellStyle name="Normal 26 6 2 3 2" xfId="14519"/>
    <cellStyle name="Normal 26 6 2 3 3" xfId="20671"/>
    <cellStyle name="Normal 26 6 2 4" xfId="11453"/>
    <cellStyle name="Normal 26 6 2 5" xfId="17605"/>
    <cellStyle name="Normal 26 6 3" xfId="5991"/>
    <cellStyle name="Normal 26 6 3 2" xfId="9091"/>
    <cellStyle name="Normal 26 6 3 2 2" xfId="15284"/>
    <cellStyle name="Normal 26 6 3 2 3" xfId="21436"/>
    <cellStyle name="Normal 26 6 3 3" xfId="12218"/>
    <cellStyle name="Normal 26 6 3 4" xfId="18370"/>
    <cellStyle name="Normal 26 6 4" xfId="7556"/>
    <cellStyle name="Normal 26 6 4 2" xfId="13750"/>
    <cellStyle name="Normal 26 6 4 3" xfId="19902"/>
    <cellStyle name="Normal 26 6 5" xfId="10684"/>
    <cellStyle name="Normal 26 6 6" xfId="16836"/>
    <cellStyle name="Normal 26 7" xfId="3715"/>
    <cellStyle name="Normal 26 8" xfId="5140"/>
    <cellStyle name="Normal 26 8 2" xfId="6765"/>
    <cellStyle name="Normal 26 8 2 2" xfId="9851"/>
    <cellStyle name="Normal 26 8 2 2 2" xfId="16044"/>
    <cellStyle name="Normal 26 8 2 2 3" xfId="22196"/>
    <cellStyle name="Normal 26 8 2 3" xfId="12978"/>
    <cellStyle name="Normal 26 8 2 4" xfId="19130"/>
    <cellStyle name="Normal 26 8 3" xfId="8316"/>
    <cellStyle name="Normal 26 8 3 2" xfId="14510"/>
    <cellStyle name="Normal 26 8 3 3" xfId="20662"/>
    <cellStyle name="Normal 26 8 4" xfId="11444"/>
    <cellStyle name="Normal 26 8 5" xfId="17596"/>
    <cellStyle name="Normal 26 9" xfId="5982"/>
    <cellStyle name="Normal 26 9 2" xfId="9082"/>
    <cellStyle name="Normal 26 9 2 2" xfId="15275"/>
    <cellStyle name="Normal 26 9 2 3" xfId="21427"/>
    <cellStyle name="Normal 26 9 3" xfId="12209"/>
    <cellStyle name="Normal 26 9 4" xfId="18361"/>
    <cellStyle name="Normal 27" xfId="3716"/>
    <cellStyle name="Normal 27 2" xfId="23254"/>
    <cellStyle name="Normal 27 2 2" xfId="23255"/>
    <cellStyle name="Normal 27 3" xfId="23256"/>
    <cellStyle name="Normal 27 4" xfId="23253"/>
    <cellStyle name="Normal 28" xfId="3717"/>
    <cellStyle name="Normal 28 2" xfId="3718"/>
    <cellStyle name="Normal 29" xfId="767"/>
    <cellStyle name="Normal 29 2" xfId="3720"/>
    <cellStyle name="Normal 29 3" xfId="3719"/>
    <cellStyle name="Normal 29 4" xfId="23257"/>
    <cellStyle name="Normal 3" xfId="25"/>
    <cellStyle name="Normal 3 10" xfId="365"/>
    <cellStyle name="Normal 3 10 2" xfId="5150"/>
    <cellStyle name="Normal 3 10 2 2" xfId="6775"/>
    <cellStyle name="Normal 3 10 2 2 2" xfId="9861"/>
    <cellStyle name="Normal 3 10 2 2 2 2" xfId="16054"/>
    <cellStyle name="Normal 3 10 2 2 2 3" xfId="22206"/>
    <cellStyle name="Normal 3 10 2 2 3" xfId="12988"/>
    <cellStyle name="Normal 3 10 2 2 4" xfId="19140"/>
    <cellStyle name="Normal 3 10 2 3" xfId="8326"/>
    <cellStyle name="Normal 3 10 2 3 2" xfId="14520"/>
    <cellStyle name="Normal 3 10 2 3 3" xfId="20672"/>
    <cellStyle name="Normal 3 10 2 4" xfId="11454"/>
    <cellStyle name="Normal 3 10 2 5" xfId="17606"/>
    <cellStyle name="Normal 3 10 3" xfId="5992"/>
    <cellStyle name="Normal 3 10 3 2" xfId="9092"/>
    <cellStyle name="Normal 3 10 3 2 2" xfId="15285"/>
    <cellStyle name="Normal 3 10 3 2 3" xfId="21437"/>
    <cellStyle name="Normal 3 10 3 3" xfId="12219"/>
    <cellStyle name="Normal 3 10 3 4" xfId="18371"/>
    <cellStyle name="Normal 3 10 4" xfId="7557"/>
    <cellStyle name="Normal 3 10 4 2" xfId="13751"/>
    <cellStyle name="Normal 3 10 4 3" xfId="19903"/>
    <cellStyle name="Normal 3 10 5" xfId="10685"/>
    <cellStyle name="Normal 3 10 6" xfId="16837"/>
    <cellStyle name="Normal 3 10 7" xfId="3721"/>
    <cellStyle name="Normal 3 11" xfId="380"/>
    <cellStyle name="Normal 3 11 2" xfId="5151"/>
    <cellStyle name="Normal 3 11 2 2" xfId="6776"/>
    <cellStyle name="Normal 3 11 2 2 2" xfId="9862"/>
    <cellStyle name="Normal 3 11 2 2 2 2" xfId="16055"/>
    <cellStyle name="Normal 3 11 2 2 2 3" xfId="22207"/>
    <cellStyle name="Normal 3 11 2 2 3" xfId="12989"/>
    <cellStyle name="Normal 3 11 2 2 4" xfId="19141"/>
    <cellStyle name="Normal 3 11 2 3" xfId="8327"/>
    <cellStyle name="Normal 3 11 2 3 2" xfId="14521"/>
    <cellStyle name="Normal 3 11 2 3 3" xfId="20673"/>
    <cellStyle name="Normal 3 11 2 4" xfId="11455"/>
    <cellStyle name="Normal 3 11 2 5" xfId="17607"/>
    <cellStyle name="Normal 3 11 3" xfId="5993"/>
    <cellStyle name="Normal 3 11 3 2" xfId="9093"/>
    <cellStyle name="Normal 3 11 3 2 2" xfId="15286"/>
    <cellStyle name="Normal 3 11 3 2 3" xfId="21438"/>
    <cellStyle name="Normal 3 11 3 3" xfId="12220"/>
    <cellStyle name="Normal 3 11 3 4" xfId="18372"/>
    <cellStyle name="Normal 3 11 4" xfId="7558"/>
    <cellStyle name="Normal 3 11 4 2" xfId="13752"/>
    <cellStyle name="Normal 3 11 4 3" xfId="19904"/>
    <cellStyle name="Normal 3 11 5" xfId="10686"/>
    <cellStyle name="Normal 3 11 6" xfId="16838"/>
    <cellStyle name="Normal 3 11 7" xfId="3722"/>
    <cellStyle name="Normal 3 12" xfId="396"/>
    <cellStyle name="Normal 3 12 2" xfId="5152"/>
    <cellStyle name="Normal 3 12 2 2" xfId="6777"/>
    <cellStyle name="Normal 3 12 2 2 2" xfId="9863"/>
    <cellStyle name="Normal 3 12 2 2 2 2" xfId="16056"/>
    <cellStyle name="Normal 3 12 2 2 2 3" xfId="22208"/>
    <cellStyle name="Normal 3 12 2 2 3" xfId="12990"/>
    <cellStyle name="Normal 3 12 2 2 4" xfId="19142"/>
    <cellStyle name="Normal 3 12 2 3" xfId="8328"/>
    <cellStyle name="Normal 3 12 2 3 2" xfId="14522"/>
    <cellStyle name="Normal 3 12 2 3 3" xfId="20674"/>
    <cellStyle name="Normal 3 12 2 4" xfId="11456"/>
    <cellStyle name="Normal 3 12 2 5" xfId="17608"/>
    <cellStyle name="Normal 3 12 3" xfId="5994"/>
    <cellStyle name="Normal 3 12 3 2" xfId="9094"/>
    <cellStyle name="Normal 3 12 3 2 2" xfId="15287"/>
    <cellStyle name="Normal 3 12 3 2 3" xfId="21439"/>
    <cellStyle name="Normal 3 12 3 3" xfId="12221"/>
    <cellStyle name="Normal 3 12 3 4" xfId="18373"/>
    <cellStyle name="Normal 3 12 4" xfId="7559"/>
    <cellStyle name="Normal 3 12 4 2" xfId="13753"/>
    <cellStyle name="Normal 3 12 4 3" xfId="19905"/>
    <cellStyle name="Normal 3 12 5" xfId="10687"/>
    <cellStyle name="Normal 3 12 6" xfId="16839"/>
    <cellStyle name="Normal 3 12 7" xfId="3723"/>
    <cellStyle name="Normal 3 13" xfId="409"/>
    <cellStyle name="Normal 3 13 2" xfId="5153"/>
    <cellStyle name="Normal 3 13 2 2" xfId="6778"/>
    <cellStyle name="Normal 3 13 2 2 2" xfId="9864"/>
    <cellStyle name="Normal 3 13 2 2 2 2" xfId="16057"/>
    <cellStyle name="Normal 3 13 2 2 2 3" xfId="22209"/>
    <cellStyle name="Normal 3 13 2 2 3" xfId="12991"/>
    <cellStyle name="Normal 3 13 2 2 4" xfId="19143"/>
    <cellStyle name="Normal 3 13 2 3" xfId="8329"/>
    <cellStyle name="Normal 3 13 2 3 2" xfId="14523"/>
    <cellStyle name="Normal 3 13 2 3 3" xfId="20675"/>
    <cellStyle name="Normal 3 13 2 4" xfId="11457"/>
    <cellStyle name="Normal 3 13 2 5" xfId="17609"/>
    <cellStyle name="Normal 3 13 3" xfId="5995"/>
    <cellStyle name="Normal 3 13 3 2" xfId="9095"/>
    <cellStyle name="Normal 3 13 3 2 2" xfId="15288"/>
    <cellStyle name="Normal 3 13 3 2 3" xfId="21440"/>
    <cellStyle name="Normal 3 13 3 3" xfId="12222"/>
    <cellStyle name="Normal 3 13 3 4" xfId="18374"/>
    <cellStyle name="Normal 3 13 4" xfId="7560"/>
    <cellStyle name="Normal 3 13 4 2" xfId="13754"/>
    <cellStyle name="Normal 3 13 4 3" xfId="19906"/>
    <cellStyle name="Normal 3 13 5" xfId="10688"/>
    <cellStyle name="Normal 3 13 6" xfId="16840"/>
    <cellStyle name="Normal 3 13 7" xfId="3724"/>
    <cellStyle name="Normal 3 14" xfId="421"/>
    <cellStyle name="Normal 3 14 2" xfId="5154"/>
    <cellStyle name="Normal 3 14 2 2" xfId="6779"/>
    <cellStyle name="Normal 3 14 2 2 2" xfId="9865"/>
    <cellStyle name="Normal 3 14 2 2 2 2" xfId="16058"/>
    <cellStyle name="Normal 3 14 2 2 2 3" xfId="22210"/>
    <cellStyle name="Normal 3 14 2 2 3" xfId="12992"/>
    <cellStyle name="Normal 3 14 2 2 4" xfId="19144"/>
    <cellStyle name="Normal 3 14 2 3" xfId="8330"/>
    <cellStyle name="Normal 3 14 2 3 2" xfId="14524"/>
    <cellStyle name="Normal 3 14 2 3 3" xfId="20676"/>
    <cellStyle name="Normal 3 14 2 4" xfId="11458"/>
    <cellStyle name="Normal 3 14 2 5" xfId="17610"/>
    <cellStyle name="Normal 3 14 3" xfId="5996"/>
    <cellStyle name="Normal 3 14 3 2" xfId="9096"/>
    <cellStyle name="Normal 3 14 3 2 2" xfId="15289"/>
    <cellStyle name="Normal 3 14 3 2 3" xfId="21441"/>
    <cellStyle name="Normal 3 14 3 3" xfId="12223"/>
    <cellStyle name="Normal 3 14 3 4" xfId="18375"/>
    <cellStyle name="Normal 3 14 4" xfId="7561"/>
    <cellStyle name="Normal 3 14 4 2" xfId="13755"/>
    <cellStyle name="Normal 3 14 4 3" xfId="19907"/>
    <cellStyle name="Normal 3 14 5" xfId="10689"/>
    <cellStyle name="Normal 3 14 6" xfId="16841"/>
    <cellStyle name="Normal 3 14 7" xfId="3725"/>
    <cellStyle name="Normal 3 15" xfId="432"/>
    <cellStyle name="Normal 3 15 2" xfId="5155"/>
    <cellStyle name="Normal 3 15 2 2" xfId="6780"/>
    <cellStyle name="Normal 3 15 2 2 2" xfId="9866"/>
    <cellStyle name="Normal 3 15 2 2 2 2" xfId="16059"/>
    <cellStyle name="Normal 3 15 2 2 2 3" xfId="22211"/>
    <cellStyle name="Normal 3 15 2 2 3" xfId="12993"/>
    <cellStyle name="Normal 3 15 2 2 4" xfId="19145"/>
    <cellStyle name="Normal 3 15 2 3" xfId="8331"/>
    <cellStyle name="Normal 3 15 2 3 2" xfId="14525"/>
    <cellStyle name="Normal 3 15 2 3 3" xfId="20677"/>
    <cellStyle name="Normal 3 15 2 4" xfId="11459"/>
    <cellStyle name="Normal 3 15 2 5" xfId="17611"/>
    <cellStyle name="Normal 3 15 3" xfId="5997"/>
    <cellStyle name="Normal 3 15 3 2" xfId="9097"/>
    <cellStyle name="Normal 3 15 3 2 2" xfId="15290"/>
    <cellStyle name="Normal 3 15 3 2 3" xfId="21442"/>
    <cellStyle name="Normal 3 15 3 3" xfId="12224"/>
    <cellStyle name="Normal 3 15 3 4" xfId="18376"/>
    <cellStyle name="Normal 3 15 4" xfId="7562"/>
    <cellStyle name="Normal 3 15 4 2" xfId="13756"/>
    <cellStyle name="Normal 3 15 4 3" xfId="19908"/>
    <cellStyle name="Normal 3 15 5" xfId="10690"/>
    <cellStyle name="Normal 3 15 6" xfId="16842"/>
    <cellStyle name="Normal 3 15 7" xfId="3726"/>
    <cellStyle name="Normal 3 16" xfId="440"/>
    <cellStyle name="Normal 3 16 2" xfId="5156"/>
    <cellStyle name="Normal 3 16 2 2" xfId="6781"/>
    <cellStyle name="Normal 3 16 2 2 2" xfId="9867"/>
    <cellStyle name="Normal 3 16 2 2 2 2" xfId="16060"/>
    <cellStyle name="Normal 3 16 2 2 2 3" xfId="22212"/>
    <cellStyle name="Normal 3 16 2 2 3" xfId="12994"/>
    <cellStyle name="Normal 3 16 2 2 4" xfId="19146"/>
    <cellStyle name="Normal 3 16 2 3" xfId="8332"/>
    <cellStyle name="Normal 3 16 2 3 2" xfId="14526"/>
    <cellStyle name="Normal 3 16 2 3 3" xfId="20678"/>
    <cellStyle name="Normal 3 16 2 4" xfId="11460"/>
    <cellStyle name="Normal 3 16 2 5" xfId="17612"/>
    <cellStyle name="Normal 3 16 3" xfId="5998"/>
    <cellStyle name="Normal 3 16 3 2" xfId="9098"/>
    <cellStyle name="Normal 3 16 3 2 2" xfId="15291"/>
    <cellStyle name="Normal 3 16 3 2 3" xfId="21443"/>
    <cellStyle name="Normal 3 16 3 3" xfId="12225"/>
    <cellStyle name="Normal 3 16 3 4" xfId="18377"/>
    <cellStyle name="Normal 3 16 4" xfId="7563"/>
    <cellStyle name="Normal 3 16 4 2" xfId="13757"/>
    <cellStyle name="Normal 3 16 4 3" xfId="19909"/>
    <cellStyle name="Normal 3 16 5" xfId="10691"/>
    <cellStyle name="Normal 3 16 6" xfId="16843"/>
    <cellStyle name="Normal 3 16 7" xfId="3727"/>
    <cellStyle name="Normal 3 17" xfId="415"/>
    <cellStyle name="Normal 3 17 2" xfId="5157"/>
    <cellStyle name="Normal 3 17 2 2" xfId="6782"/>
    <cellStyle name="Normal 3 17 2 2 2" xfId="9868"/>
    <cellStyle name="Normal 3 17 2 2 2 2" xfId="16061"/>
    <cellStyle name="Normal 3 17 2 2 2 3" xfId="22213"/>
    <cellStyle name="Normal 3 17 2 2 3" xfId="12995"/>
    <cellStyle name="Normal 3 17 2 2 4" xfId="19147"/>
    <cellStyle name="Normal 3 17 2 3" xfId="8333"/>
    <cellStyle name="Normal 3 17 2 3 2" xfId="14527"/>
    <cellStyle name="Normal 3 17 2 3 3" xfId="20679"/>
    <cellStyle name="Normal 3 17 2 4" xfId="11461"/>
    <cellStyle name="Normal 3 17 2 5" xfId="17613"/>
    <cellStyle name="Normal 3 17 3" xfId="5999"/>
    <cellStyle name="Normal 3 17 3 2" xfId="9099"/>
    <cellStyle name="Normal 3 17 3 2 2" xfId="15292"/>
    <cellStyle name="Normal 3 17 3 2 3" xfId="21444"/>
    <cellStyle name="Normal 3 17 3 3" xfId="12226"/>
    <cellStyle name="Normal 3 17 3 4" xfId="18378"/>
    <cellStyle name="Normal 3 17 4" xfId="7564"/>
    <cellStyle name="Normal 3 17 4 2" xfId="13758"/>
    <cellStyle name="Normal 3 17 4 3" xfId="19910"/>
    <cellStyle name="Normal 3 17 5" xfId="10692"/>
    <cellStyle name="Normal 3 17 6" xfId="16844"/>
    <cellStyle name="Normal 3 17 7" xfId="3728"/>
    <cellStyle name="Normal 3 18" xfId="452"/>
    <cellStyle name="Normal 3 18 2" xfId="5158"/>
    <cellStyle name="Normal 3 18 2 2" xfId="6783"/>
    <cellStyle name="Normal 3 18 2 2 2" xfId="9869"/>
    <cellStyle name="Normal 3 18 2 2 2 2" xfId="16062"/>
    <cellStyle name="Normal 3 18 2 2 2 3" xfId="22214"/>
    <cellStyle name="Normal 3 18 2 2 3" xfId="12996"/>
    <cellStyle name="Normal 3 18 2 2 4" xfId="19148"/>
    <cellStyle name="Normal 3 18 2 3" xfId="8334"/>
    <cellStyle name="Normal 3 18 2 3 2" xfId="14528"/>
    <cellStyle name="Normal 3 18 2 3 3" xfId="20680"/>
    <cellStyle name="Normal 3 18 2 4" xfId="11462"/>
    <cellStyle name="Normal 3 18 2 5" xfId="17614"/>
    <cellStyle name="Normal 3 18 3" xfId="6000"/>
    <cellStyle name="Normal 3 18 3 2" xfId="9100"/>
    <cellStyle name="Normal 3 18 3 2 2" xfId="15293"/>
    <cellStyle name="Normal 3 18 3 2 3" xfId="21445"/>
    <cellStyle name="Normal 3 18 3 3" xfId="12227"/>
    <cellStyle name="Normal 3 18 3 4" xfId="18379"/>
    <cellStyle name="Normal 3 18 4" xfId="7565"/>
    <cellStyle name="Normal 3 18 4 2" xfId="13759"/>
    <cellStyle name="Normal 3 18 4 3" xfId="19911"/>
    <cellStyle name="Normal 3 18 5" xfId="10693"/>
    <cellStyle name="Normal 3 18 6" xfId="16845"/>
    <cellStyle name="Normal 3 18 7" xfId="3729"/>
    <cellStyle name="Normal 3 19" xfId="450"/>
    <cellStyle name="Normal 3 19 2" xfId="5159"/>
    <cellStyle name="Normal 3 19 2 2" xfId="6784"/>
    <cellStyle name="Normal 3 19 2 2 2" xfId="9870"/>
    <cellStyle name="Normal 3 19 2 2 2 2" xfId="16063"/>
    <cellStyle name="Normal 3 19 2 2 2 3" xfId="22215"/>
    <cellStyle name="Normal 3 19 2 2 3" xfId="12997"/>
    <cellStyle name="Normal 3 19 2 2 4" xfId="19149"/>
    <cellStyle name="Normal 3 19 2 3" xfId="8335"/>
    <cellStyle name="Normal 3 19 2 3 2" xfId="14529"/>
    <cellStyle name="Normal 3 19 2 3 3" xfId="20681"/>
    <cellStyle name="Normal 3 19 2 4" xfId="11463"/>
    <cellStyle name="Normal 3 19 2 5" xfId="17615"/>
    <cellStyle name="Normal 3 19 3" xfId="6001"/>
    <cellStyle name="Normal 3 19 3 2" xfId="9101"/>
    <cellStyle name="Normal 3 19 3 2 2" xfId="15294"/>
    <cellStyle name="Normal 3 19 3 2 3" xfId="21446"/>
    <cellStyle name="Normal 3 19 3 3" xfId="12228"/>
    <cellStyle name="Normal 3 19 3 4" xfId="18380"/>
    <cellStyle name="Normal 3 19 4" xfId="7566"/>
    <cellStyle name="Normal 3 19 4 2" xfId="13760"/>
    <cellStyle name="Normal 3 19 4 3" xfId="19912"/>
    <cellStyle name="Normal 3 19 5" xfId="10694"/>
    <cellStyle name="Normal 3 19 6" xfId="16846"/>
    <cellStyle name="Normal 3 19 7" xfId="3730"/>
    <cellStyle name="Normal 3 2" xfId="26"/>
    <cellStyle name="Normal 3 2 2" xfId="3732"/>
    <cellStyle name="Normal 3 2 2 2" xfId="5160"/>
    <cellStyle name="Normal 3 2 2 2 2" xfId="6785"/>
    <cellStyle name="Normal 3 2 2 2 2 2" xfId="9871"/>
    <cellStyle name="Normal 3 2 2 2 2 2 2" xfId="16064"/>
    <cellStyle name="Normal 3 2 2 2 2 2 3" xfId="22216"/>
    <cellStyle name="Normal 3 2 2 2 2 3" xfId="12998"/>
    <cellStyle name="Normal 3 2 2 2 2 4" xfId="19150"/>
    <cellStyle name="Normal 3 2 2 2 3" xfId="8336"/>
    <cellStyle name="Normal 3 2 2 2 3 2" xfId="14530"/>
    <cellStyle name="Normal 3 2 2 2 3 3" xfId="20682"/>
    <cellStyle name="Normal 3 2 2 2 4" xfId="11464"/>
    <cellStyle name="Normal 3 2 2 2 5" xfId="17616"/>
    <cellStyle name="Normal 3 2 2 2 6" xfId="23261"/>
    <cellStyle name="Normal 3 2 2 3" xfId="6002"/>
    <cellStyle name="Normal 3 2 2 3 2" xfId="9102"/>
    <cellStyle name="Normal 3 2 2 3 2 2" xfId="15295"/>
    <cellStyle name="Normal 3 2 2 3 2 3" xfId="21447"/>
    <cellStyle name="Normal 3 2 2 3 3" xfId="12229"/>
    <cellStyle name="Normal 3 2 2 3 4" xfId="18381"/>
    <cellStyle name="Normal 3 2 2 3 5" xfId="23262"/>
    <cellStyle name="Normal 3 2 2 4" xfId="7567"/>
    <cellStyle name="Normal 3 2 2 4 2" xfId="13761"/>
    <cellStyle name="Normal 3 2 2 4 3" xfId="19913"/>
    <cellStyle name="Normal 3 2 2 5" xfId="10695"/>
    <cellStyle name="Normal 3 2 2 6" xfId="16847"/>
    <cellStyle name="Normal 3 2 2 7" xfId="23260"/>
    <cellStyle name="Normal 3 2 3" xfId="3733"/>
    <cellStyle name="Normal 3 2 3 2" xfId="5161"/>
    <cellStyle name="Normal 3 2 3 2 2" xfId="6786"/>
    <cellStyle name="Normal 3 2 3 2 2 2" xfId="9872"/>
    <cellStyle name="Normal 3 2 3 2 2 2 2" xfId="16065"/>
    <cellStyle name="Normal 3 2 3 2 2 2 3" xfId="22217"/>
    <cellStyle name="Normal 3 2 3 2 2 3" xfId="12999"/>
    <cellStyle name="Normal 3 2 3 2 2 4" xfId="19151"/>
    <cellStyle name="Normal 3 2 3 2 3" xfId="8337"/>
    <cellStyle name="Normal 3 2 3 2 3 2" xfId="14531"/>
    <cellStyle name="Normal 3 2 3 2 3 3" xfId="20683"/>
    <cellStyle name="Normal 3 2 3 2 4" xfId="11465"/>
    <cellStyle name="Normal 3 2 3 2 5" xfId="17617"/>
    <cellStyle name="Normal 3 2 3 2 6" xfId="23264"/>
    <cellStyle name="Normal 3 2 3 3" xfId="6003"/>
    <cellStyle name="Normal 3 2 3 3 2" xfId="9103"/>
    <cellStyle name="Normal 3 2 3 3 2 2" xfId="15296"/>
    <cellStyle name="Normal 3 2 3 3 2 3" xfId="21448"/>
    <cellStyle name="Normal 3 2 3 3 3" xfId="12230"/>
    <cellStyle name="Normal 3 2 3 3 4" xfId="18382"/>
    <cellStyle name="Normal 3 2 3 3 5" xfId="23265"/>
    <cellStyle name="Normal 3 2 3 4" xfId="7568"/>
    <cellStyle name="Normal 3 2 3 4 2" xfId="13762"/>
    <cellStyle name="Normal 3 2 3 4 3" xfId="19914"/>
    <cellStyle name="Normal 3 2 3 5" xfId="10696"/>
    <cellStyle name="Normal 3 2 3 6" xfId="16848"/>
    <cellStyle name="Normal 3 2 3 7" xfId="23263"/>
    <cellStyle name="Normal 3 2 4" xfId="3734"/>
    <cellStyle name="Normal 3 2 4 2" xfId="5162"/>
    <cellStyle name="Normal 3 2 4 2 2" xfId="6787"/>
    <cellStyle name="Normal 3 2 4 2 2 2" xfId="9873"/>
    <cellStyle name="Normal 3 2 4 2 2 2 2" xfId="16066"/>
    <cellStyle name="Normal 3 2 4 2 2 2 3" xfId="22218"/>
    <cellStyle name="Normal 3 2 4 2 2 3" xfId="13000"/>
    <cellStyle name="Normal 3 2 4 2 2 4" xfId="19152"/>
    <cellStyle name="Normal 3 2 4 2 3" xfId="8338"/>
    <cellStyle name="Normal 3 2 4 2 3 2" xfId="14532"/>
    <cellStyle name="Normal 3 2 4 2 3 3" xfId="20684"/>
    <cellStyle name="Normal 3 2 4 2 4" xfId="11466"/>
    <cellStyle name="Normal 3 2 4 2 5" xfId="17618"/>
    <cellStyle name="Normal 3 2 4 3" xfId="6004"/>
    <cellStyle name="Normal 3 2 4 3 2" xfId="9104"/>
    <cellStyle name="Normal 3 2 4 3 2 2" xfId="15297"/>
    <cellStyle name="Normal 3 2 4 3 2 3" xfId="21449"/>
    <cellStyle name="Normal 3 2 4 3 3" xfId="12231"/>
    <cellStyle name="Normal 3 2 4 3 4" xfId="18383"/>
    <cellStyle name="Normal 3 2 4 4" xfId="7569"/>
    <cellStyle name="Normal 3 2 4 4 2" xfId="13763"/>
    <cellStyle name="Normal 3 2 4 4 3" xfId="19915"/>
    <cellStyle name="Normal 3 2 4 5" xfId="10697"/>
    <cellStyle name="Normal 3 2 4 6" xfId="16849"/>
    <cellStyle name="Normal 3 2 4 7" xfId="23266"/>
    <cellStyle name="Normal 3 2 5" xfId="3735"/>
    <cellStyle name="Normal 3 2 5 2" xfId="5163"/>
    <cellStyle name="Normal 3 2 5 2 2" xfId="6788"/>
    <cellStyle name="Normal 3 2 5 2 2 2" xfId="9874"/>
    <cellStyle name="Normal 3 2 5 2 2 2 2" xfId="16067"/>
    <cellStyle name="Normal 3 2 5 2 2 2 3" xfId="22219"/>
    <cellStyle name="Normal 3 2 5 2 2 3" xfId="13001"/>
    <cellStyle name="Normal 3 2 5 2 2 4" xfId="19153"/>
    <cellStyle name="Normal 3 2 5 2 3" xfId="8339"/>
    <cellStyle name="Normal 3 2 5 2 3 2" xfId="14533"/>
    <cellStyle name="Normal 3 2 5 2 3 3" xfId="20685"/>
    <cellStyle name="Normal 3 2 5 2 4" xfId="11467"/>
    <cellStyle name="Normal 3 2 5 2 5" xfId="17619"/>
    <cellStyle name="Normal 3 2 5 3" xfId="6005"/>
    <cellStyle name="Normal 3 2 5 3 2" xfId="9105"/>
    <cellStyle name="Normal 3 2 5 3 2 2" xfId="15298"/>
    <cellStyle name="Normal 3 2 5 3 2 3" xfId="21450"/>
    <cellStyle name="Normal 3 2 5 3 3" xfId="12232"/>
    <cellStyle name="Normal 3 2 5 3 4" xfId="18384"/>
    <cellStyle name="Normal 3 2 5 4" xfId="7570"/>
    <cellStyle name="Normal 3 2 5 4 2" xfId="13764"/>
    <cellStyle name="Normal 3 2 5 4 3" xfId="19916"/>
    <cellStyle name="Normal 3 2 5 5" xfId="10698"/>
    <cellStyle name="Normal 3 2 5 6" xfId="16850"/>
    <cellStyle name="Normal 3 2 5 7" xfId="23267"/>
    <cellStyle name="Normal 3 2 6" xfId="3736"/>
    <cellStyle name="Normal 3 2 6 2" xfId="5164"/>
    <cellStyle name="Normal 3 2 6 2 2" xfId="6789"/>
    <cellStyle name="Normal 3 2 6 2 2 2" xfId="9875"/>
    <cellStyle name="Normal 3 2 6 2 2 2 2" xfId="16068"/>
    <cellStyle name="Normal 3 2 6 2 2 2 3" xfId="22220"/>
    <cellStyle name="Normal 3 2 6 2 2 3" xfId="13002"/>
    <cellStyle name="Normal 3 2 6 2 2 4" xfId="19154"/>
    <cellStyle name="Normal 3 2 6 2 3" xfId="8340"/>
    <cellStyle name="Normal 3 2 6 2 3 2" xfId="14534"/>
    <cellStyle name="Normal 3 2 6 2 3 3" xfId="20686"/>
    <cellStyle name="Normal 3 2 6 2 4" xfId="11468"/>
    <cellStyle name="Normal 3 2 6 2 5" xfId="17620"/>
    <cellStyle name="Normal 3 2 6 3" xfId="6006"/>
    <cellStyle name="Normal 3 2 6 3 2" xfId="9106"/>
    <cellStyle name="Normal 3 2 6 3 2 2" xfId="15299"/>
    <cellStyle name="Normal 3 2 6 3 2 3" xfId="21451"/>
    <cellStyle name="Normal 3 2 6 3 3" xfId="12233"/>
    <cellStyle name="Normal 3 2 6 3 4" xfId="18385"/>
    <cellStyle name="Normal 3 2 6 4" xfId="7571"/>
    <cellStyle name="Normal 3 2 6 4 2" xfId="13765"/>
    <cellStyle name="Normal 3 2 6 4 3" xfId="19917"/>
    <cellStyle name="Normal 3 2 6 5" xfId="10699"/>
    <cellStyle name="Normal 3 2 6 6" xfId="16851"/>
    <cellStyle name="Normal 3 2 7" xfId="3731"/>
    <cellStyle name="Normal 3 2 8" xfId="198"/>
    <cellStyle name="Normal 3 2 9" xfId="23259"/>
    <cellStyle name="Normal 3 20" xfId="473"/>
    <cellStyle name="Normal 3 20 2" xfId="5165"/>
    <cellStyle name="Normal 3 20 2 2" xfId="6790"/>
    <cellStyle name="Normal 3 20 2 2 2" xfId="9876"/>
    <cellStyle name="Normal 3 20 2 2 2 2" xfId="16069"/>
    <cellStyle name="Normal 3 20 2 2 2 3" xfId="22221"/>
    <cellStyle name="Normal 3 20 2 2 3" xfId="13003"/>
    <cellStyle name="Normal 3 20 2 2 4" xfId="19155"/>
    <cellStyle name="Normal 3 20 2 3" xfId="8341"/>
    <cellStyle name="Normal 3 20 2 3 2" xfId="14535"/>
    <cellStyle name="Normal 3 20 2 3 3" xfId="20687"/>
    <cellStyle name="Normal 3 20 2 4" xfId="11469"/>
    <cellStyle name="Normal 3 20 2 5" xfId="17621"/>
    <cellStyle name="Normal 3 20 3" xfId="6007"/>
    <cellStyle name="Normal 3 20 3 2" xfId="9107"/>
    <cellStyle name="Normal 3 20 3 2 2" xfId="15300"/>
    <cellStyle name="Normal 3 20 3 2 3" xfId="21452"/>
    <cellStyle name="Normal 3 20 3 3" xfId="12234"/>
    <cellStyle name="Normal 3 20 3 4" xfId="18386"/>
    <cellStyle name="Normal 3 20 4" xfId="7572"/>
    <cellStyle name="Normal 3 20 4 2" xfId="13766"/>
    <cellStyle name="Normal 3 20 4 3" xfId="19918"/>
    <cellStyle name="Normal 3 20 5" xfId="10700"/>
    <cellStyle name="Normal 3 20 6" xfId="16852"/>
    <cellStyle name="Normal 3 20 7" xfId="3737"/>
    <cellStyle name="Normal 3 21" xfId="471"/>
    <cellStyle name="Normal 3 21 2" xfId="5166"/>
    <cellStyle name="Normal 3 21 2 2" xfId="6791"/>
    <cellStyle name="Normal 3 21 2 2 2" xfId="9877"/>
    <cellStyle name="Normal 3 21 2 2 2 2" xfId="16070"/>
    <cellStyle name="Normal 3 21 2 2 2 3" xfId="22222"/>
    <cellStyle name="Normal 3 21 2 2 3" xfId="13004"/>
    <cellStyle name="Normal 3 21 2 2 4" xfId="19156"/>
    <cellStyle name="Normal 3 21 2 3" xfId="8342"/>
    <cellStyle name="Normal 3 21 2 3 2" xfId="14536"/>
    <cellStyle name="Normal 3 21 2 3 3" xfId="20688"/>
    <cellStyle name="Normal 3 21 2 4" xfId="11470"/>
    <cellStyle name="Normal 3 21 2 5" xfId="17622"/>
    <cellStyle name="Normal 3 21 3" xfId="6008"/>
    <cellStyle name="Normal 3 21 3 2" xfId="9108"/>
    <cellStyle name="Normal 3 21 3 2 2" xfId="15301"/>
    <cellStyle name="Normal 3 21 3 2 3" xfId="21453"/>
    <cellStyle name="Normal 3 21 3 3" xfId="12235"/>
    <cellStyle name="Normal 3 21 3 4" xfId="18387"/>
    <cellStyle name="Normal 3 21 4" xfId="7573"/>
    <cellStyle name="Normal 3 21 4 2" xfId="13767"/>
    <cellStyle name="Normal 3 21 4 3" xfId="19919"/>
    <cellStyle name="Normal 3 21 5" xfId="10701"/>
    <cellStyle name="Normal 3 21 6" xfId="16853"/>
    <cellStyle name="Normal 3 21 7" xfId="3738"/>
    <cellStyle name="Normal 3 22" xfId="502"/>
    <cellStyle name="Normal 3 22 2" xfId="5167"/>
    <cellStyle name="Normal 3 22 2 2" xfId="6792"/>
    <cellStyle name="Normal 3 22 2 2 2" xfId="9878"/>
    <cellStyle name="Normal 3 22 2 2 2 2" xfId="16071"/>
    <cellStyle name="Normal 3 22 2 2 2 3" xfId="22223"/>
    <cellStyle name="Normal 3 22 2 2 3" xfId="13005"/>
    <cellStyle name="Normal 3 22 2 2 4" xfId="19157"/>
    <cellStyle name="Normal 3 22 2 3" xfId="8343"/>
    <cellStyle name="Normal 3 22 2 3 2" xfId="14537"/>
    <cellStyle name="Normal 3 22 2 3 3" xfId="20689"/>
    <cellStyle name="Normal 3 22 2 4" xfId="11471"/>
    <cellStyle name="Normal 3 22 2 5" xfId="17623"/>
    <cellStyle name="Normal 3 22 3" xfId="6009"/>
    <cellStyle name="Normal 3 22 3 2" xfId="9109"/>
    <cellStyle name="Normal 3 22 3 2 2" xfId="15302"/>
    <cellStyle name="Normal 3 22 3 2 3" xfId="21454"/>
    <cellStyle name="Normal 3 22 3 3" xfId="12236"/>
    <cellStyle name="Normal 3 22 3 4" xfId="18388"/>
    <cellStyle name="Normal 3 22 4" xfId="7574"/>
    <cellStyle name="Normal 3 22 4 2" xfId="13768"/>
    <cellStyle name="Normal 3 22 4 3" xfId="19920"/>
    <cellStyle name="Normal 3 22 5" xfId="10702"/>
    <cellStyle name="Normal 3 22 6" xfId="16854"/>
    <cellStyle name="Normal 3 22 7" xfId="3739"/>
    <cellStyle name="Normal 3 23" xfId="489"/>
    <cellStyle name="Normal 3 23 2" xfId="5168"/>
    <cellStyle name="Normal 3 23 2 2" xfId="6793"/>
    <cellStyle name="Normal 3 23 2 2 2" xfId="9879"/>
    <cellStyle name="Normal 3 23 2 2 2 2" xfId="16072"/>
    <cellStyle name="Normal 3 23 2 2 2 3" xfId="22224"/>
    <cellStyle name="Normal 3 23 2 2 3" xfId="13006"/>
    <cellStyle name="Normal 3 23 2 2 4" xfId="19158"/>
    <cellStyle name="Normal 3 23 2 3" xfId="8344"/>
    <cellStyle name="Normal 3 23 2 3 2" xfId="14538"/>
    <cellStyle name="Normal 3 23 2 3 3" xfId="20690"/>
    <cellStyle name="Normal 3 23 2 4" xfId="11472"/>
    <cellStyle name="Normal 3 23 2 5" xfId="17624"/>
    <cellStyle name="Normal 3 23 3" xfId="6010"/>
    <cellStyle name="Normal 3 23 3 2" xfId="9110"/>
    <cellStyle name="Normal 3 23 3 2 2" xfId="15303"/>
    <cellStyle name="Normal 3 23 3 2 3" xfId="21455"/>
    <cellStyle name="Normal 3 23 3 3" xfId="12237"/>
    <cellStyle name="Normal 3 23 3 4" xfId="18389"/>
    <cellStyle name="Normal 3 23 4" xfId="7575"/>
    <cellStyle name="Normal 3 23 4 2" xfId="13769"/>
    <cellStyle name="Normal 3 23 4 3" xfId="19921"/>
    <cellStyle name="Normal 3 23 5" xfId="10703"/>
    <cellStyle name="Normal 3 23 6" xfId="16855"/>
    <cellStyle name="Normal 3 23 7" xfId="3740"/>
    <cellStyle name="Normal 3 24" xfId="615"/>
    <cellStyle name="Normal 3 24 2" xfId="5169"/>
    <cellStyle name="Normal 3 24 2 2" xfId="6794"/>
    <cellStyle name="Normal 3 24 2 2 2" xfId="9880"/>
    <cellStyle name="Normal 3 24 2 2 2 2" xfId="16073"/>
    <cellStyle name="Normal 3 24 2 2 2 3" xfId="22225"/>
    <cellStyle name="Normal 3 24 2 2 3" xfId="13007"/>
    <cellStyle name="Normal 3 24 2 2 4" xfId="19159"/>
    <cellStyle name="Normal 3 24 2 3" xfId="8345"/>
    <cellStyle name="Normal 3 24 2 3 2" xfId="14539"/>
    <cellStyle name="Normal 3 24 2 3 3" xfId="20691"/>
    <cellStyle name="Normal 3 24 2 4" xfId="11473"/>
    <cellStyle name="Normal 3 24 2 5" xfId="17625"/>
    <cellStyle name="Normal 3 24 3" xfId="6011"/>
    <cellStyle name="Normal 3 24 3 2" xfId="9111"/>
    <cellStyle name="Normal 3 24 3 2 2" xfId="15304"/>
    <cellStyle name="Normal 3 24 3 2 3" xfId="21456"/>
    <cellStyle name="Normal 3 24 3 3" xfId="12238"/>
    <cellStyle name="Normal 3 24 3 4" xfId="18390"/>
    <cellStyle name="Normal 3 24 4" xfId="7576"/>
    <cellStyle name="Normal 3 24 4 2" xfId="13770"/>
    <cellStyle name="Normal 3 24 4 3" xfId="19922"/>
    <cellStyle name="Normal 3 24 5" xfId="10704"/>
    <cellStyle name="Normal 3 24 6" xfId="16856"/>
    <cellStyle name="Normal 3 24 7" xfId="3741"/>
    <cellStyle name="Normal 3 25" xfId="633"/>
    <cellStyle name="Normal 3 25 2" xfId="3742"/>
    <cellStyle name="Normal 3 26" xfId="597"/>
    <cellStyle name="Normal 3 26 2" xfId="3744"/>
    <cellStyle name="Normal 3 26 3" xfId="3745"/>
    <cellStyle name="Normal 3 26 4" xfId="3746"/>
    <cellStyle name="Normal 3 26 5" xfId="3743"/>
    <cellStyle name="Normal 3 27" xfId="675"/>
    <cellStyle name="Normal 3 27 2" xfId="3747"/>
    <cellStyle name="Normal 3 28" xfId="611"/>
    <cellStyle name="Normal 3 28 2" xfId="4618"/>
    <cellStyle name="Normal 3 29" xfId="677"/>
    <cellStyle name="Normal 3 29 2" xfId="1327"/>
    <cellStyle name="Normal 3 3" xfId="73"/>
    <cellStyle name="Normal 3 3 10" xfId="3748"/>
    <cellStyle name="Normal 3 3 11" xfId="1169"/>
    <cellStyle name="Normal 3 3 12" xfId="22831"/>
    <cellStyle name="Normal 3 3 13" xfId="209"/>
    <cellStyle name="Normal 3 3 14" xfId="23268"/>
    <cellStyle name="Normal 3 3 2" xfId="868"/>
    <cellStyle name="Normal 3 3 2 2" xfId="5171"/>
    <cellStyle name="Normal 3 3 2 2 2" xfId="6796"/>
    <cellStyle name="Normal 3 3 2 2 2 2" xfId="9882"/>
    <cellStyle name="Normal 3 3 2 2 2 2 2" xfId="16075"/>
    <cellStyle name="Normal 3 3 2 2 2 2 3" xfId="22227"/>
    <cellStyle name="Normal 3 3 2 2 2 3" xfId="13009"/>
    <cellStyle name="Normal 3 3 2 2 2 4" xfId="19161"/>
    <cellStyle name="Normal 3 3 2 2 3" xfId="8347"/>
    <cellStyle name="Normal 3 3 2 2 3 2" xfId="14541"/>
    <cellStyle name="Normal 3 3 2 2 3 3" xfId="20693"/>
    <cellStyle name="Normal 3 3 2 2 4" xfId="11475"/>
    <cellStyle name="Normal 3 3 2 2 5" xfId="17627"/>
    <cellStyle name="Normal 3 3 2 2 6" xfId="23270"/>
    <cellStyle name="Normal 3 3 2 3" xfId="6013"/>
    <cellStyle name="Normal 3 3 2 3 2" xfId="9113"/>
    <cellStyle name="Normal 3 3 2 3 2 2" xfId="15306"/>
    <cellStyle name="Normal 3 3 2 3 2 3" xfId="21458"/>
    <cellStyle name="Normal 3 3 2 3 3" xfId="12240"/>
    <cellStyle name="Normal 3 3 2 3 4" xfId="18392"/>
    <cellStyle name="Normal 3 3 2 4" xfId="7578"/>
    <cellStyle name="Normal 3 3 2 4 2" xfId="13772"/>
    <cellStyle name="Normal 3 3 2 4 3" xfId="19924"/>
    <cellStyle name="Normal 3 3 2 5" xfId="10706"/>
    <cellStyle name="Normal 3 3 2 6" xfId="16858"/>
    <cellStyle name="Normal 3 3 2 7" xfId="3749"/>
    <cellStyle name="Normal 3 3 2 8" xfId="23269"/>
    <cellStyle name="Normal 3 3 3" xfId="3750"/>
    <cellStyle name="Normal 3 3 3 2" xfId="5172"/>
    <cellStyle name="Normal 3 3 3 2 2" xfId="6797"/>
    <cellStyle name="Normal 3 3 3 2 2 2" xfId="9883"/>
    <cellStyle name="Normal 3 3 3 2 2 2 2" xfId="16076"/>
    <cellStyle name="Normal 3 3 3 2 2 2 3" xfId="22228"/>
    <cellStyle name="Normal 3 3 3 2 2 3" xfId="13010"/>
    <cellStyle name="Normal 3 3 3 2 2 4" xfId="19162"/>
    <cellStyle name="Normal 3 3 3 2 3" xfId="8348"/>
    <cellStyle name="Normal 3 3 3 2 3 2" xfId="14542"/>
    <cellStyle name="Normal 3 3 3 2 3 3" xfId="20694"/>
    <cellStyle name="Normal 3 3 3 2 4" xfId="11476"/>
    <cellStyle name="Normal 3 3 3 2 5" xfId="17628"/>
    <cellStyle name="Normal 3 3 3 3" xfId="6014"/>
    <cellStyle name="Normal 3 3 3 3 2" xfId="9114"/>
    <cellStyle name="Normal 3 3 3 3 2 2" xfId="15307"/>
    <cellStyle name="Normal 3 3 3 3 2 3" xfId="21459"/>
    <cellStyle name="Normal 3 3 3 3 3" xfId="12241"/>
    <cellStyle name="Normal 3 3 3 3 4" xfId="18393"/>
    <cellStyle name="Normal 3 3 3 4" xfId="7579"/>
    <cellStyle name="Normal 3 3 3 4 2" xfId="13773"/>
    <cellStyle name="Normal 3 3 3 4 3" xfId="19925"/>
    <cellStyle name="Normal 3 3 3 5" xfId="10707"/>
    <cellStyle name="Normal 3 3 3 6" xfId="16859"/>
    <cellStyle name="Normal 3 3 3 7" xfId="23271"/>
    <cellStyle name="Normal 3 3 4" xfId="3751"/>
    <cellStyle name="Normal 3 3 5" xfId="5170"/>
    <cellStyle name="Normal 3 3 5 2" xfId="6795"/>
    <cellStyle name="Normal 3 3 5 2 2" xfId="9881"/>
    <cellStyle name="Normal 3 3 5 2 2 2" xfId="16074"/>
    <cellStyle name="Normal 3 3 5 2 2 3" xfId="22226"/>
    <cellStyle name="Normal 3 3 5 2 3" xfId="13008"/>
    <cellStyle name="Normal 3 3 5 2 4" xfId="19160"/>
    <cellStyle name="Normal 3 3 5 3" xfId="8346"/>
    <cellStyle name="Normal 3 3 5 3 2" xfId="14540"/>
    <cellStyle name="Normal 3 3 5 3 3" xfId="20692"/>
    <cellStyle name="Normal 3 3 5 4" xfId="11474"/>
    <cellStyle name="Normal 3 3 5 5" xfId="17626"/>
    <cellStyle name="Normal 3 3 6" xfId="6012"/>
    <cellStyle name="Normal 3 3 6 2" xfId="9112"/>
    <cellStyle name="Normal 3 3 6 2 2" xfId="15305"/>
    <cellStyle name="Normal 3 3 6 2 3" xfId="21457"/>
    <cellStyle name="Normal 3 3 6 3" xfId="12239"/>
    <cellStyle name="Normal 3 3 6 4" xfId="18391"/>
    <cellStyle name="Normal 3 3 7" xfId="7577"/>
    <cellStyle name="Normal 3 3 7 2" xfId="13771"/>
    <cellStyle name="Normal 3 3 7 3" xfId="19923"/>
    <cellStyle name="Normal 3 3 8" xfId="10705"/>
    <cellStyle name="Normal 3 3 9" xfId="16857"/>
    <cellStyle name="Normal 3 30" xfId="696"/>
    <cellStyle name="Normal 3 30 2" xfId="10234"/>
    <cellStyle name="Normal 3 31" xfId="728"/>
    <cellStyle name="Normal 3 32" xfId="23258"/>
    <cellStyle name="Normal 3 4" xfId="221"/>
    <cellStyle name="Normal 3 4 2" xfId="3753"/>
    <cellStyle name="Normal 3 4 2 2" xfId="5174"/>
    <cellStyle name="Normal 3 4 2 2 2" xfId="6799"/>
    <cellStyle name="Normal 3 4 2 2 2 2" xfId="9885"/>
    <cellStyle name="Normal 3 4 2 2 2 2 2" xfId="16078"/>
    <cellStyle name="Normal 3 4 2 2 2 2 3" xfId="22230"/>
    <cellStyle name="Normal 3 4 2 2 2 3" xfId="13012"/>
    <cellStyle name="Normal 3 4 2 2 2 4" xfId="19164"/>
    <cellStyle name="Normal 3 4 2 2 3" xfId="8350"/>
    <cellStyle name="Normal 3 4 2 2 3 2" xfId="14544"/>
    <cellStyle name="Normal 3 4 2 2 3 3" xfId="20696"/>
    <cellStyle name="Normal 3 4 2 2 4" xfId="11478"/>
    <cellStyle name="Normal 3 4 2 2 5" xfId="17630"/>
    <cellStyle name="Normal 3 4 2 3" xfId="6016"/>
    <cellStyle name="Normal 3 4 2 3 2" xfId="9116"/>
    <cellStyle name="Normal 3 4 2 3 2 2" xfId="15309"/>
    <cellStyle name="Normal 3 4 2 3 2 3" xfId="21461"/>
    <cellStyle name="Normal 3 4 2 3 3" xfId="12243"/>
    <cellStyle name="Normal 3 4 2 3 4" xfId="18395"/>
    <cellStyle name="Normal 3 4 2 4" xfId="7581"/>
    <cellStyle name="Normal 3 4 2 4 2" xfId="13775"/>
    <cellStyle name="Normal 3 4 2 4 3" xfId="19927"/>
    <cellStyle name="Normal 3 4 2 5" xfId="10709"/>
    <cellStyle name="Normal 3 4 2 6" xfId="16861"/>
    <cellStyle name="Normal 3 4 2 7" xfId="23273"/>
    <cellStyle name="Normal 3 4 3" xfId="5173"/>
    <cellStyle name="Normal 3 4 3 2" xfId="6798"/>
    <cellStyle name="Normal 3 4 3 2 2" xfId="9884"/>
    <cellStyle name="Normal 3 4 3 2 2 2" xfId="16077"/>
    <cellStyle name="Normal 3 4 3 2 2 3" xfId="22229"/>
    <cellStyle name="Normal 3 4 3 2 3" xfId="13011"/>
    <cellStyle name="Normal 3 4 3 2 4" xfId="19163"/>
    <cellStyle name="Normal 3 4 3 3" xfId="8349"/>
    <cellStyle name="Normal 3 4 3 3 2" xfId="14543"/>
    <cellStyle name="Normal 3 4 3 3 3" xfId="20695"/>
    <cellStyle name="Normal 3 4 3 4" xfId="11477"/>
    <cellStyle name="Normal 3 4 3 5" xfId="17629"/>
    <cellStyle name="Normal 3 4 4" xfId="6015"/>
    <cellStyle name="Normal 3 4 4 2" xfId="9115"/>
    <cellStyle name="Normal 3 4 4 2 2" xfId="15308"/>
    <cellStyle name="Normal 3 4 4 2 3" xfId="21460"/>
    <cellStyle name="Normal 3 4 4 3" xfId="12242"/>
    <cellStyle name="Normal 3 4 4 4" xfId="18394"/>
    <cellStyle name="Normal 3 4 5" xfId="7580"/>
    <cellStyle name="Normal 3 4 5 2" xfId="13774"/>
    <cellStyle name="Normal 3 4 5 3" xfId="19926"/>
    <cellStyle name="Normal 3 4 6" xfId="10708"/>
    <cellStyle name="Normal 3 4 7" xfId="16860"/>
    <cellStyle name="Normal 3 4 8" xfId="3752"/>
    <cellStyle name="Normal 3 4 9" xfId="23272"/>
    <cellStyle name="Normal 3 5" xfId="243"/>
    <cellStyle name="Normal 3 5 2" xfId="3755"/>
    <cellStyle name="Normal 3 5 2 2" xfId="5176"/>
    <cellStyle name="Normal 3 5 2 2 2" xfId="6801"/>
    <cellStyle name="Normal 3 5 2 2 2 2" xfId="9887"/>
    <cellStyle name="Normal 3 5 2 2 2 2 2" xfId="16080"/>
    <cellStyle name="Normal 3 5 2 2 2 2 3" xfId="22232"/>
    <cellStyle name="Normal 3 5 2 2 2 3" xfId="13014"/>
    <cellStyle name="Normal 3 5 2 2 2 4" xfId="19166"/>
    <cellStyle name="Normal 3 5 2 2 3" xfId="8352"/>
    <cellStyle name="Normal 3 5 2 2 3 2" xfId="14546"/>
    <cellStyle name="Normal 3 5 2 2 3 3" xfId="20698"/>
    <cellStyle name="Normal 3 5 2 2 4" xfId="11480"/>
    <cellStyle name="Normal 3 5 2 2 5" xfId="17632"/>
    <cellStyle name="Normal 3 5 2 3" xfId="6018"/>
    <cellStyle name="Normal 3 5 2 3 2" xfId="9118"/>
    <cellStyle name="Normal 3 5 2 3 2 2" xfId="15311"/>
    <cellStyle name="Normal 3 5 2 3 2 3" xfId="21463"/>
    <cellStyle name="Normal 3 5 2 3 3" xfId="12245"/>
    <cellStyle name="Normal 3 5 2 3 4" xfId="18397"/>
    <cellStyle name="Normal 3 5 2 4" xfId="7583"/>
    <cellStyle name="Normal 3 5 2 4 2" xfId="13777"/>
    <cellStyle name="Normal 3 5 2 4 3" xfId="19929"/>
    <cellStyle name="Normal 3 5 2 5" xfId="10711"/>
    <cellStyle name="Normal 3 5 2 6" xfId="16863"/>
    <cellStyle name="Normal 3 5 3" xfId="5175"/>
    <cellStyle name="Normal 3 5 3 2" xfId="6800"/>
    <cellStyle name="Normal 3 5 3 2 2" xfId="9886"/>
    <cellStyle name="Normal 3 5 3 2 2 2" xfId="16079"/>
    <cellStyle name="Normal 3 5 3 2 2 3" xfId="22231"/>
    <cellStyle name="Normal 3 5 3 2 3" xfId="13013"/>
    <cellStyle name="Normal 3 5 3 2 4" xfId="19165"/>
    <cellStyle name="Normal 3 5 3 3" xfId="8351"/>
    <cellStyle name="Normal 3 5 3 3 2" xfId="14545"/>
    <cellStyle name="Normal 3 5 3 3 3" xfId="20697"/>
    <cellStyle name="Normal 3 5 3 4" xfId="11479"/>
    <cellStyle name="Normal 3 5 3 5" xfId="17631"/>
    <cellStyle name="Normal 3 5 4" xfId="6017"/>
    <cellStyle name="Normal 3 5 4 2" xfId="9117"/>
    <cellStyle name="Normal 3 5 4 2 2" xfId="15310"/>
    <cellStyle name="Normal 3 5 4 2 3" xfId="21462"/>
    <cellStyle name="Normal 3 5 4 3" xfId="12244"/>
    <cellStyle name="Normal 3 5 4 4" xfId="18396"/>
    <cellStyle name="Normal 3 5 5" xfId="7582"/>
    <cellStyle name="Normal 3 5 5 2" xfId="13776"/>
    <cellStyle name="Normal 3 5 5 3" xfId="19928"/>
    <cellStyle name="Normal 3 5 6" xfId="10710"/>
    <cellStyle name="Normal 3 5 7" xfId="16862"/>
    <cellStyle name="Normal 3 5 8" xfId="3754"/>
    <cellStyle name="Normal 3 5 9" xfId="23274"/>
    <cellStyle name="Normal 3 6" xfId="241"/>
    <cellStyle name="Normal 3 6 2" xfId="5177"/>
    <cellStyle name="Normal 3 6 2 2" xfId="6802"/>
    <cellStyle name="Normal 3 6 2 2 2" xfId="9888"/>
    <cellStyle name="Normal 3 6 2 2 2 2" xfId="16081"/>
    <cellStyle name="Normal 3 6 2 2 2 3" xfId="22233"/>
    <cellStyle name="Normal 3 6 2 2 3" xfId="13015"/>
    <cellStyle name="Normal 3 6 2 2 4" xfId="19167"/>
    <cellStyle name="Normal 3 6 2 3" xfId="8353"/>
    <cellStyle name="Normal 3 6 2 3 2" xfId="14547"/>
    <cellStyle name="Normal 3 6 2 3 3" xfId="20699"/>
    <cellStyle name="Normal 3 6 2 4" xfId="11481"/>
    <cellStyle name="Normal 3 6 2 5" xfId="17633"/>
    <cellStyle name="Normal 3 6 3" xfId="6019"/>
    <cellStyle name="Normal 3 6 3 2" xfId="9119"/>
    <cellStyle name="Normal 3 6 3 2 2" xfId="15312"/>
    <cellStyle name="Normal 3 6 3 2 3" xfId="21464"/>
    <cellStyle name="Normal 3 6 3 3" xfId="12246"/>
    <cellStyle name="Normal 3 6 3 4" xfId="18398"/>
    <cellStyle name="Normal 3 6 4" xfId="7584"/>
    <cellStyle name="Normal 3 6 4 2" xfId="13778"/>
    <cellStyle name="Normal 3 6 4 3" xfId="19930"/>
    <cellStyle name="Normal 3 6 5" xfId="10712"/>
    <cellStyle name="Normal 3 6 6" xfId="16864"/>
    <cellStyle name="Normal 3 6 7" xfId="3756"/>
    <cellStyle name="Normal 3 7" xfId="320"/>
    <cellStyle name="Normal 3 7 2" xfId="5178"/>
    <cellStyle name="Normal 3 7 2 2" xfId="6803"/>
    <cellStyle name="Normal 3 7 2 2 2" xfId="9889"/>
    <cellStyle name="Normal 3 7 2 2 2 2" xfId="16082"/>
    <cellStyle name="Normal 3 7 2 2 2 3" xfId="22234"/>
    <cellStyle name="Normal 3 7 2 2 3" xfId="13016"/>
    <cellStyle name="Normal 3 7 2 2 4" xfId="19168"/>
    <cellStyle name="Normal 3 7 2 3" xfId="8354"/>
    <cellStyle name="Normal 3 7 2 3 2" xfId="14548"/>
    <cellStyle name="Normal 3 7 2 3 3" xfId="20700"/>
    <cellStyle name="Normal 3 7 2 4" xfId="11482"/>
    <cellStyle name="Normal 3 7 2 5" xfId="17634"/>
    <cellStyle name="Normal 3 7 3" xfId="6020"/>
    <cellStyle name="Normal 3 7 3 2" xfId="9120"/>
    <cellStyle name="Normal 3 7 3 2 2" xfId="15313"/>
    <cellStyle name="Normal 3 7 3 2 3" xfId="21465"/>
    <cellStyle name="Normal 3 7 3 3" xfId="12247"/>
    <cellStyle name="Normal 3 7 3 4" xfId="18399"/>
    <cellStyle name="Normal 3 7 4" xfId="7585"/>
    <cellStyle name="Normal 3 7 4 2" xfId="13779"/>
    <cellStyle name="Normal 3 7 4 3" xfId="19931"/>
    <cellStyle name="Normal 3 7 5" xfId="10713"/>
    <cellStyle name="Normal 3 7 6" xfId="16865"/>
    <cellStyle name="Normal 3 7 7" xfId="3757"/>
    <cellStyle name="Normal 3 8" xfId="318"/>
    <cellStyle name="Normal 3 8 2" xfId="5179"/>
    <cellStyle name="Normal 3 8 2 2" xfId="6804"/>
    <cellStyle name="Normal 3 8 2 2 2" xfId="9890"/>
    <cellStyle name="Normal 3 8 2 2 2 2" xfId="16083"/>
    <cellStyle name="Normal 3 8 2 2 2 3" xfId="22235"/>
    <cellStyle name="Normal 3 8 2 2 3" xfId="13017"/>
    <cellStyle name="Normal 3 8 2 2 4" xfId="19169"/>
    <cellStyle name="Normal 3 8 2 3" xfId="8355"/>
    <cellStyle name="Normal 3 8 2 3 2" xfId="14549"/>
    <cellStyle name="Normal 3 8 2 3 3" xfId="20701"/>
    <cellStyle name="Normal 3 8 2 4" xfId="11483"/>
    <cellStyle name="Normal 3 8 2 5" xfId="17635"/>
    <cellStyle name="Normal 3 8 3" xfId="6021"/>
    <cellStyle name="Normal 3 8 3 2" xfId="9121"/>
    <cellStyle name="Normal 3 8 3 2 2" xfId="15314"/>
    <cellStyle name="Normal 3 8 3 2 3" xfId="21466"/>
    <cellStyle name="Normal 3 8 3 3" xfId="12248"/>
    <cellStyle name="Normal 3 8 3 4" xfId="18400"/>
    <cellStyle name="Normal 3 8 4" xfId="7586"/>
    <cellStyle name="Normal 3 8 4 2" xfId="13780"/>
    <cellStyle name="Normal 3 8 4 3" xfId="19932"/>
    <cellStyle name="Normal 3 8 5" xfId="10714"/>
    <cellStyle name="Normal 3 8 6" xfId="16866"/>
    <cellStyle name="Normal 3 8 7" xfId="3758"/>
    <cellStyle name="Normal 3 9" xfId="279"/>
    <cellStyle name="Normal 3 9 2" xfId="5180"/>
    <cellStyle name="Normal 3 9 2 2" xfId="6805"/>
    <cellStyle name="Normal 3 9 2 2 2" xfId="9891"/>
    <cellStyle name="Normal 3 9 2 2 2 2" xfId="16084"/>
    <cellStyle name="Normal 3 9 2 2 2 3" xfId="22236"/>
    <cellStyle name="Normal 3 9 2 2 3" xfId="13018"/>
    <cellStyle name="Normal 3 9 2 2 4" xfId="19170"/>
    <cellStyle name="Normal 3 9 2 3" xfId="8356"/>
    <cellStyle name="Normal 3 9 2 3 2" xfId="14550"/>
    <cellStyle name="Normal 3 9 2 3 3" xfId="20702"/>
    <cellStyle name="Normal 3 9 2 4" xfId="11484"/>
    <cellStyle name="Normal 3 9 2 5" xfId="17636"/>
    <cellStyle name="Normal 3 9 3" xfId="6022"/>
    <cellStyle name="Normal 3 9 3 2" xfId="9122"/>
    <cellStyle name="Normal 3 9 3 2 2" xfId="15315"/>
    <cellStyle name="Normal 3 9 3 2 3" xfId="21467"/>
    <cellStyle name="Normal 3 9 3 3" xfId="12249"/>
    <cellStyle name="Normal 3 9 3 4" xfId="18401"/>
    <cellStyle name="Normal 3 9 4" xfId="7587"/>
    <cellStyle name="Normal 3 9 4 2" xfId="13781"/>
    <cellStyle name="Normal 3 9 4 3" xfId="19933"/>
    <cellStyle name="Normal 3 9 5" xfId="10715"/>
    <cellStyle name="Normal 3 9 6" xfId="16867"/>
    <cellStyle name="Normal 3 9 7" xfId="3759"/>
    <cellStyle name="Normal 3_Gas CBR Summary" xfId="27"/>
    <cellStyle name="Normal 30" xfId="792"/>
    <cellStyle name="Normal 30 2" xfId="23275"/>
    <cellStyle name="Normal 31" xfId="3760"/>
    <cellStyle name="Normal 31 2" xfId="3761"/>
    <cellStyle name="Normal 32" xfId="3762"/>
    <cellStyle name="Normal 32 2" xfId="3763"/>
    <cellStyle name="Normal 33" xfId="3764"/>
    <cellStyle name="Normal 33 2" xfId="3765"/>
    <cellStyle name="Normal 34" xfId="3766"/>
    <cellStyle name="Normal 34 10" xfId="3767"/>
    <cellStyle name="Normal 34 10 2" xfId="3768"/>
    <cellStyle name="Normal 34 11" xfId="3769"/>
    <cellStyle name="Normal 34 11 2" xfId="3770"/>
    <cellStyle name="Normal 34 12" xfId="3771"/>
    <cellStyle name="Normal 34 2" xfId="3772"/>
    <cellStyle name="Normal 34 2 2" xfId="3773"/>
    <cellStyle name="Normal 34 2 2 2" xfId="3774"/>
    <cellStyle name="Normal 34 2 2 2 2" xfId="3775"/>
    <cellStyle name="Normal 34 2 2 3" xfId="3776"/>
    <cellStyle name="Normal 34 2 3" xfId="3777"/>
    <cellStyle name="Normal 34 2 3 2" xfId="3778"/>
    <cellStyle name="Normal 34 2 4" xfId="3779"/>
    <cellStyle name="Normal 34 2 4 2" xfId="3780"/>
    <cellStyle name="Normal 34 2 5" xfId="3781"/>
    <cellStyle name="Normal 34 3" xfId="3782"/>
    <cellStyle name="Normal 34 3 2" xfId="3783"/>
    <cellStyle name="Normal 34 3 2 2" xfId="3784"/>
    <cellStyle name="Normal 34 3 2 2 2" xfId="3785"/>
    <cellStyle name="Normal 34 3 2 3" xfId="3786"/>
    <cellStyle name="Normal 34 3 3" xfId="3787"/>
    <cellStyle name="Normal 34 3 3 2" xfId="3788"/>
    <cellStyle name="Normal 34 3 4" xfId="3789"/>
    <cellStyle name="Normal 34 3 4 2" xfId="3790"/>
    <cellStyle name="Normal 34 3 5" xfId="3791"/>
    <cellStyle name="Normal 34 4" xfId="3792"/>
    <cellStyle name="Normal 34 4 2" xfId="3793"/>
    <cellStyle name="Normal 34 4 2 2" xfId="3794"/>
    <cellStyle name="Normal 34 4 2 2 2" xfId="3795"/>
    <cellStyle name="Normal 34 4 2 3" xfId="3796"/>
    <cellStyle name="Normal 34 4 3" xfId="3797"/>
    <cellStyle name="Normal 34 4 3 2" xfId="3798"/>
    <cellStyle name="Normal 34 4 4" xfId="3799"/>
    <cellStyle name="Normal 34 4 4 2" xfId="3800"/>
    <cellStyle name="Normal 34 4 5" xfId="3801"/>
    <cellStyle name="Normal 34 5" xfId="3802"/>
    <cellStyle name="Normal 34 5 2" xfId="3803"/>
    <cellStyle name="Normal 34 5 2 2" xfId="3804"/>
    <cellStyle name="Normal 34 5 2 2 2" xfId="3805"/>
    <cellStyle name="Normal 34 5 2 3" xfId="3806"/>
    <cellStyle name="Normal 34 5 3" xfId="3807"/>
    <cellStyle name="Normal 34 5 3 2" xfId="3808"/>
    <cellStyle name="Normal 34 5 4" xfId="3809"/>
    <cellStyle name="Normal 34 5 4 2" xfId="3810"/>
    <cellStyle name="Normal 34 5 5" xfId="3811"/>
    <cellStyle name="Normal 34 6" xfId="3812"/>
    <cellStyle name="Normal 34 6 2" xfId="3813"/>
    <cellStyle name="Normal 34 6 2 2" xfId="3814"/>
    <cellStyle name="Normal 34 6 2 2 2" xfId="3815"/>
    <cellStyle name="Normal 34 6 2 3" xfId="3816"/>
    <cellStyle name="Normal 34 6 3" xfId="3817"/>
    <cellStyle name="Normal 34 6 3 2" xfId="3818"/>
    <cellStyle name="Normal 34 6 4" xfId="3819"/>
    <cellStyle name="Normal 34 6 4 2" xfId="3820"/>
    <cellStyle name="Normal 34 6 5" xfId="3821"/>
    <cellStyle name="Normal 34 7" xfId="3822"/>
    <cellStyle name="Normal 34 7 2" xfId="3823"/>
    <cellStyle name="Normal 34 7 2 2" xfId="3824"/>
    <cellStyle name="Normal 34 7 2 2 2" xfId="3825"/>
    <cellStyle name="Normal 34 7 2 3" xfId="3826"/>
    <cellStyle name="Normal 34 7 3" xfId="3827"/>
    <cellStyle name="Normal 34 7 3 2" xfId="3828"/>
    <cellStyle name="Normal 34 7 4" xfId="3829"/>
    <cellStyle name="Normal 34 8" xfId="3830"/>
    <cellStyle name="Normal 34 8 2" xfId="3831"/>
    <cellStyle name="Normal 34 8 2 2" xfId="3832"/>
    <cellStyle name="Normal 34 8 2 2 2" xfId="3833"/>
    <cellStyle name="Normal 34 8 2 3" xfId="3834"/>
    <cellStyle name="Normal 34 8 3" xfId="3835"/>
    <cellStyle name="Normal 34 8 3 2" xfId="3836"/>
    <cellStyle name="Normal 34 8 4" xfId="3837"/>
    <cellStyle name="Normal 34 9" xfId="3838"/>
    <cellStyle name="Normal 34 9 2" xfId="3839"/>
    <cellStyle name="Normal 34 9 2 2" xfId="3840"/>
    <cellStyle name="Normal 34 9 3" xfId="3841"/>
    <cellStyle name="Normal 35" xfId="3842"/>
    <cellStyle name="Normal 35 10" xfId="3843"/>
    <cellStyle name="Normal 35 10 2" xfId="3844"/>
    <cellStyle name="Normal 35 11" xfId="3845"/>
    <cellStyle name="Normal 35 11 2" xfId="3846"/>
    <cellStyle name="Normal 35 12" xfId="3847"/>
    <cellStyle name="Normal 35 2" xfId="3848"/>
    <cellStyle name="Normal 35 2 2" xfId="3849"/>
    <cellStyle name="Normal 35 2 2 2" xfId="3850"/>
    <cellStyle name="Normal 35 2 2 2 2" xfId="3851"/>
    <cellStyle name="Normal 35 2 2 3" xfId="3852"/>
    <cellStyle name="Normal 35 2 3" xfId="3853"/>
    <cellStyle name="Normal 35 2 3 2" xfId="3854"/>
    <cellStyle name="Normal 35 2 4" xfId="3855"/>
    <cellStyle name="Normal 35 2 4 2" xfId="3856"/>
    <cellStyle name="Normal 35 2 5" xfId="3857"/>
    <cellStyle name="Normal 35 3" xfId="3858"/>
    <cellStyle name="Normal 35 3 2" xfId="3859"/>
    <cellStyle name="Normal 35 3 2 2" xfId="3860"/>
    <cellStyle name="Normal 35 3 2 2 2" xfId="3861"/>
    <cellStyle name="Normal 35 3 2 3" xfId="3862"/>
    <cellStyle name="Normal 35 3 3" xfId="3863"/>
    <cellStyle name="Normal 35 3 3 2" xfId="3864"/>
    <cellStyle name="Normal 35 3 4" xfId="3865"/>
    <cellStyle name="Normal 35 3 4 2" xfId="3866"/>
    <cellStyle name="Normal 35 3 5" xfId="3867"/>
    <cellStyle name="Normal 35 4" xfId="3868"/>
    <cellStyle name="Normal 35 4 2" xfId="3869"/>
    <cellStyle name="Normal 35 4 2 2" xfId="3870"/>
    <cellStyle name="Normal 35 4 2 2 2" xfId="3871"/>
    <cellStyle name="Normal 35 4 2 3" xfId="3872"/>
    <cellStyle name="Normal 35 4 3" xfId="3873"/>
    <cellStyle name="Normal 35 4 3 2" xfId="3874"/>
    <cellStyle name="Normal 35 4 4" xfId="3875"/>
    <cellStyle name="Normal 35 4 4 2" xfId="3876"/>
    <cellStyle name="Normal 35 4 5" xfId="3877"/>
    <cellStyle name="Normal 35 5" xfId="3878"/>
    <cellStyle name="Normal 35 5 2" xfId="3879"/>
    <cellStyle name="Normal 35 5 2 2" xfId="3880"/>
    <cellStyle name="Normal 35 5 2 2 2" xfId="3881"/>
    <cellStyle name="Normal 35 5 2 3" xfId="3882"/>
    <cellStyle name="Normal 35 5 3" xfId="3883"/>
    <cellStyle name="Normal 35 5 3 2" xfId="3884"/>
    <cellStyle name="Normal 35 5 4" xfId="3885"/>
    <cellStyle name="Normal 35 5 4 2" xfId="3886"/>
    <cellStyle name="Normal 35 5 5" xfId="3887"/>
    <cellStyle name="Normal 35 6" xfId="3888"/>
    <cellStyle name="Normal 35 6 2" xfId="3889"/>
    <cellStyle name="Normal 35 6 2 2" xfId="3890"/>
    <cellStyle name="Normal 35 6 2 2 2" xfId="3891"/>
    <cellStyle name="Normal 35 6 2 3" xfId="3892"/>
    <cellStyle name="Normal 35 6 3" xfId="3893"/>
    <cellStyle name="Normal 35 6 3 2" xfId="3894"/>
    <cellStyle name="Normal 35 6 4" xfId="3895"/>
    <cellStyle name="Normal 35 6 4 2" xfId="3896"/>
    <cellStyle name="Normal 35 6 5" xfId="3897"/>
    <cellStyle name="Normal 35 7" xfId="3898"/>
    <cellStyle name="Normal 35 7 2" xfId="3899"/>
    <cellStyle name="Normal 35 7 2 2" xfId="3900"/>
    <cellStyle name="Normal 35 7 2 2 2" xfId="3901"/>
    <cellStyle name="Normal 35 7 2 3" xfId="3902"/>
    <cellStyle name="Normal 35 7 3" xfId="3903"/>
    <cellStyle name="Normal 35 7 3 2" xfId="3904"/>
    <cellStyle name="Normal 35 7 4" xfId="3905"/>
    <cellStyle name="Normal 35 8" xfId="3906"/>
    <cellStyle name="Normal 35 8 2" xfId="3907"/>
    <cellStyle name="Normal 35 8 2 2" xfId="3908"/>
    <cellStyle name="Normal 35 8 2 2 2" xfId="3909"/>
    <cellStyle name="Normal 35 8 2 3" xfId="3910"/>
    <cellStyle name="Normal 35 8 3" xfId="3911"/>
    <cellStyle name="Normal 35 8 3 2" xfId="3912"/>
    <cellStyle name="Normal 35 8 4" xfId="3913"/>
    <cellStyle name="Normal 35 9" xfId="3914"/>
    <cellStyle name="Normal 35 9 2" xfId="3915"/>
    <cellStyle name="Normal 35 9 2 2" xfId="3916"/>
    <cellStyle name="Normal 35 9 3" xfId="3917"/>
    <cellStyle name="Normal 36" xfId="3918"/>
    <cellStyle name="Normal 36 2" xfId="3919"/>
    <cellStyle name="Normal 37" xfId="3920"/>
    <cellStyle name="Normal 37 2" xfId="3921"/>
    <cellStyle name="Normal 38" xfId="3922"/>
    <cellStyle name="Normal 38 2" xfId="3923"/>
    <cellStyle name="Normal 38 2 2" xfId="3924"/>
    <cellStyle name="Normal 38 2 2 2" xfId="3925"/>
    <cellStyle name="Normal 38 2 3" xfId="3926"/>
    <cellStyle name="Normal 38 3" xfId="3927"/>
    <cellStyle name="Normal 38 3 2" xfId="3928"/>
    <cellStyle name="Normal 38 4" xfId="3929"/>
    <cellStyle name="Normal 38 4 2" xfId="3930"/>
    <cellStyle name="Normal 38 5" xfId="3931"/>
    <cellStyle name="Normal 39" xfId="3932"/>
    <cellStyle name="Normal 39 2" xfId="3933"/>
    <cellStyle name="Normal 4" xfId="28"/>
    <cellStyle name="Normal 4 10" xfId="375"/>
    <cellStyle name="Normal 4 10 2" xfId="3934"/>
    <cellStyle name="Normal 4 11" xfId="391"/>
    <cellStyle name="Normal 4 12" xfId="405"/>
    <cellStyle name="Normal 4 12 2" xfId="3936"/>
    <cellStyle name="Normal 4 12 3" xfId="3935"/>
    <cellStyle name="Normal 4 13" xfId="417"/>
    <cellStyle name="Normal 4 13 2" xfId="3938"/>
    <cellStyle name="Normal 4 13 3" xfId="3937"/>
    <cellStyle name="Normal 4 14" xfId="429"/>
    <cellStyle name="Normal 4 14 2" xfId="4619"/>
    <cellStyle name="Normal 4 15" xfId="392"/>
    <cellStyle name="Normal 4 16" xfId="460"/>
    <cellStyle name="Normal 4 16 2" xfId="10235"/>
    <cellStyle name="Normal 4 17" xfId="467"/>
    <cellStyle name="Normal 4 17 2" xfId="1178"/>
    <cellStyle name="Normal 4 18" xfId="494"/>
    <cellStyle name="Normal 4 19" xfId="536"/>
    <cellStyle name="Normal 4 2" xfId="218"/>
    <cellStyle name="Normal 4 2 10" xfId="3940"/>
    <cellStyle name="Normal 4 2 10 2" xfId="5181"/>
    <cellStyle name="Normal 4 2 10 2 2" xfId="6806"/>
    <cellStyle name="Normal 4 2 10 2 2 2" xfId="9892"/>
    <cellStyle name="Normal 4 2 10 2 2 2 2" xfId="16085"/>
    <cellStyle name="Normal 4 2 10 2 2 2 3" xfId="22237"/>
    <cellStyle name="Normal 4 2 10 2 2 3" xfId="13019"/>
    <cellStyle name="Normal 4 2 10 2 2 4" xfId="19171"/>
    <cellStyle name="Normal 4 2 10 2 3" xfId="8357"/>
    <cellStyle name="Normal 4 2 10 2 3 2" xfId="14551"/>
    <cellStyle name="Normal 4 2 10 2 3 3" xfId="20703"/>
    <cellStyle name="Normal 4 2 10 2 4" xfId="11485"/>
    <cellStyle name="Normal 4 2 10 2 5" xfId="17637"/>
    <cellStyle name="Normal 4 2 10 3" xfId="6023"/>
    <cellStyle name="Normal 4 2 10 3 2" xfId="9123"/>
    <cellStyle name="Normal 4 2 10 3 2 2" xfId="15316"/>
    <cellStyle name="Normal 4 2 10 3 2 3" xfId="21468"/>
    <cellStyle name="Normal 4 2 10 3 3" xfId="12250"/>
    <cellStyle name="Normal 4 2 10 3 4" xfId="18402"/>
    <cellStyle name="Normal 4 2 10 4" xfId="7588"/>
    <cellStyle name="Normal 4 2 10 4 2" xfId="13782"/>
    <cellStyle name="Normal 4 2 10 4 3" xfId="19934"/>
    <cellStyle name="Normal 4 2 10 5" xfId="10716"/>
    <cellStyle name="Normal 4 2 10 6" xfId="16868"/>
    <cellStyle name="Normal 4 2 11" xfId="3941"/>
    <cellStyle name="Normal 4 2 11 2" xfId="5182"/>
    <cellStyle name="Normal 4 2 11 2 2" xfId="6807"/>
    <cellStyle name="Normal 4 2 11 2 2 2" xfId="9893"/>
    <cellStyle name="Normal 4 2 11 2 2 2 2" xfId="16086"/>
    <cellStyle name="Normal 4 2 11 2 2 2 3" xfId="22238"/>
    <cellStyle name="Normal 4 2 11 2 2 3" xfId="13020"/>
    <cellStyle name="Normal 4 2 11 2 2 4" xfId="19172"/>
    <cellStyle name="Normal 4 2 11 2 3" xfId="8358"/>
    <cellStyle name="Normal 4 2 11 2 3 2" xfId="14552"/>
    <cellStyle name="Normal 4 2 11 2 3 3" xfId="20704"/>
    <cellStyle name="Normal 4 2 11 2 4" xfId="11486"/>
    <cellStyle name="Normal 4 2 11 2 5" xfId="17638"/>
    <cellStyle name="Normal 4 2 11 3" xfId="6024"/>
    <cellStyle name="Normal 4 2 11 3 2" xfId="9124"/>
    <cellStyle name="Normal 4 2 11 3 2 2" xfId="15317"/>
    <cellStyle name="Normal 4 2 11 3 2 3" xfId="21469"/>
    <cellStyle name="Normal 4 2 11 3 3" xfId="12251"/>
    <cellStyle name="Normal 4 2 11 3 4" xfId="18403"/>
    <cellStyle name="Normal 4 2 11 4" xfId="7589"/>
    <cellStyle name="Normal 4 2 11 4 2" xfId="13783"/>
    <cellStyle name="Normal 4 2 11 4 3" xfId="19935"/>
    <cellStyle name="Normal 4 2 11 5" xfId="10717"/>
    <cellStyle name="Normal 4 2 11 6" xfId="16869"/>
    <cellStyle name="Normal 4 2 12" xfId="3942"/>
    <cellStyle name="Normal 4 2 12 2" xfId="5183"/>
    <cellStyle name="Normal 4 2 12 2 2" xfId="6808"/>
    <cellStyle name="Normal 4 2 12 2 2 2" xfId="9894"/>
    <cellStyle name="Normal 4 2 12 2 2 2 2" xfId="16087"/>
    <cellStyle name="Normal 4 2 12 2 2 2 3" xfId="22239"/>
    <cellStyle name="Normal 4 2 12 2 2 3" xfId="13021"/>
    <cellStyle name="Normal 4 2 12 2 2 4" xfId="19173"/>
    <cellStyle name="Normal 4 2 12 2 3" xfId="8359"/>
    <cellStyle name="Normal 4 2 12 2 3 2" xfId="14553"/>
    <cellStyle name="Normal 4 2 12 2 3 3" xfId="20705"/>
    <cellStyle name="Normal 4 2 12 2 4" xfId="11487"/>
    <cellStyle name="Normal 4 2 12 2 5" xfId="17639"/>
    <cellStyle name="Normal 4 2 12 3" xfId="6025"/>
    <cellStyle name="Normal 4 2 12 3 2" xfId="9125"/>
    <cellStyle name="Normal 4 2 12 3 2 2" xfId="15318"/>
    <cellStyle name="Normal 4 2 12 3 2 3" xfId="21470"/>
    <cellStyle name="Normal 4 2 12 3 3" xfId="12252"/>
    <cellStyle name="Normal 4 2 12 3 4" xfId="18404"/>
    <cellStyle name="Normal 4 2 12 4" xfId="7590"/>
    <cellStyle name="Normal 4 2 12 4 2" xfId="13784"/>
    <cellStyle name="Normal 4 2 12 4 3" xfId="19936"/>
    <cellStyle name="Normal 4 2 12 5" xfId="10718"/>
    <cellStyle name="Normal 4 2 12 6" xfId="16870"/>
    <cellStyle name="Normal 4 2 13" xfId="3943"/>
    <cellStyle name="Normal 4 2 13 2" xfId="5184"/>
    <cellStyle name="Normal 4 2 13 2 2" xfId="6809"/>
    <cellStyle name="Normal 4 2 13 2 2 2" xfId="9895"/>
    <cellStyle name="Normal 4 2 13 2 2 2 2" xfId="16088"/>
    <cellStyle name="Normal 4 2 13 2 2 2 3" xfId="22240"/>
    <cellStyle name="Normal 4 2 13 2 2 3" xfId="13022"/>
    <cellStyle name="Normal 4 2 13 2 2 4" xfId="19174"/>
    <cellStyle name="Normal 4 2 13 2 3" xfId="8360"/>
    <cellStyle name="Normal 4 2 13 2 3 2" xfId="14554"/>
    <cellStyle name="Normal 4 2 13 2 3 3" xfId="20706"/>
    <cellStyle name="Normal 4 2 13 2 4" xfId="11488"/>
    <cellStyle name="Normal 4 2 13 2 5" xfId="17640"/>
    <cellStyle name="Normal 4 2 13 3" xfId="6026"/>
    <cellStyle name="Normal 4 2 13 3 2" xfId="9126"/>
    <cellStyle name="Normal 4 2 13 3 2 2" xfId="15319"/>
    <cellStyle name="Normal 4 2 13 3 2 3" xfId="21471"/>
    <cellStyle name="Normal 4 2 13 3 3" xfId="12253"/>
    <cellStyle name="Normal 4 2 13 3 4" xfId="18405"/>
    <cellStyle name="Normal 4 2 13 4" xfId="7591"/>
    <cellStyle name="Normal 4 2 13 4 2" xfId="13785"/>
    <cellStyle name="Normal 4 2 13 4 3" xfId="19937"/>
    <cellStyle name="Normal 4 2 13 5" xfId="10719"/>
    <cellStyle name="Normal 4 2 13 6" xfId="16871"/>
    <cellStyle name="Normal 4 2 14" xfId="3944"/>
    <cellStyle name="Normal 4 2 14 2" xfId="5185"/>
    <cellStyle name="Normal 4 2 14 2 2" xfId="6810"/>
    <cellStyle name="Normal 4 2 14 2 2 2" xfId="9896"/>
    <cellStyle name="Normal 4 2 14 2 2 2 2" xfId="16089"/>
    <cellStyle name="Normal 4 2 14 2 2 2 3" xfId="22241"/>
    <cellStyle name="Normal 4 2 14 2 2 3" xfId="13023"/>
    <cellStyle name="Normal 4 2 14 2 2 4" xfId="19175"/>
    <cellStyle name="Normal 4 2 14 2 3" xfId="8361"/>
    <cellStyle name="Normal 4 2 14 2 3 2" xfId="14555"/>
    <cellStyle name="Normal 4 2 14 2 3 3" xfId="20707"/>
    <cellStyle name="Normal 4 2 14 2 4" xfId="11489"/>
    <cellStyle name="Normal 4 2 14 2 5" xfId="17641"/>
    <cellStyle name="Normal 4 2 14 3" xfId="6027"/>
    <cellStyle name="Normal 4 2 14 3 2" xfId="9127"/>
    <cellStyle name="Normal 4 2 14 3 2 2" xfId="15320"/>
    <cellStyle name="Normal 4 2 14 3 2 3" xfId="21472"/>
    <cellStyle name="Normal 4 2 14 3 3" xfId="12254"/>
    <cellStyle name="Normal 4 2 14 3 4" xfId="18406"/>
    <cellStyle name="Normal 4 2 14 4" xfId="7592"/>
    <cellStyle name="Normal 4 2 14 4 2" xfId="13786"/>
    <cellStyle name="Normal 4 2 14 4 3" xfId="19938"/>
    <cellStyle name="Normal 4 2 14 5" xfId="10720"/>
    <cellStyle name="Normal 4 2 14 6" xfId="16872"/>
    <cellStyle name="Normal 4 2 15" xfId="3945"/>
    <cellStyle name="Normal 4 2 15 2" xfId="5186"/>
    <cellStyle name="Normal 4 2 15 2 2" xfId="6811"/>
    <cellStyle name="Normal 4 2 15 2 2 2" xfId="9897"/>
    <cellStyle name="Normal 4 2 15 2 2 2 2" xfId="16090"/>
    <cellStyle name="Normal 4 2 15 2 2 2 3" xfId="22242"/>
    <cellStyle name="Normal 4 2 15 2 2 3" xfId="13024"/>
    <cellStyle name="Normal 4 2 15 2 2 4" xfId="19176"/>
    <cellStyle name="Normal 4 2 15 2 3" xfId="8362"/>
    <cellStyle name="Normal 4 2 15 2 3 2" xfId="14556"/>
    <cellStyle name="Normal 4 2 15 2 3 3" xfId="20708"/>
    <cellStyle name="Normal 4 2 15 2 4" xfId="11490"/>
    <cellStyle name="Normal 4 2 15 2 5" xfId="17642"/>
    <cellStyle name="Normal 4 2 15 3" xfId="6028"/>
    <cellStyle name="Normal 4 2 15 3 2" xfId="9128"/>
    <cellStyle name="Normal 4 2 15 3 2 2" xfId="15321"/>
    <cellStyle name="Normal 4 2 15 3 2 3" xfId="21473"/>
    <cellStyle name="Normal 4 2 15 3 3" xfId="12255"/>
    <cellStyle name="Normal 4 2 15 3 4" xfId="18407"/>
    <cellStyle name="Normal 4 2 15 4" xfId="7593"/>
    <cellStyle name="Normal 4 2 15 4 2" xfId="13787"/>
    <cellStyle name="Normal 4 2 15 4 3" xfId="19939"/>
    <cellStyle name="Normal 4 2 15 5" xfId="10721"/>
    <cellStyle name="Normal 4 2 15 6" xfId="16873"/>
    <cellStyle name="Normal 4 2 16" xfId="3946"/>
    <cellStyle name="Normal 4 2 16 2" xfId="5187"/>
    <cellStyle name="Normal 4 2 16 2 2" xfId="6812"/>
    <cellStyle name="Normal 4 2 16 2 2 2" xfId="9898"/>
    <cellStyle name="Normal 4 2 16 2 2 2 2" xfId="16091"/>
    <cellStyle name="Normal 4 2 16 2 2 2 3" xfId="22243"/>
    <cellStyle name="Normal 4 2 16 2 2 3" xfId="13025"/>
    <cellStyle name="Normal 4 2 16 2 2 4" xfId="19177"/>
    <cellStyle name="Normal 4 2 16 2 3" xfId="8363"/>
    <cellStyle name="Normal 4 2 16 2 3 2" xfId="14557"/>
    <cellStyle name="Normal 4 2 16 2 3 3" xfId="20709"/>
    <cellStyle name="Normal 4 2 16 2 4" xfId="11491"/>
    <cellStyle name="Normal 4 2 16 2 5" xfId="17643"/>
    <cellStyle name="Normal 4 2 16 3" xfId="6029"/>
    <cellStyle name="Normal 4 2 16 3 2" xfId="9129"/>
    <cellStyle name="Normal 4 2 16 3 2 2" xfId="15322"/>
    <cellStyle name="Normal 4 2 16 3 2 3" xfId="21474"/>
    <cellStyle name="Normal 4 2 16 3 3" xfId="12256"/>
    <cellStyle name="Normal 4 2 16 3 4" xfId="18408"/>
    <cellStyle name="Normal 4 2 16 4" xfId="7594"/>
    <cellStyle name="Normal 4 2 16 4 2" xfId="13788"/>
    <cellStyle name="Normal 4 2 16 4 3" xfId="19940"/>
    <cellStyle name="Normal 4 2 16 5" xfId="10722"/>
    <cellStyle name="Normal 4 2 16 6" xfId="16874"/>
    <cellStyle name="Normal 4 2 17" xfId="3947"/>
    <cellStyle name="Normal 4 2 17 2" xfId="5188"/>
    <cellStyle name="Normal 4 2 17 2 2" xfId="6813"/>
    <cellStyle name="Normal 4 2 17 2 2 2" xfId="9899"/>
    <cellStyle name="Normal 4 2 17 2 2 2 2" xfId="16092"/>
    <cellStyle name="Normal 4 2 17 2 2 2 3" xfId="22244"/>
    <cellStyle name="Normal 4 2 17 2 2 3" xfId="13026"/>
    <cellStyle name="Normal 4 2 17 2 2 4" xfId="19178"/>
    <cellStyle name="Normal 4 2 17 2 3" xfId="8364"/>
    <cellStyle name="Normal 4 2 17 2 3 2" xfId="14558"/>
    <cellStyle name="Normal 4 2 17 2 3 3" xfId="20710"/>
    <cellStyle name="Normal 4 2 17 2 4" xfId="11492"/>
    <cellStyle name="Normal 4 2 17 2 5" xfId="17644"/>
    <cellStyle name="Normal 4 2 17 3" xfId="6030"/>
    <cellStyle name="Normal 4 2 17 3 2" xfId="9130"/>
    <cellStyle name="Normal 4 2 17 3 2 2" xfId="15323"/>
    <cellStyle name="Normal 4 2 17 3 2 3" xfId="21475"/>
    <cellStyle name="Normal 4 2 17 3 3" xfId="12257"/>
    <cellStyle name="Normal 4 2 17 3 4" xfId="18409"/>
    <cellStyle name="Normal 4 2 17 4" xfId="7595"/>
    <cellStyle name="Normal 4 2 17 4 2" xfId="13789"/>
    <cellStyle name="Normal 4 2 17 4 3" xfId="19941"/>
    <cellStyle name="Normal 4 2 17 5" xfId="10723"/>
    <cellStyle name="Normal 4 2 17 6" xfId="16875"/>
    <cellStyle name="Normal 4 2 18" xfId="3948"/>
    <cellStyle name="Normal 4 2 18 2" xfId="5189"/>
    <cellStyle name="Normal 4 2 18 2 2" xfId="6814"/>
    <cellStyle name="Normal 4 2 18 2 2 2" xfId="9900"/>
    <cellStyle name="Normal 4 2 18 2 2 2 2" xfId="16093"/>
    <cellStyle name="Normal 4 2 18 2 2 2 3" xfId="22245"/>
    <cellStyle name="Normal 4 2 18 2 2 3" xfId="13027"/>
    <cellStyle name="Normal 4 2 18 2 2 4" xfId="19179"/>
    <cellStyle name="Normal 4 2 18 2 3" xfId="8365"/>
    <cellStyle name="Normal 4 2 18 2 3 2" xfId="14559"/>
    <cellStyle name="Normal 4 2 18 2 3 3" xfId="20711"/>
    <cellStyle name="Normal 4 2 18 2 4" xfId="11493"/>
    <cellStyle name="Normal 4 2 18 2 5" xfId="17645"/>
    <cellStyle name="Normal 4 2 18 3" xfId="6031"/>
    <cellStyle name="Normal 4 2 18 3 2" xfId="9131"/>
    <cellStyle name="Normal 4 2 18 3 2 2" xfId="15324"/>
    <cellStyle name="Normal 4 2 18 3 2 3" xfId="21476"/>
    <cellStyle name="Normal 4 2 18 3 3" xfId="12258"/>
    <cellStyle name="Normal 4 2 18 3 4" xfId="18410"/>
    <cellStyle name="Normal 4 2 18 4" xfId="7596"/>
    <cellStyle name="Normal 4 2 18 4 2" xfId="13790"/>
    <cellStyle name="Normal 4 2 18 4 3" xfId="19942"/>
    <cellStyle name="Normal 4 2 18 5" xfId="10724"/>
    <cellStyle name="Normal 4 2 18 6" xfId="16876"/>
    <cellStyle name="Normal 4 2 19" xfId="3949"/>
    <cellStyle name="Normal 4 2 19 2" xfId="5190"/>
    <cellStyle name="Normal 4 2 19 2 2" xfId="6815"/>
    <cellStyle name="Normal 4 2 19 2 2 2" xfId="9901"/>
    <cellStyle name="Normal 4 2 19 2 2 2 2" xfId="16094"/>
    <cellStyle name="Normal 4 2 19 2 2 2 3" xfId="22246"/>
    <cellStyle name="Normal 4 2 19 2 2 3" xfId="13028"/>
    <cellStyle name="Normal 4 2 19 2 2 4" xfId="19180"/>
    <cellStyle name="Normal 4 2 19 2 3" xfId="8366"/>
    <cellStyle name="Normal 4 2 19 2 3 2" xfId="14560"/>
    <cellStyle name="Normal 4 2 19 2 3 3" xfId="20712"/>
    <cellStyle name="Normal 4 2 19 2 4" xfId="11494"/>
    <cellStyle name="Normal 4 2 19 2 5" xfId="17646"/>
    <cellStyle name="Normal 4 2 19 3" xfId="6032"/>
    <cellStyle name="Normal 4 2 19 3 2" xfId="9132"/>
    <cellStyle name="Normal 4 2 19 3 2 2" xfId="15325"/>
    <cellStyle name="Normal 4 2 19 3 2 3" xfId="21477"/>
    <cellStyle name="Normal 4 2 19 3 3" xfId="12259"/>
    <cellStyle name="Normal 4 2 19 3 4" xfId="18411"/>
    <cellStyle name="Normal 4 2 19 4" xfId="7597"/>
    <cellStyle name="Normal 4 2 19 4 2" xfId="13791"/>
    <cellStyle name="Normal 4 2 19 4 3" xfId="19943"/>
    <cellStyle name="Normal 4 2 19 5" xfId="10725"/>
    <cellStyle name="Normal 4 2 19 6" xfId="16877"/>
    <cellStyle name="Normal 4 2 2" xfId="3950"/>
    <cellStyle name="Normal 4 2 2 10" xfId="16878"/>
    <cellStyle name="Normal 4 2 2 2" xfId="3951"/>
    <cellStyle name="Normal 4 2 2 2 2" xfId="5192"/>
    <cellStyle name="Normal 4 2 2 2 2 2" xfId="6817"/>
    <cellStyle name="Normal 4 2 2 2 2 2 2" xfId="9903"/>
    <cellStyle name="Normal 4 2 2 2 2 2 2 2" xfId="16096"/>
    <cellStyle name="Normal 4 2 2 2 2 2 2 3" xfId="22248"/>
    <cellStyle name="Normal 4 2 2 2 2 2 3" xfId="13030"/>
    <cellStyle name="Normal 4 2 2 2 2 2 4" xfId="19182"/>
    <cellStyle name="Normal 4 2 2 2 2 3" xfId="8368"/>
    <cellStyle name="Normal 4 2 2 2 2 3 2" xfId="14562"/>
    <cellStyle name="Normal 4 2 2 2 2 3 3" xfId="20714"/>
    <cellStyle name="Normal 4 2 2 2 2 4" xfId="11496"/>
    <cellStyle name="Normal 4 2 2 2 2 5" xfId="17648"/>
    <cellStyle name="Normal 4 2 2 2 3" xfId="6034"/>
    <cellStyle name="Normal 4 2 2 2 3 2" xfId="9134"/>
    <cellStyle name="Normal 4 2 2 2 3 2 2" xfId="15327"/>
    <cellStyle name="Normal 4 2 2 2 3 2 3" xfId="21479"/>
    <cellStyle name="Normal 4 2 2 2 3 3" xfId="12261"/>
    <cellStyle name="Normal 4 2 2 2 3 4" xfId="18413"/>
    <cellStyle name="Normal 4 2 2 2 4" xfId="7599"/>
    <cellStyle name="Normal 4 2 2 2 4 2" xfId="13793"/>
    <cellStyle name="Normal 4 2 2 2 4 3" xfId="19945"/>
    <cellStyle name="Normal 4 2 2 2 5" xfId="10727"/>
    <cellStyle name="Normal 4 2 2 2 6" xfId="16879"/>
    <cellStyle name="Normal 4 2 2 3" xfId="3952"/>
    <cellStyle name="Normal 4 2 2 3 2" xfId="5193"/>
    <cellStyle name="Normal 4 2 2 3 2 2" xfId="6818"/>
    <cellStyle name="Normal 4 2 2 3 2 2 2" xfId="9904"/>
    <cellStyle name="Normal 4 2 2 3 2 2 2 2" xfId="16097"/>
    <cellStyle name="Normal 4 2 2 3 2 2 2 3" xfId="22249"/>
    <cellStyle name="Normal 4 2 2 3 2 2 3" xfId="13031"/>
    <cellStyle name="Normal 4 2 2 3 2 2 4" xfId="19183"/>
    <cellStyle name="Normal 4 2 2 3 2 3" xfId="8369"/>
    <cellStyle name="Normal 4 2 2 3 2 3 2" xfId="14563"/>
    <cellStyle name="Normal 4 2 2 3 2 3 3" xfId="20715"/>
    <cellStyle name="Normal 4 2 2 3 2 4" xfId="11497"/>
    <cellStyle name="Normal 4 2 2 3 2 5" xfId="17649"/>
    <cellStyle name="Normal 4 2 2 3 3" xfId="6035"/>
    <cellStyle name="Normal 4 2 2 3 3 2" xfId="9135"/>
    <cellStyle name="Normal 4 2 2 3 3 2 2" xfId="15328"/>
    <cellStyle name="Normal 4 2 2 3 3 2 3" xfId="21480"/>
    <cellStyle name="Normal 4 2 2 3 3 3" xfId="12262"/>
    <cellStyle name="Normal 4 2 2 3 3 4" xfId="18414"/>
    <cellStyle name="Normal 4 2 2 3 4" xfId="7600"/>
    <cellStyle name="Normal 4 2 2 3 4 2" xfId="13794"/>
    <cellStyle name="Normal 4 2 2 3 4 3" xfId="19946"/>
    <cellStyle name="Normal 4 2 2 3 5" xfId="10728"/>
    <cellStyle name="Normal 4 2 2 3 6" xfId="16880"/>
    <cellStyle name="Normal 4 2 2 4" xfId="3953"/>
    <cellStyle name="Normal 4 2 2 4 2" xfId="5194"/>
    <cellStyle name="Normal 4 2 2 4 2 2" xfId="6819"/>
    <cellStyle name="Normal 4 2 2 4 2 2 2" xfId="9905"/>
    <cellStyle name="Normal 4 2 2 4 2 2 2 2" xfId="16098"/>
    <cellStyle name="Normal 4 2 2 4 2 2 2 3" xfId="22250"/>
    <cellStyle name="Normal 4 2 2 4 2 2 3" xfId="13032"/>
    <cellStyle name="Normal 4 2 2 4 2 2 4" xfId="19184"/>
    <cellStyle name="Normal 4 2 2 4 2 3" xfId="8370"/>
    <cellStyle name="Normal 4 2 2 4 2 3 2" xfId="14564"/>
    <cellStyle name="Normal 4 2 2 4 2 3 3" xfId="20716"/>
    <cellStyle name="Normal 4 2 2 4 2 4" xfId="11498"/>
    <cellStyle name="Normal 4 2 2 4 2 5" xfId="17650"/>
    <cellStyle name="Normal 4 2 2 4 3" xfId="6036"/>
    <cellStyle name="Normal 4 2 2 4 3 2" xfId="9136"/>
    <cellStyle name="Normal 4 2 2 4 3 2 2" xfId="15329"/>
    <cellStyle name="Normal 4 2 2 4 3 2 3" xfId="21481"/>
    <cellStyle name="Normal 4 2 2 4 3 3" xfId="12263"/>
    <cellStyle name="Normal 4 2 2 4 3 4" xfId="18415"/>
    <cellStyle name="Normal 4 2 2 4 4" xfId="7601"/>
    <cellStyle name="Normal 4 2 2 4 4 2" xfId="13795"/>
    <cellStyle name="Normal 4 2 2 4 4 3" xfId="19947"/>
    <cellStyle name="Normal 4 2 2 4 5" xfId="10729"/>
    <cellStyle name="Normal 4 2 2 4 6" xfId="16881"/>
    <cellStyle name="Normal 4 2 2 5" xfId="3954"/>
    <cellStyle name="Normal 4 2 2 5 2" xfId="5195"/>
    <cellStyle name="Normal 4 2 2 5 2 2" xfId="6820"/>
    <cellStyle name="Normal 4 2 2 5 2 2 2" xfId="9906"/>
    <cellStyle name="Normal 4 2 2 5 2 2 2 2" xfId="16099"/>
    <cellStyle name="Normal 4 2 2 5 2 2 2 3" xfId="22251"/>
    <cellStyle name="Normal 4 2 2 5 2 2 3" xfId="13033"/>
    <cellStyle name="Normal 4 2 2 5 2 2 4" xfId="19185"/>
    <cellStyle name="Normal 4 2 2 5 2 3" xfId="8371"/>
    <cellStyle name="Normal 4 2 2 5 2 3 2" xfId="14565"/>
    <cellStyle name="Normal 4 2 2 5 2 3 3" xfId="20717"/>
    <cellStyle name="Normal 4 2 2 5 2 4" xfId="11499"/>
    <cellStyle name="Normal 4 2 2 5 2 5" xfId="17651"/>
    <cellStyle name="Normal 4 2 2 5 3" xfId="6037"/>
    <cellStyle name="Normal 4 2 2 5 3 2" xfId="9137"/>
    <cellStyle name="Normal 4 2 2 5 3 2 2" xfId="15330"/>
    <cellStyle name="Normal 4 2 2 5 3 2 3" xfId="21482"/>
    <cellStyle name="Normal 4 2 2 5 3 3" xfId="12264"/>
    <cellStyle name="Normal 4 2 2 5 3 4" xfId="18416"/>
    <cellStyle name="Normal 4 2 2 5 4" xfId="7602"/>
    <cellStyle name="Normal 4 2 2 5 4 2" xfId="13796"/>
    <cellStyle name="Normal 4 2 2 5 4 3" xfId="19948"/>
    <cellStyle name="Normal 4 2 2 5 5" xfId="10730"/>
    <cellStyle name="Normal 4 2 2 5 6" xfId="16882"/>
    <cellStyle name="Normal 4 2 2 6" xfId="5191"/>
    <cellStyle name="Normal 4 2 2 6 2" xfId="6816"/>
    <cellStyle name="Normal 4 2 2 6 2 2" xfId="9902"/>
    <cellStyle name="Normal 4 2 2 6 2 2 2" xfId="16095"/>
    <cellStyle name="Normal 4 2 2 6 2 2 3" xfId="22247"/>
    <cellStyle name="Normal 4 2 2 6 2 3" xfId="13029"/>
    <cellStyle name="Normal 4 2 2 6 2 4" xfId="19181"/>
    <cellStyle name="Normal 4 2 2 6 3" xfId="8367"/>
    <cellStyle name="Normal 4 2 2 6 3 2" xfId="14561"/>
    <cellStyle name="Normal 4 2 2 6 3 3" xfId="20713"/>
    <cellStyle name="Normal 4 2 2 6 4" xfId="11495"/>
    <cellStyle name="Normal 4 2 2 6 5" xfId="17647"/>
    <cellStyle name="Normal 4 2 2 7" xfId="6033"/>
    <cellStyle name="Normal 4 2 2 7 2" xfId="9133"/>
    <cellStyle name="Normal 4 2 2 7 2 2" xfId="15326"/>
    <cellStyle name="Normal 4 2 2 7 2 3" xfId="21478"/>
    <cellStyle name="Normal 4 2 2 7 3" xfId="12260"/>
    <cellStyle name="Normal 4 2 2 7 4" xfId="18412"/>
    <cellStyle name="Normal 4 2 2 8" xfId="7598"/>
    <cellStyle name="Normal 4 2 2 8 2" xfId="13792"/>
    <cellStyle name="Normal 4 2 2 8 3" xfId="19944"/>
    <cellStyle name="Normal 4 2 2 9" xfId="10726"/>
    <cellStyle name="Normal 4 2 20" xfId="3955"/>
    <cellStyle name="Normal 4 2 20 2" xfId="5196"/>
    <cellStyle name="Normal 4 2 20 2 2" xfId="6821"/>
    <cellStyle name="Normal 4 2 20 2 2 2" xfId="9907"/>
    <cellStyle name="Normal 4 2 20 2 2 2 2" xfId="16100"/>
    <cellStyle name="Normal 4 2 20 2 2 2 3" xfId="22252"/>
    <cellStyle name="Normal 4 2 20 2 2 3" xfId="13034"/>
    <cellStyle name="Normal 4 2 20 2 2 4" xfId="19186"/>
    <cellStyle name="Normal 4 2 20 2 3" xfId="8372"/>
    <cellStyle name="Normal 4 2 20 2 3 2" xfId="14566"/>
    <cellStyle name="Normal 4 2 20 2 3 3" xfId="20718"/>
    <cellStyle name="Normal 4 2 20 2 4" xfId="11500"/>
    <cellStyle name="Normal 4 2 20 2 5" xfId="17652"/>
    <cellStyle name="Normal 4 2 20 3" xfId="6038"/>
    <cellStyle name="Normal 4 2 20 3 2" xfId="9138"/>
    <cellStyle name="Normal 4 2 20 3 2 2" xfId="15331"/>
    <cellStyle name="Normal 4 2 20 3 2 3" xfId="21483"/>
    <cellStyle name="Normal 4 2 20 3 3" xfId="12265"/>
    <cellStyle name="Normal 4 2 20 3 4" xfId="18417"/>
    <cellStyle name="Normal 4 2 20 4" xfId="7603"/>
    <cellStyle name="Normal 4 2 20 4 2" xfId="13797"/>
    <cellStyle name="Normal 4 2 20 4 3" xfId="19949"/>
    <cellStyle name="Normal 4 2 20 5" xfId="10731"/>
    <cellStyle name="Normal 4 2 20 6" xfId="16883"/>
    <cellStyle name="Normal 4 2 21" xfId="3956"/>
    <cellStyle name="Normal 4 2 21 2" xfId="5197"/>
    <cellStyle name="Normal 4 2 21 2 2" xfId="6822"/>
    <cellStyle name="Normal 4 2 21 2 2 2" xfId="9908"/>
    <cellStyle name="Normal 4 2 21 2 2 2 2" xfId="16101"/>
    <cellStyle name="Normal 4 2 21 2 2 2 3" xfId="22253"/>
    <cellStyle name="Normal 4 2 21 2 2 3" xfId="13035"/>
    <cellStyle name="Normal 4 2 21 2 2 4" xfId="19187"/>
    <cellStyle name="Normal 4 2 21 2 3" xfId="8373"/>
    <cellStyle name="Normal 4 2 21 2 3 2" xfId="14567"/>
    <cellStyle name="Normal 4 2 21 2 3 3" xfId="20719"/>
    <cellStyle name="Normal 4 2 21 2 4" xfId="11501"/>
    <cellStyle name="Normal 4 2 21 2 5" xfId="17653"/>
    <cellStyle name="Normal 4 2 21 3" xfId="6039"/>
    <cellStyle name="Normal 4 2 21 3 2" xfId="9139"/>
    <cellStyle name="Normal 4 2 21 3 2 2" xfId="15332"/>
    <cellStyle name="Normal 4 2 21 3 2 3" xfId="21484"/>
    <cellStyle name="Normal 4 2 21 3 3" xfId="12266"/>
    <cellStyle name="Normal 4 2 21 3 4" xfId="18418"/>
    <cellStyle name="Normal 4 2 21 4" xfId="7604"/>
    <cellStyle name="Normal 4 2 21 4 2" xfId="13798"/>
    <cellStyle name="Normal 4 2 21 4 3" xfId="19950"/>
    <cellStyle name="Normal 4 2 21 5" xfId="10732"/>
    <cellStyle name="Normal 4 2 21 6" xfId="16884"/>
    <cellStyle name="Normal 4 2 22" xfId="3957"/>
    <cellStyle name="Normal 4 2 22 2" xfId="5198"/>
    <cellStyle name="Normal 4 2 22 2 2" xfId="6823"/>
    <cellStyle name="Normal 4 2 22 2 2 2" xfId="9909"/>
    <cellStyle name="Normal 4 2 22 2 2 2 2" xfId="16102"/>
    <cellStyle name="Normal 4 2 22 2 2 2 3" xfId="22254"/>
    <cellStyle name="Normal 4 2 22 2 2 3" xfId="13036"/>
    <cellStyle name="Normal 4 2 22 2 2 4" xfId="19188"/>
    <cellStyle name="Normal 4 2 22 2 3" xfId="8374"/>
    <cellStyle name="Normal 4 2 22 2 3 2" xfId="14568"/>
    <cellStyle name="Normal 4 2 22 2 3 3" xfId="20720"/>
    <cellStyle name="Normal 4 2 22 2 4" xfId="11502"/>
    <cellStyle name="Normal 4 2 22 2 5" xfId="17654"/>
    <cellStyle name="Normal 4 2 22 3" xfId="6040"/>
    <cellStyle name="Normal 4 2 22 3 2" xfId="9140"/>
    <cellStyle name="Normal 4 2 22 3 2 2" xfId="15333"/>
    <cellStyle name="Normal 4 2 22 3 2 3" xfId="21485"/>
    <cellStyle name="Normal 4 2 22 3 3" xfId="12267"/>
    <cellStyle name="Normal 4 2 22 3 4" xfId="18419"/>
    <cellStyle name="Normal 4 2 22 4" xfId="7605"/>
    <cellStyle name="Normal 4 2 22 4 2" xfId="13799"/>
    <cellStyle name="Normal 4 2 22 4 3" xfId="19951"/>
    <cellStyle name="Normal 4 2 22 5" xfId="10733"/>
    <cellStyle name="Normal 4 2 22 6" xfId="16885"/>
    <cellStyle name="Normal 4 2 23" xfId="3958"/>
    <cellStyle name="Normal 4 2 23 2" xfId="5199"/>
    <cellStyle name="Normal 4 2 23 2 2" xfId="6824"/>
    <cellStyle name="Normal 4 2 23 2 2 2" xfId="9910"/>
    <cellStyle name="Normal 4 2 23 2 2 2 2" xfId="16103"/>
    <cellStyle name="Normal 4 2 23 2 2 2 3" xfId="22255"/>
    <cellStyle name="Normal 4 2 23 2 2 3" xfId="13037"/>
    <cellStyle name="Normal 4 2 23 2 2 4" xfId="19189"/>
    <cellStyle name="Normal 4 2 23 2 3" xfId="8375"/>
    <cellStyle name="Normal 4 2 23 2 3 2" xfId="14569"/>
    <cellStyle name="Normal 4 2 23 2 3 3" xfId="20721"/>
    <cellStyle name="Normal 4 2 23 2 4" xfId="11503"/>
    <cellStyle name="Normal 4 2 23 2 5" xfId="17655"/>
    <cellStyle name="Normal 4 2 23 3" xfId="6041"/>
    <cellStyle name="Normal 4 2 23 3 2" xfId="9141"/>
    <cellStyle name="Normal 4 2 23 3 2 2" xfId="15334"/>
    <cellStyle name="Normal 4 2 23 3 2 3" xfId="21486"/>
    <cellStyle name="Normal 4 2 23 3 3" xfId="12268"/>
    <cellStyle name="Normal 4 2 23 3 4" xfId="18420"/>
    <cellStyle name="Normal 4 2 23 4" xfId="7606"/>
    <cellStyle name="Normal 4 2 23 4 2" xfId="13800"/>
    <cellStyle name="Normal 4 2 23 4 3" xfId="19952"/>
    <cellStyle name="Normal 4 2 23 5" xfId="10734"/>
    <cellStyle name="Normal 4 2 23 6" xfId="16886"/>
    <cellStyle name="Normal 4 2 24" xfId="3959"/>
    <cellStyle name="Normal 4 2 24 2" xfId="5200"/>
    <cellStyle name="Normal 4 2 24 2 2" xfId="6825"/>
    <cellStyle name="Normal 4 2 24 2 2 2" xfId="9911"/>
    <cellStyle name="Normal 4 2 24 2 2 2 2" xfId="16104"/>
    <cellStyle name="Normal 4 2 24 2 2 2 3" xfId="22256"/>
    <cellStyle name="Normal 4 2 24 2 2 3" xfId="13038"/>
    <cellStyle name="Normal 4 2 24 2 2 4" xfId="19190"/>
    <cellStyle name="Normal 4 2 24 2 3" xfId="8376"/>
    <cellStyle name="Normal 4 2 24 2 3 2" xfId="14570"/>
    <cellStyle name="Normal 4 2 24 2 3 3" xfId="20722"/>
    <cellStyle name="Normal 4 2 24 2 4" xfId="11504"/>
    <cellStyle name="Normal 4 2 24 2 5" xfId="17656"/>
    <cellStyle name="Normal 4 2 24 3" xfId="6042"/>
    <cellStyle name="Normal 4 2 24 3 2" xfId="9142"/>
    <cellStyle name="Normal 4 2 24 3 2 2" xfId="15335"/>
    <cellStyle name="Normal 4 2 24 3 2 3" xfId="21487"/>
    <cellStyle name="Normal 4 2 24 3 3" xfId="12269"/>
    <cellStyle name="Normal 4 2 24 3 4" xfId="18421"/>
    <cellStyle name="Normal 4 2 24 4" xfId="7607"/>
    <cellStyle name="Normal 4 2 24 4 2" xfId="13801"/>
    <cellStyle name="Normal 4 2 24 4 3" xfId="19953"/>
    <cellStyle name="Normal 4 2 24 5" xfId="10735"/>
    <cellStyle name="Normal 4 2 24 6" xfId="16887"/>
    <cellStyle name="Normal 4 2 25" xfId="3960"/>
    <cellStyle name="Normal 4 2 26" xfId="3961"/>
    <cellStyle name="Normal 4 2 26 2" xfId="3962"/>
    <cellStyle name="Normal 4 2 27" xfId="3963"/>
    <cellStyle name="Normal 4 2 27 2" xfId="3964"/>
    <cellStyle name="Normal 4 2 28" xfId="10261"/>
    <cellStyle name="Normal 4 2 29" xfId="3939"/>
    <cellStyle name="Normal 4 2 3" xfId="3965"/>
    <cellStyle name="Normal 4 2 3 2" xfId="3966"/>
    <cellStyle name="Normal 4 2 3 2 2" xfId="5202"/>
    <cellStyle name="Normal 4 2 3 2 2 2" xfId="6827"/>
    <cellStyle name="Normal 4 2 3 2 2 2 2" xfId="9913"/>
    <cellStyle name="Normal 4 2 3 2 2 2 2 2" xfId="16106"/>
    <cellStyle name="Normal 4 2 3 2 2 2 2 3" xfId="22258"/>
    <cellStyle name="Normal 4 2 3 2 2 2 3" xfId="13040"/>
    <cellStyle name="Normal 4 2 3 2 2 2 4" xfId="19192"/>
    <cellStyle name="Normal 4 2 3 2 2 3" xfId="8378"/>
    <cellStyle name="Normal 4 2 3 2 2 3 2" xfId="14572"/>
    <cellStyle name="Normal 4 2 3 2 2 3 3" xfId="20724"/>
    <cellStyle name="Normal 4 2 3 2 2 4" xfId="11506"/>
    <cellStyle name="Normal 4 2 3 2 2 5" xfId="17658"/>
    <cellStyle name="Normal 4 2 3 2 3" xfId="6044"/>
    <cellStyle name="Normal 4 2 3 2 3 2" xfId="9144"/>
    <cellStyle name="Normal 4 2 3 2 3 2 2" xfId="15337"/>
    <cellStyle name="Normal 4 2 3 2 3 2 3" xfId="21489"/>
    <cellStyle name="Normal 4 2 3 2 3 3" xfId="12271"/>
    <cellStyle name="Normal 4 2 3 2 3 4" xfId="18423"/>
    <cellStyle name="Normal 4 2 3 2 4" xfId="7609"/>
    <cellStyle name="Normal 4 2 3 2 4 2" xfId="13803"/>
    <cellStyle name="Normal 4 2 3 2 4 3" xfId="19955"/>
    <cellStyle name="Normal 4 2 3 2 5" xfId="10737"/>
    <cellStyle name="Normal 4 2 3 2 6" xfId="16889"/>
    <cellStyle name="Normal 4 2 3 3" xfId="5201"/>
    <cellStyle name="Normal 4 2 3 3 2" xfId="6826"/>
    <cellStyle name="Normal 4 2 3 3 2 2" xfId="9912"/>
    <cellStyle name="Normal 4 2 3 3 2 2 2" xfId="16105"/>
    <cellStyle name="Normal 4 2 3 3 2 2 3" xfId="22257"/>
    <cellStyle name="Normal 4 2 3 3 2 3" xfId="13039"/>
    <cellStyle name="Normal 4 2 3 3 2 4" xfId="19191"/>
    <cellStyle name="Normal 4 2 3 3 3" xfId="8377"/>
    <cellStyle name="Normal 4 2 3 3 3 2" xfId="14571"/>
    <cellStyle name="Normal 4 2 3 3 3 3" xfId="20723"/>
    <cellStyle name="Normal 4 2 3 3 4" xfId="11505"/>
    <cellStyle name="Normal 4 2 3 3 5" xfId="17657"/>
    <cellStyle name="Normal 4 2 3 4" xfId="6043"/>
    <cellStyle name="Normal 4 2 3 4 2" xfId="9143"/>
    <cellStyle name="Normal 4 2 3 4 2 2" xfId="15336"/>
    <cellStyle name="Normal 4 2 3 4 2 3" xfId="21488"/>
    <cellStyle name="Normal 4 2 3 4 3" xfId="12270"/>
    <cellStyle name="Normal 4 2 3 4 4" xfId="18422"/>
    <cellStyle name="Normal 4 2 3 5" xfId="7608"/>
    <cellStyle name="Normal 4 2 3 5 2" xfId="13802"/>
    <cellStyle name="Normal 4 2 3 5 3" xfId="19954"/>
    <cellStyle name="Normal 4 2 3 6" xfId="10736"/>
    <cellStyle name="Normal 4 2 3 7" xfId="16888"/>
    <cellStyle name="Normal 4 2 30" xfId="23277"/>
    <cellStyle name="Normal 4 2 4" xfId="3967"/>
    <cellStyle name="Normal 4 2 4 2" xfId="3968"/>
    <cellStyle name="Normal 4 2 4 2 2" xfId="5204"/>
    <cellStyle name="Normal 4 2 4 2 2 2" xfId="6829"/>
    <cellStyle name="Normal 4 2 4 2 2 2 2" xfId="9915"/>
    <cellStyle name="Normal 4 2 4 2 2 2 2 2" xfId="16108"/>
    <cellStyle name="Normal 4 2 4 2 2 2 2 3" xfId="22260"/>
    <cellStyle name="Normal 4 2 4 2 2 2 3" xfId="13042"/>
    <cellStyle name="Normal 4 2 4 2 2 2 4" xfId="19194"/>
    <cellStyle name="Normal 4 2 4 2 2 3" xfId="8380"/>
    <cellStyle name="Normal 4 2 4 2 2 3 2" xfId="14574"/>
    <cellStyle name="Normal 4 2 4 2 2 3 3" xfId="20726"/>
    <cellStyle name="Normal 4 2 4 2 2 4" xfId="11508"/>
    <cellStyle name="Normal 4 2 4 2 2 5" xfId="17660"/>
    <cellStyle name="Normal 4 2 4 2 3" xfId="6046"/>
    <cellStyle name="Normal 4 2 4 2 3 2" xfId="9146"/>
    <cellStyle name="Normal 4 2 4 2 3 2 2" xfId="15339"/>
    <cellStyle name="Normal 4 2 4 2 3 2 3" xfId="21491"/>
    <cellStyle name="Normal 4 2 4 2 3 3" xfId="12273"/>
    <cellStyle name="Normal 4 2 4 2 3 4" xfId="18425"/>
    <cellStyle name="Normal 4 2 4 2 4" xfId="7611"/>
    <cellStyle name="Normal 4 2 4 2 4 2" xfId="13805"/>
    <cellStyle name="Normal 4 2 4 2 4 3" xfId="19957"/>
    <cellStyle name="Normal 4 2 4 2 5" xfId="10739"/>
    <cellStyle name="Normal 4 2 4 2 6" xfId="16891"/>
    <cellStyle name="Normal 4 2 4 3" xfId="5203"/>
    <cellStyle name="Normal 4 2 4 3 2" xfId="6828"/>
    <cellStyle name="Normal 4 2 4 3 2 2" xfId="9914"/>
    <cellStyle name="Normal 4 2 4 3 2 2 2" xfId="16107"/>
    <cellStyle name="Normal 4 2 4 3 2 2 3" xfId="22259"/>
    <cellStyle name="Normal 4 2 4 3 2 3" xfId="13041"/>
    <cellStyle name="Normal 4 2 4 3 2 4" xfId="19193"/>
    <cellStyle name="Normal 4 2 4 3 3" xfId="8379"/>
    <cellStyle name="Normal 4 2 4 3 3 2" xfId="14573"/>
    <cellStyle name="Normal 4 2 4 3 3 3" xfId="20725"/>
    <cellStyle name="Normal 4 2 4 3 4" xfId="11507"/>
    <cellStyle name="Normal 4 2 4 3 5" xfId="17659"/>
    <cellStyle name="Normal 4 2 4 4" xfId="6045"/>
    <cellStyle name="Normal 4 2 4 4 2" xfId="9145"/>
    <cellStyle name="Normal 4 2 4 4 2 2" xfId="15338"/>
    <cellStyle name="Normal 4 2 4 4 2 3" xfId="21490"/>
    <cellStyle name="Normal 4 2 4 4 3" xfId="12272"/>
    <cellStyle name="Normal 4 2 4 4 4" xfId="18424"/>
    <cellStyle name="Normal 4 2 4 5" xfId="7610"/>
    <cellStyle name="Normal 4 2 4 5 2" xfId="13804"/>
    <cellStyle name="Normal 4 2 4 5 3" xfId="19956"/>
    <cellStyle name="Normal 4 2 4 6" xfId="10738"/>
    <cellStyle name="Normal 4 2 4 7" xfId="16890"/>
    <cellStyle name="Normal 4 2 5" xfId="3969"/>
    <cellStyle name="Normal 4 2 5 2" xfId="3970"/>
    <cellStyle name="Normal 4 2 5 2 2" xfId="5206"/>
    <cellStyle name="Normal 4 2 5 2 2 2" xfId="6831"/>
    <cellStyle name="Normal 4 2 5 2 2 2 2" xfId="9917"/>
    <cellStyle name="Normal 4 2 5 2 2 2 2 2" xfId="16110"/>
    <cellStyle name="Normal 4 2 5 2 2 2 2 3" xfId="22262"/>
    <cellStyle name="Normal 4 2 5 2 2 2 3" xfId="13044"/>
    <cellStyle name="Normal 4 2 5 2 2 2 4" xfId="19196"/>
    <cellStyle name="Normal 4 2 5 2 2 3" xfId="8382"/>
    <cellStyle name="Normal 4 2 5 2 2 3 2" xfId="14576"/>
    <cellStyle name="Normal 4 2 5 2 2 3 3" xfId="20728"/>
    <cellStyle name="Normal 4 2 5 2 2 4" xfId="11510"/>
    <cellStyle name="Normal 4 2 5 2 2 5" xfId="17662"/>
    <cellStyle name="Normal 4 2 5 2 3" xfId="6048"/>
    <cellStyle name="Normal 4 2 5 2 3 2" xfId="9148"/>
    <cellStyle name="Normal 4 2 5 2 3 2 2" xfId="15341"/>
    <cellStyle name="Normal 4 2 5 2 3 2 3" xfId="21493"/>
    <cellStyle name="Normal 4 2 5 2 3 3" xfId="12275"/>
    <cellStyle name="Normal 4 2 5 2 3 4" xfId="18427"/>
    <cellStyle name="Normal 4 2 5 2 4" xfId="7613"/>
    <cellStyle name="Normal 4 2 5 2 4 2" xfId="13807"/>
    <cellStyle name="Normal 4 2 5 2 4 3" xfId="19959"/>
    <cellStyle name="Normal 4 2 5 2 5" xfId="10741"/>
    <cellStyle name="Normal 4 2 5 2 6" xfId="16893"/>
    <cellStyle name="Normal 4 2 5 3" xfId="5205"/>
    <cellStyle name="Normal 4 2 5 3 2" xfId="6830"/>
    <cellStyle name="Normal 4 2 5 3 2 2" xfId="9916"/>
    <cellStyle name="Normal 4 2 5 3 2 2 2" xfId="16109"/>
    <cellStyle name="Normal 4 2 5 3 2 2 3" xfId="22261"/>
    <cellStyle name="Normal 4 2 5 3 2 3" xfId="13043"/>
    <cellStyle name="Normal 4 2 5 3 2 4" xfId="19195"/>
    <cellStyle name="Normal 4 2 5 3 3" xfId="8381"/>
    <cellStyle name="Normal 4 2 5 3 3 2" xfId="14575"/>
    <cellStyle name="Normal 4 2 5 3 3 3" xfId="20727"/>
    <cellStyle name="Normal 4 2 5 3 4" xfId="11509"/>
    <cellStyle name="Normal 4 2 5 3 5" xfId="17661"/>
    <cellStyle name="Normal 4 2 5 4" xfId="6047"/>
    <cellStyle name="Normal 4 2 5 4 2" xfId="9147"/>
    <cellStyle name="Normal 4 2 5 4 2 2" xfId="15340"/>
    <cellStyle name="Normal 4 2 5 4 2 3" xfId="21492"/>
    <cellStyle name="Normal 4 2 5 4 3" xfId="12274"/>
    <cellStyle name="Normal 4 2 5 4 4" xfId="18426"/>
    <cellStyle name="Normal 4 2 5 5" xfId="7612"/>
    <cellStyle name="Normal 4 2 5 5 2" xfId="13806"/>
    <cellStyle name="Normal 4 2 5 5 3" xfId="19958"/>
    <cellStyle name="Normal 4 2 5 6" xfId="10740"/>
    <cellStyle name="Normal 4 2 5 7" xfId="16892"/>
    <cellStyle name="Normal 4 2 6" xfId="3971"/>
    <cellStyle name="Normal 4 2 6 2" xfId="5207"/>
    <cellStyle name="Normal 4 2 6 2 2" xfId="6832"/>
    <cellStyle name="Normal 4 2 6 2 2 2" xfId="9918"/>
    <cellStyle name="Normal 4 2 6 2 2 2 2" xfId="16111"/>
    <cellStyle name="Normal 4 2 6 2 2 2 3" xfId="22263"/>
    <cellStyle name="Normal 4 2 6 2 2 3" xfId="13045"/>
    <cellStyle name="Normal 4 2 6 2 2 4" xfId="19197"/>
    <cellStyle name="Normal 4 2 6 2 3" xfId="8383"/>
    <cellStyle name="Normal 4 2 6 2 3 2" xfId="14577"/>
    <cellStyle name="Normal 4 2 6 2 3 3" xfId="20729"/>
    <cellStyle name="Normal 4 2 6 2 4" xfId="11511"/>
    <cellStyle name="Normal 4 2 6 2 5" xfId="17663"/>
    <cellStyle name="Normal 4 2 6 3" xfId="6049"/>
    <cellStyle name="Normal 4 2 6 3 2" xfId="9149"/>
    <cellStyle name="Normal 4 2 6 3 2 2" xfId="15342"/>
    <cellStyle name="Normal 4 2 6 3 2 3" xfId="21494"/>
    <cellStyle name="Normal 4 2 6 3 3" xfId="12276"/>
    <cellStyle name="Normal 4 2 6 3 4" xfId="18428"/>
    <cellStyle name="Normal 4 2 6 4" xfId="7614"/>
    <cellStyle name="Normal 4 2 6 4 2" xfId="13808"/>
    <cellStyle name="Normal 4 2 6 4 3" xfId="19960"/>
    <cellStyle name="Normal 4 2 6 5" xfId="10742"/>
    <cellStyle name="Normal 4 2 6 6" xfId="16894"/>
    <cellStyle name="Normal 4 2 7" xfId="3972"/>
    <cellStyle name="Normal 4 2 7 2" xfId="5208"/>
    <cellStyle name="Normal 4 2 7 2 2" xfId="6833"/>
    <cellStyle name="Normal 4 2 7 2 2 2" xfId="9919"/>
    <cellStyle name="Normal 4 2 7 2 2 2 2" xfId="16112"/>
    <cellStyle name="Normal 4 2 7 2 2 2 3" xfId="22264"/>
    <cellStyle name="Normal 4 2 7 2 2 3" xfId="13046"/>
    <cellStyle name="Normal 4 2 7 2 2 4" xfId="19198"/>
    <cellStyle name="Normal 4 2 7 2 3" xfId="8384"/>
    <cellStyle name="Normal 4 2 7 2 3 2" xfId="14578"/>
    <cellStyle name="Normal 4 2 7 2 3 3" xfId="20730"/>
    <cellStyle name="Normal 4 2 7 2 4" xfId="11512"/>
    <cellStyle name="Normal 4 2 7 2 5" xfId="17664"/>
    <cellStyle name="Normal 4 2 7 3" xfId="6050"/>
    <cellStyle name="Normal 4 2 7 3 2" xfId="9150"/>
    <cellStyle name="Normal 4 2 7 3 2 2" xfId="15343"/>
    <cellStyle name="Normal 4 2 7 3 2 3" xfId="21495"/>
    <cellStyle name="Normal 4 2 7 3 3" xfId="12277"/>
    <cellStyle name="Normal 4 2 7 3 4" xfId="18429"/>
    <cellStyle name="Normal 4 2 7 4" xfId="7615"/>
    <cellStyle name="Normal 4 2 7 4 2" xfId="13809"/>
    <cellStyle name="Normal 4 2 7 4 3" xfId="19961"/>
    <cellStyle name="Normal 4 2 7 5" xfId="10743"/>
    <cellStyle name="Normal 4 2 7 6" xfId="16895"/>
    <cellStyle name="Normal 4 2 8" xfId="3973"/>
    <cellStyle name="Normal 4 2 8 2" xfId="5209"/>
    <cellStyle name="Normal 4 2 8 2 2" xfId="6834"/>
    <cellStyle name="Normal 4 2 8 2 2 2" xfId="9920"/>
    <cellStyle name="Normal 4 2 8 2 2 2 2" xfId="16113"/>
    <cellStyle name="Normal 4 2 8 2 2 2 3" xfId="22265"/>
    <cellStyle name="Normal 4 2 8 2 2 3" xfId="13047"/>
    <cellStyle name="Normal 4 2 8 2 2 4" xfId="19199"/>
    <cellStyle name="Normal 4 2 8 2 3" xfId="8385"/>
    <cellStyle name="Normal 4 2 8 2 3 2" xfId="14579"/>
    <cellStyle name="Normal 4 2 8 2 3 3" xfId="20731"/>
    <cellStyle name="Normal 4 2 8 2 4" xfId="11513"/>
    <cellStyle name="Normal 4 2 8 2 5" xfId="17665"/>
    <cellStyle name="Normal 4 2 8 3" xfId="6051"/>
    <cellStyle name="Normal 4 2 8 3 2" xfId="9151"/>
    <cellStyle name="Normal 4 2 8 3 2 2" xfId="15344"/>
    <cellStyle name="Normal 4 2 8 3 2 3" xfId="21496"/>
    <cellStyle name="Normal 4 2 8 3 3" xfId="12278"/>
    <cellStyle name="Normal 4 2 8 3 4" xfId="18430"/>
    <cellStyle name="Normal 4 2 8 4" xfId="7616"/>
    <cellStyle name="Normal 4 2 8 4 2" xfId="13810"/>
    <cellStyle name="Normal 4 2 8 4 3" xfId="19962"/>
    <cellStyle name="Normal 4 2 8 5" xfId="10744"/>
    <cellStyle name="Normal 4 2 8 6" xfId="16896"/>
    <cellStyle name="Normal 4 2 9" xfId="3974"/>
    <cellStyle name="Normal 4 2 9 2" xfId="5210"/>
    <cellStyle name="Normal 4 2 9 2 2" xfId="6835"/>
    <cellStyle name="Normal 4 2 9 2 2 2" xfId="9921"/>
    <cellStyle name="Normal 4 2 9 2 2 2 2" xfId="16114"/>
    <cellStyle name="Normal 4 2 9 2 2 2 3" xfId="22266"/>
    <cellStyle name="Normal 4 2 9 2 2 3" xfId="13048"/>
    <cellStyle name="Normal 4 2 9 2 2 4" xfId="19200"/>
    <cellStyle name="Normal 4 2 9 2 3" xfId="8386"/>
    <cellStyle name="Normal 4 2 9 2 3 2" xfId="14580"/>
    <cellStyle name="Normal 4 2 9 2 3 3" xfId="20732"/>
    <cellStyle name="Normal 4 2 9 2 4" xfId="11514"/>
    <cellStyle name="Normal 4 2 9 2 5" xfId="17666"/>
    <cellStyle name="Normal 4 2 9 3" xfId="6052"/>
    <cellStyle name="Normal 4 2 9 3 2" xfId="9152"/>
    <cellStyle name="Normal 4 2 9 3 2 2" xfId="15345"/>
    <cellStyle name="Normal 4 2 9 3 2 3" xfId="21497"/>
    <cellStyle name="Normal 4 2 9 3 3" xfId="12279"/>
    <cellStyle name="Normal 4 2 9 3 4" xfId="18431"/>
    <cellStyle name="Normal 4 2 9 4" xfId="7617"/>
    <cellStyle name="Normal 4 2 9 4 2" xfId="13811"/>
    <cellStyle name="Normal 4 2 9 4 3" xfId="19963"/>
    <cellStyle name="Normal 4 2 9 5" xfId="10745"/>
    <cellStyle name="Normal 4 2 9 6" xfId="16897"/>
    <cellStyle name="Normal 4 20" xfId="563"/>
    <cellStyle name="Normal 4 21" xfId="589"/>
    <cellStyle name="Normal 4 22" xfId="612"/>
    <cellStyle name="Normal 4 23" xfId="629"/>
    <cellStyle name="Normal 4 24" xfId="650"/>
    <cellStyle name="Normal 4 25" xfId="701"/>
    <cellStyle name="Normal 4 26" xfId="733"/>
    <cellStyle name="Normal 4 27" xfId="759"/>
    <cellStyle name="Normal 4 28" xfId="784"/>
    <cellStyle name="Normal 4 29" xfId="808"/>
    <cellStyle name="Normal 4 3" xfId="251"/>
    <cellStyle name="Normal 4 3 10" xfId="10746"/>
    <cellStyle name="Normal 4 3 11" xfId="16898"/>
    <cellStyle name="Normal 4 3 12" xfId="3975"/>
    <cellStyle name="Normal 4 3 13" xfId="23278"/>
    <cellStyle name="Normal 4 3 2" xfId="3976"/>
    <cellStyle name="Normal 4 3 2 10" xfId="16899"/>
    <cellStyle name="Normal 4 3 2 2" xfId="3977"/>
    <cellStyle name="Normal 4 3 2 2 2" xfId="3978"/>
    <cellStyle name="Normal 4 3 2 2 2 2" xfId="3979"/>
    <cellStyle name="Normal 4 3 2 2 2 2 2" xfId="5215"/>
    <cellStyle name="Normal 4 3 2 2 2 2 2 2" xfId="6840"/>
    <cellStyle name="Normal 4 3 2 2 2 2 2 2 2" xfId="9926"/>
    <cellStyle name="Normal 4 3 2 2 2 2 2 2 2 2" xfId="16119"/>
    <cellStyle name="Normal 4 3 2 2 2 2 2 2 2 3" xfId="22271"/>
    <cellStyle name="Normal 4 3 2 2 2 2 2 2 3" xfId="13053"/>
    <cellStyle name="Normal 4 3 2 2 2 2 2 2 4" xfId="19205"/>
    <cellStyle name="Normal 4 3 2 2 2 2 2 3" xfId="8391"/>
    <cellStyle name="Normal 4 3 2 2 2 2 2 3 2" xfId="14585"/>
    <cellStyle name="Normal 4 3 2 2 2 2 2 3 3" xfId="20737"/>
    <cellStyle name="Normal 4 3 2 2 2 2 2 4" xfId="11519"/>
    <cellStyle name="Normal 4 3 2 2 2 2 2 5" xfId="17671"/>
    <cellStyle name="Normal 4 3 2 2 2 2 3" xfId="6057"/>
    <cellStyle name="Normal 4 3 2 2 2 2 3 2" xfId="9157"/>
    <cellStyle name="Normal 4 3 2 2 2 2 3 2 2" xfId="15350"/>
    <cellStyle name="Normal 4 3 2 2 2 2 3 2 3" xfId="21502"/>
    <cellStyle name="Normal 4 3 2 2 2 2 3 3" xfId="12284"/>
    <cellStyle name="Normal 4 3 2 2 2 2 3 4" xfId="18436"/>
    <cellStyle name="Normal 4 3 2 2 2 2 4" xfId="7622"/>
    <cellStyle name="Normal 4 3 2 2 2 2 4 2" xfId="13816"/>
    <cellStyle name="Normal 4 3 2 2 2 2 4 3" xfId="19968"/>
    <cellStyle name="Normal 4 3 2 2 2 2 5" xfId="10750"/>
    <cellStyle name="Normal 4 3 2 2 2 2 6" xfId="16902"/>
    <cellStyle name="Normal 4 3 2 2 2 3" xfId="5214"/>
    <cellStyle name="Normal 4 3 2 2 2 3 2" xfId="6839"/>
    <cellStyle name="Normal 4 3 2 2 2 3 2 2" xfId="9925"/>
    <cellStyle name="Normal 4 3 2 2 2 3 2 2 2" xfId="16118"/>
    <cellStyle name="Normal 4 3 2 2 2 3 2 2 3" xfId="22270"/>
    <cellStyle name="Normal 4 3 2 2 2 3 2 3" xfId="13052"/>
    <cellStyle name="Normal 4 3 2 2 2 3 2 4" xfId="19204"/>
    <cellStyle name="Normal 4 3 2 2 2 3 3" xfId="8390"/>
    <cellStyle name="Normal 4 3 2 2 2 3 3 2" xfId="14584"/>
    <cellStyle name="Normal 4 3 2 2 2 3 3 3" xfId="20736"/>
    <cellStyle name="Normal 4 3 2 2 2 3 4" xfId="11518"/>
    <cellStyle name="Normal 4 3 2 2 2 3 5" xfId="17670"/>
    <cellStyle name="Normal 4 3 2 2 2 4" xfId="6056"/>
    <cellStyle name="Normal 4 3 2 2 2 4 2" xfId="9156"/>
    <cellStyle name="Normal 4 3 2 2 2 4 2 2" xfId="15349"/>
    <cellStyle name="Normal 4 3 2 2 2 4 2 3" xfId="21501"/>
    <cellStyle name="Normal 4 3 2 2 2 4 3" xfId="12283"/>
    <cellStyle name="Normal 4 3 2 2 2 4 4" xfId="18435"/>
    <cellStyle name="Normal 4 3 2 2 2 5" xfId="7621"/>
    <cellStyle name="Normal 4 3 2 2 2 5 2" xfId="13815"/>
    <cellStyle name="Normal 4 3 2 2 2 5 3" xfId="19967"/>
    <cellStyle name="Normal 4 3 2 2 2 6" xfId="10749"/>
    <cellStyle name="Normal 4 3 2 2 2 7" xfId="16901"/>
    <cellStyle name="Normal 4 3 2 2 3" xfId="3980"/>
    <cellStyle name="Normal 4 3 2 2 3 2" xfId="3981"/>
    <cellStyle name="Normal 4 3 2 2 3 2 2" xfId="5217"/>
    <cellStyle name="Normal 4 3 2 2 3 2 2 2" xfId="6842"/>
    <cellStyle name="Normal 4 3 2 2 3 2 2 2 2" xfId="9928"/>
    <cellStyle name="Normal 4 3 2 2 3 2 2 2 2 2" xfId="16121"/>
    <cellStyle name="Normal 4 3 2 2 3 2 2 2 2 3" xfId="22273"/>
    <cellStyle name="Normal 4 3 2 2 3 2 2 2 3" xfId="13055"/>
    <cellStyle name="Normal 4 3 2 2 3 2 2 2 4" xfId="19207"/>
    <cellStyle name="Normal 4 3 2 2 3 2 2 3" xfId="8393"/>
    <cellStyle name="Normal 4 3 2 2 3 2 2 3 2" xfId="14587"/>
    <cellStyle name="Normal 4 3 2 2 3 2 2 3 3" xfId="20739"/>
    <cellStyle name="Normal 4 3 2 2 3 2 2 4" xfId="11521"/>
    <cellStyle name="Normal 4 3 2 2 3 2 2 5" xfId="17673"/>
    <cellStyle name="Normal 4 3 2 2 3 2 3" xfId="6059"/>
    <cellStyle name="Normal 4 3 2 2 3 2 3 2" xfId="9159"/>
    <cellStyle name="Normal 4 3 2 2 3 2 3 2 2" xfId="15352"/>
    <cellStyle name="Normal 4 3 2 2 3 2 3 2 3" xfId="21504"/>
    <cellStyle name="Normal 4 3 2 2 3 2 3 3" xfId="12286"/>
    <cellStyle name="Normal 4 3 2 2 3 2 3 4" xfId="18438"/>
    <cellStyle name="Normal 4 3 2 2 3 2 4" xfId="7624"/>
    <cellStyle name="Normal 4 3 2 2 3 2 4 2" xfId="13818"/>
    <cellStyle name="Normal 4 3 2 2 3 2 4 3" xfId="19970"/>
    <cellStyle name="Normal 4 3 2 2 3 2 5" xfId="10752"/>
    <cellStyle name="Normal 4 3 2 2 3 2 6" xfId="16904"/>
    <cellStyle name="Normal 4 3 2 2 3 3" xfId="5216"/>
    <cellStyle name="Normal 4 3 2 2 3 3 2" xfId="6841"/>
    <cellStyle name="Normal 4 3 2 2 3 3 2 2" xfId="9927"/>
    <cellStyle name="Normal 4 3 2 2 3 3 2 2 2" xfId="16120"/>
    <cellStyle name="Normal 4 3 2 2 3 3 2 2 3" xfId="22272"/>
    <cellStyle name="Normal 4 3 2 2 3 3 2 3" xfId="13054"/>
    <cellStyle name="Normal 4 3 2 2 3 3 2 4" xfId="19206"/>
    <cellStyle name="Normal 4 3 2 2 3 3 3" xfId="8392"/>
    <cellStyle name="Normal 4 3 2 2 3 3 3 2" xfId="14586"/>
    <cellStyle name="Normal 4 3 2 2 3 3 3 3" xfId="20738"/>
    <cellStyle name="Normal 4 3 2 2 3 3 4" xfId="11520"/>
    <cellStyle name="Normal 4 3 2 2 3 3 5" xfId="17672"/>
    <cellStyle name="Normal 4 3 2 2 3 4" xfId="6058"/>
    <cellStyle name="Normal 4 3 2 2 3 4 2" xfId="9158"/>
    <cellStyle name="Normal 4 3 2 2 3 4 2 2" xfId="15351"/>
    <cellStyle name="Normal 4 3 2 2 3 4 2 3" xfId="21503"/>
    <cellStyle name="Normal 4 3 2 2 3 4 3" xfId="12285"/>
    <cellStyle name="Normal 4 3 2 2 3 4 4" xfId="18437"/>
    <cellStyle name="Normal 4 3 2 2 3 5" xfId="7623"/>
    <cellStyle name="Normal 4 3 2 2 3 5 2" xfId="13817"/>
    <cellStyle name="Normal 4 3 2 2 3 5 3" xfId="19969"/>
    <cellStyle name="Normal 4 3 2 2 3 6" xfId="10751"/>
    <cellStyle name="Normal 4 3 2 2 3 7" xfId="16903"/>
    <cellStyle name="Normal 4 3 2 2 4" xfId="3982"/>
    <cellStyle name="Normal 4 3 2 2 4 2" xfId="5218"/>
    <cellStyle name="Normal 4 3 2 2 4 2 2" xfId="6843"/>
    <cellStyle name="Normal 4 3 2 2 4 2 2 2" xfId="9929"/>
    <cellStyle name="Normal 4 3 2 2 4 2 2 2 2" xfId="16122"/>
    <cellStyle name="Normal 4 3 2 2 4 2 2 2 3" xfId="22274"/>
    <cellStyle name="Normal 4 3 2 2 4 2 2 3" xfId="13056"/>
    <cellStyle name="Normal 4 3 2 2 4 2 2 4" xfId="19208"/>
    <cellStyle name="Normal 4 3 2 2 4 2 3" xfId="8394"/>
    <cellStyle name="Normal 4 3 2 2 4 2 3 2" xfId="14588"/>
    <cellStyle name="Normal 4 3 2 2 4 2 3 3" xfId="20740"/>
    <cellStyle name="Normal 4 3 2 2 4 2 4" xfId="11522"/>
    <cellStyle name="Normal 4 3 2 2 4 2 5" xfId="17674"/>
    <cellStyle name="Normal 4 3 2 2 4 3" xfId="6060"/>
    <cellStyle name="Normal 4 3 2 2 4 3 2" xfId="9160"/>
    <cellStyle name="Normal 4 3 2 2 4 3 2 2" xfId="15353"/>
    <cellStyle name="Normal 4 3 2 2 4 3 2 3" xfId="21505"/>
    <cellStyle name="Normal 4 3 2 2 4 3 3" xfId="12287"/>
    <cellStyle name="Normal 4 3 2 2 4 3 4" xfId="18439"/>
    <cellStyle name="Normal 4 3 2 2 4 4" xfId="7625"/>
    <cellStyle name="Normal 4 3 2 2 4 4 2" xfId="13819"/>
    <cellStyle name="Normal 4 3 2 2 4 4 3" xfId="19971"/>
    <cellStyle name="Normal 4 3 2 2 4 5" xfId="10753"/>
    <cellStyle name="Normal 4 3 2 2 4 6" xfId="16905"/>
    <cellStyle name="Normal 4 3 2 2 5" xfId="5213"/>
    <cellStyle name="Normal 4 3 2 2 5 2" xfId="6838"/>
    <cellStyle name="Normal 4 3 2 2 5 2 2" xfId="9924"/>
    <cellStyle name="Normal 4 3 2 2 5 2 2 2" xfId="16117"/>
    <cellStyle name="Normal 4 3 2 2 5 2 2 3" xfId="22269"/>
    <cellStyle name="Normal 4 3 2 2 5 2 3" xfId="13051"/>
    <cellStyle name="Normal 4 3 2 2 5 2 4" xfId="19203"/>
    <cellStyle name="Normal 4 3 2 2 5 3" xfId="8389"/>
    <cellStyle name="Normal 4 3 2 2 5 3 2" xfId="14583"/>
    <cellStyle name="Normal 4 3 2 2 5 3 3" xfId="20735"/>
    <cellStyle name="Normal 4 3 2 2 5 4" xfId="11517"/>
    <cellStyle name="Normal 4 3 2 2 5 5" xfId="17669"/>
    <cellStyle name="Normal 4 3 2 2 6" xfId="6055"/>
    <cellStyle name="Normal 4 3 2 2 6 2" xfId="9155"/>
    <cellStyle name="Normal 4 3 2 2 6 2 2" xfId="15348"/>
    <cellStyle name="Normal 4 3 2 2 6 2 3" xfId="21500"/>
    <cellStyle name="Normal 4 3 2 2 6 3" xfId="12282"/>
    <cellStyle name="Normal 4 3 2 2 6 4" xfId="18434"/>
    <cellStyle name="Normal 4 3 2 2 7" xfId="7620"/>
    <cellStyle name="Normal 4 3 2 2 7 2" xfId="13814"/>
    <cellStyle name="Normal 4 3 2 2 7 3" xfId="19966"/>
    <cellStyle name="Normal 4 3 2 2 8" xfId="10748"/>
    <cellStyle name="Normal 4 3 2 2 9" xfId="16900"/>
    <cellStyle name="Normal 4 3 2 3" xfId="3983"/>
    <cellStyle name="Normal 4 3 2 3 2" xfId="3984"/>
    <cellStyle name="Normal 4 3 2 3 2 2" xfId="5220"/>
    <cellStyle name="Normal 4 3 2 3 2 2 2" xfId="6845"/>
    <cellStyle name="Normal 4 3 2 3 2 2 2 2" xfId="9931"/>
    <cellStyle name="Normal 4 3 2 3 2 2 2 2 2" xfId="16124"/>
    <cellStyle name="Normal 4 3 2 3 2 2 2 2 3" xfId="22276"/>
    <cellStyle name="Normal 4 3 2 3 2 2 2 3" xfId="13058"/>
    <cellStyle name="Normal 4 3 2 3 2 2 2 4" xfId="19210"/>
    <cellStyle name="Normal 4 3 2 3 2 2 3" xfId="8396"/>
    <cellStyle name="Normal 4 3 2 3 2 2 3 2" xfId="14590"/>
    <cellStyle name="Normal 4 3 2 3 2 2 3 3" xfId="20742"/>
    <cellStyle name="Normal 4 3 2 3 2 2 4" xfId="11524"/>
    <cellStyle name="Normal 4 3 2 3 2 2 5" xfId="17676"/>
    <cellStyle name="Normal 4 3 2 3 2 3" xfId="6062"/>
    <cellStyle name="Normal 4 3 2 3 2 3 2" xfId="9162"/>
    <cellStyle name="Normal 4 3 2 3 2 3 2 2" xfId="15355"/>
    <cellStyle name="Normal 4 3 2 3 2 3 2 3" xfId="21507"/>
    <cellStyle name="Normal 4 3 2 3 2 3 3" xfId="12289"/>
    <cellStyle name="Normal 4 3 2 3 2 3 4" xfId="18441"/>
    <cellStyle name="Normal 4 3 2 3 2 4" xfId="7627"/>
    <cellStyle name="Normal 4 3 2 3 2 4 2" xfId="13821"/>
    <cellStyle name="Normal 4 3 2 3 2 4 3" xfId="19973"/>
    <cellStyle name="Normal 4 3 2 3 2 5" xfId="10755"/>
    <cellStyle name="Normal 4 3 2 3 2 6" xfId="16907"/>
    <cellStyle name="Normal 4 3 2 3 3" xfId="5219"/>
    <cellStyle name="Normal 4 3 2 3 3 2" xfId="6844"/>
    <cellStyle name="Normal 4 3 2 3 3 2 2" xfId="9930"/>
    <cellStyle name="Normal 4 3 2 3 3 2 2 2" xfId="16123"/>
    <cellStyle name="Normal 4 3 2 3 3 2 2 3" xfId="22275"/>
    <cellStyle name="Normal 4 3 2 3 3 2 3" xfId="13057"/>
    <cellStyle name="Normal 4 3 2 3 3 2 4" xfId="19209"/>
    <cellStyle name="Normal 4 3 2 3 3 3" xfId="8395"/>
    <cellStyle name="Normal 4 3 2 3 3 3 2" xfId="14589"/>
    <cellStyle name="Normal 4 3 2 3 3 3 3" xfId="20741"/>
    <cellStyle name="Normal 4 3 2 3 3 4" xfId="11523"/>
    <cellStyle name="Normal 4 3 2 3 3 5" xfId="17675"/>
    <cellStyle name="Normal 4 3 2 3 4" xfId="6061"/>
    <cellStyle name="Normal 4 3 2 3 4 2" xfId="9161"/>
    <cellStyle name="Normal 4 3 2 3 4 2 2" xfId="15354"/>
    <cellStyle name="Normal 4 3 2 3 4 2 3" xfId="21506"/>
    <cellStyle name="Normal 4 3 2 3 4 3" xfId="12288"/>
    <cellStyle name="Normal 4 3 2 3 4 4" xfId="18440"/>
    <cellStyle name="Normal 4 3 2 3 5" xfId="7626"/>
    <cellStyle name="Normal 4 3 2 3 5 2" xfId="13820"/>
    <cellStyle name="Normal 4 3 2 3 5 3" xfId="19972"/>
    <cellStyle name="Normal 4 3 2 3 6" xfId="10754"/>
    <cellStyle name="Normal 4 3 2 3 7" xfId="16906"/>
    <cellStyle name="Normal 4 3 2 4" xfId="3985"/>
    <cellStyle name="Normal 4 3 2 4 2" xfId="3986"/>
    <cellStyle name="Normal 4 3 2 4 2 2" xfId="5222"/>
    <cellStyle name="Normal 4 3 2 4 2 2 2" xfId="6847"/>
    <cellStyle name="Normal 4 3 2 4 2 2 2 2" xfId="9933"/>
    <cellStyle name="Normal 4 3 2 4 2 2 2 2 2" xfId="16126"/>
    <cellStyle name="Normal 4 3 2 4 2 2 2 2 3" xfId="22278"/>
    <cellStyle name="Normal 4 3 2 4 2 2 2 3" xfId="13060"/>
    <cellStyle name="Normal 4 3 2 4 2 2 2 4" xfId="19212"/>
    <cellStyle name="Normal 4 3 2 4 2 2 3" xfId="8398"/>
    <cellStyle name="Normal 4 3 2 4 2 2 3 2" xfId="14592"/>
    <cellStyle name="Normal 4 3 2 4 2 2 3 3" xfId="20744"/>
    <cellStyle name="Normal 4 3 2 4 2 2 4" xfId="11526"/>
    <cellStyle name="Normal 4 3 2 4 2 2 5" xfId="17678"/>
    <cellStyle name="Normal 4 3 2 4 2 3" xfId="6064"/>
    <cellStyle name="Normal 4 3 2 4 2 3 2" xfId="9164"/>
    <cellStyle name="Normal 4 3 2 4 2 3 2 2" xfId="15357"/>
    <cellStyle name="Normal 4 3 2 4 2 3 2 3" xfId="21509"/>
    <cellStyle name="Normal 4 3 2 4 2 3 3" xfId="12291"/>
    <cellStyle name="Normal 4 3 2 4 2 3 4" xfId="18443"/>
    <cellStyle name="Normal 4 3 2 4 2 4" xfId="7629"/>
    <cellStyle name="Normal 4 3 2 4 2 4 2" xfId="13823"/>
    <cellStyle name="Normal 4 3 2 4 2 4 3" xfId="19975"/>
    <cellStyle name="Normal 4 3 2 4 2 5" xfId="10757"/>
    <cellStyle name="Normal 4 3 2 4 2 6" xfId="16909"/>
    <cellStyle name="Normal 4 3 2 4 3" xfId="5221"/>
    <cellStyle name="Normal 4 3 2 4 3 2" xfId="6846"/>
    <cellStyle name="Normal 4 3 2 4 3 2 2" xfId="9932"/>
    <cellStyle name="Normal 4 3 2 4 3 2 2 2" xfId="16125"/>
    <cellStyle name="Normal 4 3 2 4 3 2 2 3" xfId="22277"/>
    <cellStyle name="Normal 4 3 2 4 3 2 3" xfId="13059"/>
    <cellStyle name="Normal 4 3 2 4 3 2 4" xfId="19211"/>
    <cellStyle name="Normal 4 3 2 4 3 3" xfId="8397"/>
    <cellStyle name="Normal 4 3 2 4 3 3 2" xfId="14591"/>
    <cellStyle name="Normal 4 3 2 4 3 3 3" xfId="20743"/>
    <cellStyle name="Normal 4 3 2 4 3 4" xfId="11525"/>
    <cellStyle name="Normal 4 3 2 4 3 5" xfId="17677"/>
    <cellStyle name="Normal 4 3 2 4 4" xfId="6063"/>
    <cellStyle name="Normal 4 3 2 4 4 2" xfId="9163"/>
    <cellStyle name="Normal 4 3 2 4 4 2 2" xfId="15356"/>
    <cellStyle name="Normal 4 3 2 4 4 2 3" xfId="21508"/>
    <cellStyle name="Normal 4 3 2 4 4 3" xfId="12290"/>
    <cellStyle name="Normal 4 3 2 4 4 4" xfId="18442"/>
    <cellStyle name="Normal 4 3 2 4 5" xfId="7628"/>
    <cellStyle name="Normal 4 3 2 4 5 2" xfId="13822"/>
    <cellStyle name="Normal 4 3 2 4 5 3" xfId="19974"/>
    <cellStyle name="Normal 4 3 2 4 6" xfId="10756"/>
    <cellStyle name="Normal 4 3 2 4 7" xfId="16908"/>
    <cellStyle name="Normal 4 3 2 5" xfId="3987"/>
    <cellStyle name="Normal 4 3 2 5 2" xfId="5223"/>
    <cellStyle name="Normal 4 3 2 5 2 2" xfId="6848"/>
    <cellStyle name="Normal 4 3 2 5 2 2 2" xfId="9934"/>
    <cellStyle name="Normal 4 3 2 5 2 2 2 2" xfId="16127"/>
    <cellStyle name="Normal 4 3 2 5 2 2 2 3" xfId="22279"/>
    <cellStyle name="Normal 4 3 2 5 2 2 3" xfId="13061"/>
    <cellStyle name="Normal 4 3 2 5 2 2 4" xfId="19213"/>
    <cellStyle name="Normal 4 3 2 5 2 3" xfId="8399"/>
    <cellStyle name="Normal 4 3 2 5 2 3 2" xfId="14593"/>
    <cellStyle name="Normal 4 3 2 5 2 3 3" xfId="20745"/>
    <cellStyle name="Normal 4 3 2 5 2 4" xfId="11527"/>
    <cellStyle name="Normal 4 3 2 5 2 5" xfId="17679"/>
    <cellStyle name="Normal 4 3 2 5 3" xfId="6065"/>
    <cellStyle name="Normal 4 3 2 5 3 2" xfId="9165"/>
    <cellStyle name="Normal 4 3 2 5 3 2 2" xfId="15358"/>
    <cellStyle name="Normal 4 3 2 5 3 2 3" xfId="21510"/>
    <cellStyle name="Normal 4 3 2 5 3 3" xfId="12292"/>
    <cellStyle name="Normal 4 3 2 5 3 4" xfId="18444"/>
    <cellStyle name="Normal 4 3 2 5 4" xfId="7630"/>
    <cellStyle name="Normal 4 3 2 5 4 2" xfId="13824"/>
    <cellStyle name="Normal 4 3 2 5 4 3" xfId="19976"/>
    <cellStyle name="Normal 4 3 2 5 5" xfId="10758"/>
    <cellStyle name="Normal 4 3 2 5 6" xfId="16910"/>
    <cellStyle name="Normal 4 3 2 6" xfId="5212"/>
    <cellStyle name="Normal 4 3 2 6 2" xfId="6837"/>
    <cellStyle name="Normal 4 3 2 6 2 2" xfId="9923"/>
    <cellStyle name="Normal 4 3 2 6 2 2 2" xfId="16116"/>
    <cellStyle name="Normal 4 3 2 6 2 2 3" xfId="22268"/>
    <cellStyle name="Normal 4 3 2 6 2 3" xfId="13050"/>
    <cellStyle name="Normal 4 3 2 6 2 4" xfId="19202"/>
    <cellStyle name="Normal 4 3 2 6 3" xfId="8388"/>
    <cellStyle name="Normal 4 3 2 6 3 2" xfId="14582"/>
    <cellStyle name="Normal 4 3 2 6 3 3" xfId="20734"/>
    <cellStyle name="Normal 4 3 2 6 4" xfId="11516"/>
    <cellStyle name="Normal 4 3 2 6 5" xfId="17668"/>
    <cellStyle name="Normal 4 3 2 7" xfId="6054"/>
    <cellStyle name="Normal 4 3 2 7 2" xfId="9154"/>
    <cellStyle name="Normal 4 3 2 7 2 2" xfId="15347"/>
    <cellStyle name="Normal 4 3 2 7 2 3" xfId="21499"/>
    <cellStyle name="Normal 4 3 2 7 3" xfId="12281"/>
    <cellStyle name="Normal 4 3 2 7 4" xfId="18433"/>
    <cellStyle name="Normal 4 3 2 8" xfId="7619"/>
    <cellStyle name="Normal 4 3 2 8 2" xfId="13813"/>
    <cellStyle name="Normal 4 3 2 8 3" xfId="19965"/>
    <cellStyle name="Normal 4 3 2 9" xfId="10747"/>
    <cellStyle name="Normal 4 3 3" xfId="3988"/>
    <cellStyle name="Normal 4 3 3 2" xfId="3989"/>
    <cellStyle name="Normal 4 3 3 2 2" xfId="3990"/>
    <cellStyle name="Normal 4 3 3 2 2 2" xfId="5226"/>
    <cellStyle name="Normal 4 3 3 2 2 2 2" xfId="6851"/>
    <cellStyle name="Normal 4 3 3 2 2 2 2 2" xfId="9937"/>
    <cellStyle name="Normal 4 3 3 2 2 2 2 2 2" xfId="16130"/>
    <cellStyle name="Normal 4 3 3 2 2 2 2 2 3" xfId="22282"/>
    <cellStyle name="Normal 4 3 3 2 2 2 2 3" xfId="13064"/>
    <cellStyle name="Normal 4 3 3 2 2 2 2 4" xfId="19216"/>
    <cellStyle name="Normal 4 3 3 2 2 2 3" xfId="8402"/>
    <cellStyle name="Normal 4 3 3 2 2 2 3 2" xfId="14596"/>
    <cellStyle name="Normal 4 3 3 2 2 2 3 3" xfId="20748"/>
    <cellStyle name="Normal 4 3 3 2 2 2 4" xfId="11530"/>
    <cellStyle name="Normal 4 3 3 2 2 2 5" xfId="17682"/>
    <cellStyle name="Normal 4 3 3 2 2 3" xfId="6068"/>
    <cellStyle name="Normal 4 3 3 2 2 3 2" xfId="9168"/>
    <cellStyle name="Normal 4 3 3 2 2 3 2 2" xfId="15361"/>
    <cellStyle name="Normal 4 3 3 2 2 3 2 3" xfId="21513"/>
    <cellStyle name="Normal 4 3 3 2 2 3 3" xfId="12295"/>
    <cellStyle name="Normal 4 3 3 2 2 3 4" xfId="18447"/>
    <cellStyle name="Normal 4 3 3 2 2 4" xfId="7633"/>
    <cellStyle name="Normal 4 3 3 2 2 4 2" xfId="13827"/>
    <cellStyle name="Normal 4 3 3 2 2 4 3" xfId="19979"/>
    <cellStyle name="Normal 4 3 3 2 2 5" xfId="10761"/>
    <cellStyle name="Normal 4 3 3 2 2 6" xfId="16913"/>
    <cellStyle name="Normal 4 3 3 2 3" xfId="5225"/>
    <cellStyle name="Normal 4 3 3 2 3 2" xfId="6850"/>
    <cellStyle name="Normal 4 3 3 2 3 2 2" xfId="9936"/>
    <cellStyle name="Normal 4 3 3 2 3 2 2 2" xfId="16129"/>
    <cellStyle name="Normal 4 3 3 2 3 2 2 3" xfId="22281"/>
    <cellStyle name="Normal 4 3 3 2 3 2 3" xfId="13063"/>
    <cellStyle name="Normal 4 3 3 2 3 2 4" xfId="19215"/>
    <cellStyle name="Normal 4 3 3 2 3 3" xfId="8401"/>
    <cellStyle name="Normal 4 3 3 2 3 3 2" xfId="14595"/>
    <cellStyle name="Normal 4 3 3 2 3 3 3" xfId="20747"/>
    <cellStyle name="Normal 4 3 3 2 3 4" xfId="11529"/>
    <cellStyle name="Normal 4 3 3 2 3 5" xfId="17681"/>
    <cellStyle name="Normal 4 3 3 2 4" xfId="6067"/>
    <cellStyle name="Normal 4 3 3 2 4 2" xfId="9167"/>
    <cellStyle name="Normal 4 3 3 2 4 2 2" xfId="15360"/>
    <cellStyle name="Normal 4 3 3 2 4 2 3" xfId="21512"/>
    <cellStyle name="Normal 4 3 3 2 4 3" xfId="12294"/>
    <cellStyle name="Normal 4 3 3 2 4 4" xfId="18446"/>
    <cellStyle name="Normal 4 3 3 2 5" xfId="7632"/>
    <cellStyle name="Normal 4 3 3 2 5 2" xfId="13826"/>
    <cellStyle name="Normal 4 3 3 2 5 3" xfId="19978"/>
    <cellStyle name="Normal 4 3 3 2 6" xfId="10760"/>
    <cellStyle name="Normal 4 3 3 2 7" xfId="16912"/>
    <cellStyle name="Normal 4 3 3 3" xfId="3991"/>
    <cellStyle name="Normal 4 3 3 3 2" xfId="3992"/>
    <cellStyle name="Normal 4 3 3 3 2 2" xfId="5228"/>
    <cellStyle name="Normal 4 3 3 3 2 2 2" xfId="6853"/>
    <cellStyle name="Normal 4 3 3 3 2 2 2 2" xfId="9939"/>
    <cellStyle name="Normal 4 3 3 3 2 2 2 2 2" xfId="16132"/>
    <cellStyle name="Normal 4 3 3 3 2 2 2 2 3" xfId="22284"/>
    <cellStyle name="Normal 4 3 3 3 2 2 2 3" xfId="13066"/>
    <cellStyle name="Normal 4 3 3 3 2 2 2 4" xfId="19218"/>
    <cellStyle name="Normal 4 3 3 3 2 2 3" xfId="8404"/>
    <cellStyle name="Normal 4 3 3 3 2 2 3 2" xfId="14598"/>
    <cellStyle name="Normal 4 3 3 3 2 2 3 3" xfId="20750"/>
    <cellStyle name="Normal 4 3 3 3 2 2 4" xfId="11532"/>
    <cellStyle name="Normal 4 3 3 3 2 2 5" xfId="17684"/>
    <cellStyle name="Normal 4 3 3 3 2 3" xfId="6070"/>
    <cellStyle name="Normal 4 3 3 3 2 3 2" xfId="9170"/>
    <cellStyle name="Normal 4 3 3 3 2 3 2 2" xfId="15363"/>
    <cellStyle name="Normal 4 3 3 3 2 3 2 3" xfId="21515"/>
    <cellStyle name="Normal 4 3 3 3 2 3 3" xfId="12297"/>
    <cellStyle name="Normal 4 3 3 3 2 3 4" xfId="18449"/>
    <cellStyle name="Normal 4 3 3 3 2 4" xfId="7635"/>
    <cellStyle name="Normal 4 3 3 3 2 4 2" xfId="13829"/>
    <cellStyle name="Normal 4 3 3 3 2 4 3" xfId="19981"/>
    <cellStyle name="Normal 4 3 3 3 2 5" xfId="10763"/>
    <cellStyle name="Normal 4 3 3 3 2 6" xfId="16915"/>
    <cellStyle name="Normal 4 3 3 3 3" xfId="5227"/>
    <cellStyle name="Normal 4 3 3 3 3 2" xfId="6852"/>
    <cellStyle name="Normal 4 3 3 3 3 2 2" xfId="9938"/>
    <cellStyle name="Normal 4 3 3 3 3 2 2 2" xfId="16131"/>
    <cellStyle name="Normal 4 3 3 3 3 2 2 3" xfId="22283"/>
    <cellStyle name="Normal 4 3 3 3 3 2 3" xfId="13065"/>
    <cellStyle name="Normal 4 3 3 3 3 2 4" xfId="19217"/>
    <cellStyle name="Normal 4 3 3 3 3 3" xfId="8403"/>
    <cellStyle name="Normal 4 3 3 3 3 3 2" xfId="14597"/>
    <cellStyle name="Normal 4 3 3 3 3 3 3" xfId="20749"/>
    <cellStyle name="Normal 4 3 3 3 3 4" xfId="11531"/>
    <cellStyle name="Normal 4 3 3 3 3 5" xfId="17683"/>
    <cellStyle name="Normal 4 3 3 3 4" xfId="6069"/>
    <cellStyle name="Normal 4 3 3 3 4 2" xfId="9169"/>
    <cellStyle name="Normal 4 3 3 3 4 2 2" xfId="15362"/>
    <cellStyle name="Normal 4 3 3 3 4 2 3" xfId="21514"/>
    <cellStyle name="Normal 4 3 3 3 4 3" xfId="12296"/>
    <cellStyle name="Normal 4 3 3 3 4 4" xfId="18448"/>
    <cellStyle name="Normal 4 3 3 3 5" xfId="7634"/>
    <cellStyle name="Normal 4 3 3 3 5 2" xfId="13828"/>
    <cellStyle name="Normal 4 3 3 3 5 3" xfId="19980"/>
    <cellStyle name="Normal 4 3 3 3 6" xfId="10762"/>
    <cellStyle name="Normal 4 3 3 3 7" xfId="16914"/>
    <cellStyle name="Normal 4 3 3 4" xfId="3993"/>
    <cellStyle name="Normal 4 3 3 4 2" xfId="5229"/>
    <cellStyle name="Normal 4 3 3 4 2 2" xfId="6854"/>
    <cellStyle name="Normal 4 3 3 4 2 2 2" xfId="9940"/>
    <cellStyle name="Normal 4 3 3 4 2 2 2 2" xfId="16133"/>
    <cellStyle name="Normal 4 3 3 4 2 2 2 3" xfId="22285"/>
    <cellStyle name="Normal 4 3 3 4 2 2 3" xfId="13067"/>
    <cellStyle name="Normal 4 3 3 4 2 2 4" xfId="19219"/>
    <cellStyle name="Normal 4 3 3 4 2 3" xfId="8405"/>
    <cellStyle name="Normal 4 3 3 4 2 3 2" xfId="14599"/>
    <cellStyle name="Normal 4 3 3 4 2 3 3" xfId="20751"/>
    <cellStyle name="Normal 4 3 3 4 2 4" xfId="11533"/>
    <cellStyle name="Normal 4 3 3 4 2 5" xfId="17685"/>
    <cellStyle name="Normal 4 3 3 4 3" xfId="6071"/>
    <cellStyle name="Normal 4 3 3 4 3 2" xfId="9171"/>
    <cellStyle name="Normal 4 3 3 4 3 2 2" xfId="15364"/>
    <cellStyle name="Normal 4 3 3 4 3 2 3" xfId="21516"/>
    <cellStyle name="Normal 4 3 3 4 3 3" xfId="12298"/>
    <cellStyle name="Normal 4 3 3 4 3 4" xfId="18450"/>
    <cellStyle name="Normal 4 3 3 4 4" xfId="7636"/>
    <cellStyle name="Normal 4 3 3 4 4 2" xfId="13830"/>
    <cellStyle name="Normal 4 3 3 4 4 3" xfId="19982"/>
    <cellStyle name="Normal 4 3 3 4 5" xfId="10764"/>
    <cellStyle name="Normal 4 3 3 4 6" xfId="16916"/>
    <cellStyle name="Normal 4 3 3 5" xfId="5224"/>
    <cellStyle name="Normal 4 3 3 5 2" xfId="6849"/>
    <cellStyle name="Normal 4 3 3 5 2 2" xfId="9935"/>
    <cellStyle name="Normal 4 3 3 5 2 2 2" xfId="16128"/>
    <cellStyle name="Normal 4 3 3 5 2 2 3" xfId="22280"/>
    <cellStyle name="Normal 4 3 3 5 2 3" xfId="13062"/>
    <cellStyle name="Normal 4 3 3 5 2 4" xfId="19214"/>
    <cellStyle name="Normal 4 3 3 5 3" xfId="8400"/>
    <cellStyle name="Normal 4 3 3 5 3 2" xfId="14594"/>
    <cellStyle name="Normal 4 3 3 5 3 3" xfId="20746"/>
    <cellStyle name="Normal 4 3 3 5 4" xfId="11528"/>
    <cellStyle name="Normal 4 3 3 5 5" xfId="17680"/>
    <cellStyle name="Normal 4 3 3 6" xfId="6066"/>
    <cellStyle name="Normal 4 3 3 6 2" xfId="9166"/>
    <cellStyle name="Normal 4 3 3 6 2 2" xfId="15359"/>
    <cellStyle name="Normal 4 3 3 6 2 3" xfId="21511"/>
    <cellStyle name="Normal 4 3 3 6 3" xfId="12293"/>
    <cellStyle name="Normal 4 3 3 6 4" xfId="18445"/>
    <cellStyle name="Normal 4 3 3 7" xfId="7631"/>
    <cellStyle name="Normal 4 3 3 7 2" xfId="13825"/>
    <cellStyle name="Normal 4 3 3 7 3" xfId="19977"/>
    <cellStyle name="Normal 4 3 3 8" xfId="10759"/>
    <cellStyle name="Normal 4 3 3 9" xfId="16911"/>
    <cellStyle name="Normal 4 3 4" xfId="3994"/>
    <cellStyle name="Normal 4 3 4 2" xfId="3995"/>
    <cellStyle name="Normal 4 3 4 2 2" xfId="5231"/>
    <cellStyle name="Normal 4 3 4 2 2 2" xfId="6856"/>
    <cellStyle name="Normal 4 3 4 2 2 2 2" xfId="9942"/>
    <cellStyle name="Normal 4 3 4 2 2 2 2 2" xfId="16135"/>
    <cellStyle name="Normal 4 3 4 2 2 2 2 3" xfId="22287"/>
    <cellStyle name="Normal 4 3 4 2 2 2 3" xfId="13069"/>
    <cellStyle name="Normal 4 3 4 2 2 2 4" xfId="19221"/>
    <cellStyle name="Normal 4 3 4 2 2 3" xfId="8407"/>
    <cellStyle name="Normal 4 3 4 2 2 3 2" xfId="14601"/>
    <cellStyle name="Normal 4 3 4 2 2 3 3" xfId="20753"/>
    <cellStyle name="Normal 4 3 4 2 2 4" xfId="11535"/>
    <cellStyle name="Normal 4 3 4 2 2 5" xfId="17687"/>
    <cellStyle name="Normal 4 3 4 2 3" xfId="6073"/>
    <cellStyle name="Normal 4 3 4 2 3 2" xfId="9173"/>
    <cellStyle name="Normal 4 3 4 2 3 2 2" xfId="15366"/>
    <cellStyle name="Normal 4 3 4 2 3 2 3" xfId="21518"/>
    <cellStyle name="Normal 4 3 4 2 3 3" xfId="12300"/>
    <cellStyle name="Normal 4 3 4 2 3 4" xfId="18452"/>
    <cellStyle name="Normal 4 3 4 2 4" xfId="7638"/>
    <cellStyle name="Normal 4 3 4 2 4 2" xfId="13832"/>
    <cellStyle name="Normal 4 3 4 2 4 3" xfId="19984"/>
    <cellStyle name="Normal 4 3 4 2 5" xfId="10766"/>
    <cellStyle name="Normal 4 3 4 2 6" xfId="16918"/>
    <cellStyle name="Normal 4 3 4 3" xfId="5230"/>
    <cellStyle name="Normal 4 3 4 3 2" xfId="6855"/>
    <cellStyle name="Normal 4 3 4 3 2 2" xfId="9941"/>
    <cellStyle name="Normal 4 3 4 3 2 2 2" xfId="16134"/>
    <cellStyle name="Normal 4 3 4 3 2 2 3" xfId="22286"/>
    <cellStyle name="Normal 4 3 4 3 2 3" xfId="13068"/>
    <cellStyle name="Normal 4 3 4 3 2 4" xfId="19220"/>
    <cellStyle name="Normal 4 3 4 3 3" xfId="8406"/>
    <cellStyle name="Normal 4 3 4 3 3 2" xfId="14600"/>
    <cellStyle name="Normal 4 3 4 3 3 3" xfId="20752"/>
    <cellStyle name="Normal 4 3 4 3 4" xfId="11534"/>
    <cellStyle name="Normal 4 3 4 3 5" xfId="17686"/>
    <cellStyle name="Normal 4 3 4 4" xfId="6072"/>
    <cellStyle name="Normal 4 3 4 4 2" xfId="9172"/>
    <cellStyle name="Normal 4 3 4 4 2 2" xfId="15365"/>
    <cellStyle name="Normal 4 3 4 4 2 3" xfId="21517"/>
    <cellStyle name="Normal 4 3 4 4 3" xfId="12299"/>
    <cellStyle name="Normal 4 3 4 4 4" xfId="18451"/>
    <cellStyle name="Normal 4 3 4 5" xfId="7637"/>
    <cellStyle name="Normal 4 3 4 5 2" xfId="13831"/>
    <cellStyle name="Normal 4 3 4 5 3" xfId="19983"/>
    <cellStyle name="Normal 4 3 4 6" xfId="10765"/>
    <cellStyle name="Normal 4 3 4 7" xfId="16917"/>
    <cellStyle name="Normal 4 3 5" xfId="3996"/>
    <cellStyle name="Normal 4 3 5 2" xfId="3997"/>
    <cellStyle name="Normal 4 3 5 2 2" xfId="5233"/>
    <cellStyle name="Normal 4 3 5 2 2 2" xfId="6858"/>
    <cellStyle name="Normal 4 3 5 2 2 2 2" xfId="9944"/>
    <cellStyle name="Normal 4 3 5 2 2 2 2 2" xfId="16137"/>
    <cellStyle name="Normal 4 3 5 2 2 2 2 3" xfId="22289"/>
    <cellStyle name="Normal 4 3 5 2 2 2 3" xfId="13071"/>
    <cellStyle name="Normal 4 3 5 2 2 2 4" xfId="19223"/>
    <cellStyle name="Normal 4 3 5 2 2 3" xfId="8409"/>
    <cellStyle name="Normal 4 3 5 2 2 3 2" xfId="14603"/>
    <cellStyle name="Normal 4 3 5 2 2 3 3" xfId="20755"/>
    <cellStyle name="Normal 4 3 5 2 2 4" xfId="11537"/>
    <cellStyle name="Normal 4 3 5 2 2 5" xfId="17689"/>
    <cellStyle name="Normal 4 3 5 2 3" xfId="6075"/>
    <cellStyle name="Normal 4 3 5 2 3 2" xfId="9175"/>
    <cellStyle name="Normal 4 3 5 2 3 2 2" xfId="15368"/>
    <cellStyle name="Normal 4 3 5 2 3 2 3" xfId="21520"/>
    <cellStyle name="Normal 4 3 5 2 3 3" xfId="12302"/>
    <cellStyle name="Normal 4 3 5 2 3 4" xfId="18454"/>
    <cellStyle name="Normal 4 3 5 2 4" xfId="7640"/>
    <cellStyle name="Normal 4 3 5 2 4 2" xfId="13834"/>
    <cellStyle name="Normal 4 3 5 2 4 3" xfId="19986"/>
    <cellStyle name="Normal 4 3 5 2 5" xfId="10768"/>
    <cellStyle name="Normal 4 3 5 2 6" xfId="16920"/>
    <cellStyle name="Normal 4 3 5 3" xfId="5232"/>
    <cellStyle name="Normal 4 3 5 3 2" xfId="6857"/>
    <cellStyle name="Normal 4 3 5 3 2 2" xfId="9943"/>
    <cellStyle name="Normal 4 3 5 3 2 2 2" xfId="16136"/>
    <cellStyle name="Normal 4 3 5 3 2 2 3" xfId="22288"/>
    <cellStyle name="Normal 4 3 5 3 2 3" xfId="13070"/>
    <cellStyle name="Normal 4 3 5 3 2 4" xfId="19222"/>
    <cellStyle name="Normal 4 3 5 3 3" xfId="8408"/>
    <cellStyle name="Normal 4 3 5 3 3 2" xfId="14602"/>
    <cellStyle name="Normal 4 3 5 3 3 3" xfId="20754"/>
    <cellStyle name="Normal 4 3 5 3 4" xfId="11536"/>
    <cellStyle name="Normal 4 3 5 3 5" xfId="17688"/>
    <cellStyle name="Normal 4 3 5 4" xfId="6074"/>
    <cellStyle name="Normal 4 3 5 4 2" xfId="9174"/>
    <cellStyle name="Normal 4 3 5 4 2 2" xfId="15367"/>
    <cellStyle name="Normal 4 3 5 4 2 3" xfId="21519"/>
    <cellStyle name="Normal 4 3 5 4 3" xfId="12301"/>
    <cellStyle name="Normal 4 3 5 4 4" xfId="18453"/>
    <cellStyle name="Normal 4 3 5 5" xfId="7639"/>
    <cellStyle name="Normal 4 3 5 5 2" xfId="13833"/>
    <cellStyle name="Normal 4 3 5 5 3" xfId="19985"/>
    <cellStyle name="Normal 4 3 5 6" xfId="10767"/>
    <cellStyle name="Normal 4 3 5 7" xfId="16919"/>
    <cellStyle name="Normal 4 3 6" xfId="3998"/>
    <cellStyle name="Normal 4 3 6 2" xfId="5234"/>
    <cellStyle name="Normal 4 3 6 2 2" xfId="6859"/>
    <cellStyle name="Normal 4 3 6 2 2 2" xfId="9945"/>
    <cellStyle name="Normal 4 3 6 2 2 2 2" xfId="16138"/>
    <cellStyle name="Normal 4 3 6 2 2 2 3" xfId="22290"/>
    <cellStyle name="Normal 4 3 6 2 2 3" xfId="13072"/>
    <cellStyle name="Normal 4 3 6 2 2 4" xfId="19224"/>
    <cellStyle name="Normal 4 3 6 2 3" xfId="8410"/>
    <cellStyle name="Normal 4 3 6 2 3 2" xfId="14604"/>
    <cellStyle name="Normal 4 3 6 2 3 3" xfId="20756"/>
    <cellStyle name="Normal 4 3 6 2 4" xfId="11538"/>
    <cellStyle name="Normal 4 3 6 2 5" xfId="17690"/>
    <cellStyle name="Normal 4 3 6 3" xfId="6076"/>
    <cellStyle name="Normal 4 3 6 3 2" xfId="9176"/>
    <cellStyle name="Normal 4 3 6 3 2 2" xfId="15369"/>
    <cellStyle name="Normal 4 3 6 3 2 3" xfId="21521"/>
    <cellStyle name="Normal 4 3 6 3 3" xfId="12303"/>
    <cellStyle name="Normal 4 3 6 3 4" xfId="18455"/>
    <cellStyle name="Normal 4 3 6 4" xfId="7641"/>
    <cellStyle name="Normal 4 3 6 4 2" xfId="13835"/>
    <cellStyle name="Normal 4 3 6 4 3" xfId="19987"/>
    <cellStyle name="Normal 4 3 6 5" xfId="10769"/>
    <cellStyle name="Normal 4 3 6 6" xfId="16921"/>
    <cellStyle name="Normal 4 3 7" xfId="5211"/>
    <cellStyle name="Normal 4 3 7 2" xfId="6836"/>
    <cellStyle name="Normal 4 3 7 2 2" xfId="9922"/>
    <cellStyle name="Normal 4 3 7 2 2 2" xfId="16115"/>
    <cellStyle name="Normal 4 3 7 2 2 3" xfId="22267"/>
    <cellStyle name="Normal 4 3 7 2 3" xfId="13049"/>
    <cellStyle name="Normal 4 3 7 2 4" xfId="19201"/>
    <cellStyle name="Normal 4 3 7 3" xfId="8387"/>
    <cellStyle name="Normal 4 3 7 3 2" xfId="14581"/>
    <cellStyle name="Normal 4 3 7 3 3" xfId="20733"/>
    <cellStyle name="Normal 4 3 7 4" xfId="11515"/>
    <cellStyle name="Normal 4 3 7 5" xfId="17667"/>
    <cellStyle name="Normal 4 3 8" xfId="6053"/>
    <cellStyle name="Normal 4 3 8 2" xfId="9153"/>
    <cellStyle name="Normal 4 3 8 2 2" xfId="15346"/>
    <cellStyle name="Normal 4 3 8 2 3" xfId="21498"/>
    <cellStyle name="Normal 4 3 8 3" xfId="12280"/>
    <cellStyle name="Normal 4 3 8 4" xfId="18432"/>
    <cellStyle name="Normal 4 3 9" xfId="7618"/>
    <cellStyle name="Normal 4 3 9 2" xfId="13812"/>
    <cellStyle name="Normal 4 3 9 3" xfId="19964"/>
    <cellStyle name="Normal 4 30" xfId="1161"/>
    <cellStyle name="Normal 4 31" xfId="23276"/>
    <cellStyle name="Normal 4 4" xfId="260"/>
    <cellStyle name="Normal 4 4 10" xfId="23279"/>
    <cellStyle name="Normal 4 4 2" xfId="4000"/>
    <cellStyle name="Normal 4 4 2 2" xfId="5236"/>
    <cellStyle name="Normal 4 4 2 2 2" xfId="6861"/>
    <cellStyle name="Normal 4 4 2 2 2 2" xfId="9947"/>
    <cellStyle name="Normal 4 4 2 2 2 2 2" xfId="16140"/>
    <cellStyle name="Normal 4 4 2 2 2 2 3" xfId="22292"/>
    <cellStyle name="Normal 4 4 2 2 2 3" xfId="13074"/>
    <cellStyle name="Normal 4 4 2 2 2 4" xfId="19226"/>
    <cellStyle name="Normal 4 4 2 2 3" xfId="8412"/>
    <cellStyle name="Normal 4 4 2 2 3 2" xfId="14606"/>
    <cellStyle name="Normal 4 4 2 2 3 3" xfId="20758"/>
    <cellStyle name="Normal 4 4 2 2 4" xfId="11540"/>
    <cellStyle name="Normal 4 4 2 2 5" xfId="17692"/>
    <cellStyle name="Normal 4 4 2 3" xfId="6078"/>
    <cellStyle name="Normal 4 4 2 3 2" xfId="9178"/>
    <cellStyle name="Normal 4 4 2 3 2 2" xfId="15371"/>
    <cellStyle name="Normal 4 4 2 3 2 3" xfId="21523"/>
    <cellStyle name="Normal 4 4 2 3 3" xfId="12305"/>
    <cellStyle name="Normal 4 4 2 3 4" xfId="18457"/>
    <cellStyle name="Normal 4 4 2 4" xfId="7643"/>
    <cellStyle name="Normal 4 4 2 4 2" xfId="13837"/>
    <cellStyle name="Normal 4 4 2 4 3" xfId="19989"/>
    <cellStyle name="Normal 4 4 2 5" xfId="10771"/>
    <cellStyle name="Normal 4 4 2 6" xfId="16923"/>
    <cellStyle name="Normal 4 4 3" xfId="4001"/>
    <cellStyle name="Normal 4 4 4" xfId="5235"/>
    <cellStyle name="Normal 4 4 4 2" xfId="6860"/>
    <cellStyle name="Normal 4 4 4 2 2" xfId="9946"/>
    <cellStyle name="Normal 4 4 4 2 2 2" xfId="16139"/>
    <cellStyle name="Normal 4 4 4 2 2 3" xfId="22291"/>
    <cellStyle name="Normal 4 4 4 2 3" xfId="13073"/>
    <cellStyle name="Normal 4 4 4 2 4" xfId="19225"/>
    <cellStyle name="Normal 4 4 4 3" xfId="8411"/>
    <cellStyle name="Normal 4 4 4 3 2" xfId="14605"/>
    <cellStyle name="Normal 4 4 4 3 3" xfId="20757"/>
    <cellStyle name="Normal 4 4 4 4" xfId="11539"/>
    <cellStyle name="Normal 4 4 4 5" xfId="17691"/>
    <cellStyle name="Normal 4 4 5" xfId="6077"/>
    <cellStyle name="Normal 4 4 5 2" xfId="9177"/>
    <cellStyle name="Normal 4 4 5 2 2" xfId="15370"/>
    <cellStyle name="Normal 4 4 5 2 3" xfId="21522"/>
    <cellStyle name="Normal 4 4 5 3" xfId="12304"/>
    <cellStyle name="Normal 4 4 5 4" xfId="18456"/>
    <cellStyle name="Normal 4 4 6" xfId="7642"/>
    <cellStyle name="Normal 4 4 6 2" xfId="13836"/>
    <cellStyle name="Normal 4 4 6 3" xfId="19988"/>
    <cellStyle name="Normal 4 4 7" xfId="10770"/>
    <cellStyle name="Normal 4 4 8" xfId="16922"/>
    <cellStyle name="Normal 4 4 9" xfId="3999"/>
    <cellStyle name="Normal 4 5" xfId="285"/>
    <cellStyle name="Normal 4 5 2" xfId="5237"/>
    <cellStyle name="Normal 4 5 2 2" xfId="6862"/>
    <cellStyle name="Normal 4 5 2 2 2" xfId="9948"/>
    <cellStyle name="Normal 4 5 2 2 2 2" xfId="16141"/>
    <cellStyle name="Normal 4 5 2 2 2 3" xfId="22293"/>
    <cellStyle name="Normal 4 5 2 2 3" xfId="13075"/>
    <cellStyle name="Normal 4 5 2 2 4" xfId="19227"/>
    <cellStyle name="Normal 4 5 2 3" xfId="8413"/>
    <cellStyle name="Normal 4 5 2 3 2" xfId="14607"/>
    <cellStyle name="Normal 4 5 2 3 3" xfId="20759"/>
    <cellStyle name="Normal 4 5 2 4" xfId="11541"/>
    <cellStyle name="Normal 4 5 2 5" xfId="17693"/>
    <cellStyle name="Normal 4 5 3" xfId="6079"/>
    <cellStyle name="Normal 4 5 3 2" xfId="9179"/>
    <cellStyle name="Normal 4 5 3 2 2" xfId="15372"/>
    <cellStyle name="Normal 4 5 3 2 3" xfId="21524"/>
    <cellStyle name="Normal 4 5 3 3" xfId="12306"/>
    <cellStyle name="Normal 4 5 3 4" xfId="18458"/>
    <cellStyle name="Normal 4 5 4" xfId="7644"/>
    <cellStyle name="Normal 4 5 4 2" xfId="13838"/>
    <cellStyle name="Normal 4 5 4 3" xfId="19990"/>
    <cellStyle name="Normal 4 5 5" xfId="10772"/>
    <cellStyle name="Normal 4 5 6" xfId="16924"/>
    <cellStyle name="Normal 4 5 7" xfId="4002"/>
    <cellStyle name="Normal 4 5 8" xfId="23280"/>
    <cellStyle name="Normal 4 6" xfId="311"/>
    <cellStyle name="Normal 4 6 2" xfId="5238"/>
    <cellStyle name="Normal 4 6 2 2" xfId="6863"/>
    <cellStyle name="Normal 4 6 2 2 2" xfId="9949"/>
    <cellStyle name="Normal 4 6 2 2 2 2" xfId="16142"/>
    <cellStyle name="Normal 4 6 2 2 2 3" xfId="22294"/>
    <cellStyle name="Normal 4 6 2 2 3" xfId="13076"/>
    <cellStyle name="Normal 4 6 2 2 4" xfId="19228"/>
    <cellStyle name="Normal 4 6 2 3" xfId="8414"/>
    <cellStyle name="Normal 4 6 2 3 2" xfId="14608"/>
    <cellStyle name="Normal 4 6 2 3 3" xfId="20760"/>
    <cellStyle name="Normal 4 6 2 4" xfId="11542"/>
    <cellStyle name="Normal 4 6 2 5" xfId="17694"/>
    <cellStyle name="Normal 4 6 3" xfId="6080"/>
    <cellStyle name="Normal 4 6 3 2" xfId="9180"/>
    <cellStyle name="Normal 4 6 3 2 2" xfId="15373"/>
    <cellStyle name="Normal 4 6 3 2 3" xfId="21525"/>
    <cellStyle name="Normal 4 6 3 3" xfId="12307"/>
    <cellStyle name="Normal 4 6 3 4" xfId="18459"/>
    <cellStyle name="Normal 4 6 4" xfId="7645"/>
    <cellStyle name="Normal 4 6 4 2" xfId="13839"/>
    <cellStyle name="Normal 4 6 4 3" xfId="19991"/>
    <cellStyle name="Normal 4 6 5" xfId="10773"/>
    <cellStyle name="Normal 4 6 6" xfId="16925"/>
    <cellStyle name="Normal 4 6 7" xfId="4003"/>
    <cellStyle name="Normal 4 7" xfId="314"/>
    <cellStyle name="Normal 4 7 2" xfId="5239"/>
    <cellStyle name="Normal 4 7 2 2" xfId="6864"/>
    <cellStyle name="Normal 4 7 2 2 2" xfId="9950"/>
    <cellStyle name="Normal 4 7 2 2 2 2" xfId="16143"/>
    <cellStyle name="Normal 4 7 2 2 2 3" xfId="22295"/>
    <cellStyle name="Normal 4 7 2 2 3" xfId="13077"/>
    <cellStyle name="Normal 4 7 2 2 4" xfId="19229"/>
    <cellStyle name="Normal 4 7 2 3" xfId="8415"/>
    <cellStyle name="Normal 4 7 2 3 2" xfId="14609"/>
    <cellStyle name="Normal 4 7 2 3 3" xfId="20761"/>
    <cellStyle name="Normal 4 7 2 4" xfId="11543"/>
    <cellStyle name="Normal 4 7 2 5" xfId="17695"/>
    <cellStyle name="Normal 4 7 3" xfId="6081"/>
    <cellStyle name="Normal 4 7 3 2" xfId="9181"/>
    <cellStyle name="Normal 4 7 3 2 2" xfId="15374"/>
    <cellStyle name="Normal 4 7 3 2 3" xfId="21526"/>
    <cellStyle name="Normal 4 7 3 3" xfId="12308"/>
    <cellStyle name="Normal 4 7 3 4" xfId="18460"/>
    <cellStyle name="Normal 4 7 4" xfId="7646"/>
    <cellStyle name="Normal 4 7 4 2" xfId="13840"/>
    <cellStyle name="Normal 4 7 4 3" xfId="19992"/>
    <cellStyle name="Normal 4 7 5" xfId="10774"/>
    <cellStyle name="Normal 4 7 6" xfId="16926"/>
    <cellStyle name="Normal 4 7 7" xfId="4004"/>
    <cellStyle name="Normal 4 8" xfId="341"/>
    <cellStyle name="Normal 4 8 2" xfId="5240"/>
    <cellStyle name="Normal 4 8 2 2" xfId="6865"/>
    <cellStyle name="Normal 4 8 2 2 2" xfId="9951"/>
    <cellStyle name="Normal 4 8 2 2 2 2" xfId="16144"/>
    <cellStyle name="Normal 4 8 2 2 2 3" xfId="22296"/>
    <cellStyle name="Normal 4 8 2 2 3" xfId="13078"/>
    <cellStyle name="Normal 4 8 2 2 4" xfId="19230"/>
    <cellStyle name="Normal 4 8 2 3" xfId="8416"/>
    <cellStyle name="Normal 4 8 2 3 2" xfId="14610"/>
    <cellStyle name="Normal 4 8 2 3 3" xfId="20762"/>
    <cellStyle name="Normal 4 8 2 4" xfId="11544"/>
    <cellStyle name="Normal 4 8 2 5" xfId="17696"/>
    <cellStyle name="Normal 4 8 3" xfId="6082"/>
    <cellStyle name="Normal 4 8 3 2" xfId="9182"/>
    <cellStyle name="Normal 4 8 3 2 2" xfId="15375"/>
    <cellStyle name="Normal 4 8 3 2 3" xfId="21527"/>
    <cellStyle name="Normal 4 8 3 3" xfId="12309"/>
    <cellStyle name="Normal 4 8 3 4" xfId="18461"/>
    <cellStyle name="Normal 4 8 4" xfId="7647"/>
    <cellStyle name="Normal 4 8 4 2" xfId="13841"/>
    <cellStyle name="Normal 4 8 4 3" xfId="19993"/>
    <cellStyle name="Normal 4 8 5" xfId="10775"/>
    <cellStyle name="Normal 4 8 6" xfId="16927"/>
    <cellStyle name="Normal 4 8 7" xfId="4005"/>
    <cellStyle name="Normal 4 9" xfId="360"/>
    <cellStyle name="Normal 4 9 2" xfId="4006"/>
    <cellStyle name="Normal 40" xfId="4007"/>
    <cellStyle name="Normal 40 2" xfId="4008"/>
    <cellStyle name="Normal 41" xfId="4009"/>
    <cellStyle name="Normal 41 2" xfId="4010"/>
    <cellStyle name="Normal 41 2 2" xfId="5241"/>
    <cellStyle name="Normal 41 2 2 2" xfId="6866"/>
    <cellStyle name="Normal 41 2 2 2 2" xfId="9952"/>
    <cellStyle name="Normal 41 2 2 2 2 2" xfId="16145"/>
    <cellStyle name="Normal 41 2 2 2 2 3" xfId="22297"/>
    <cellStyle name="Normal 41 2 2 2 3" xfId="13079"/>
    <cellStyle name="Normal 41 2 2 2 4" xfId="19231"/>
    <cellStyle name="Normal 41 2 2 3" xfId="8417"/>
    <cellStyle name="Normal 41 2 2 3 2" xfId="14611"/>
    <cellStyle name="Normal 41 2 2 3 3" xfId="20763"/>
    <cellStyle name="Normal 41 2 2 4" xfId="11545"/>
    <cellStyle name="Normal 41 2 2 5" xfId="17697"/>
    <cellStyle name="Normal 41 2 3" xfId="6083"/>
    <cellStyle name="Normal 41 2 3 2" xfId="9183"/>
    <cellStyle name="Normal 41 2 3 2 2" xfId="15376"/>
    <cellStyle name="Normal 41 2 3 2 3" xfId="21528"/>
    <cellStyle name="Normal 41 2 3 3" xfId="12310"/>
    <cellStyle name="Normal 41 2 3 4" xfId="18462"/>
    <cellStyle name="Normal 41 2 4" xfId="7648"/>
    <cellStyle name="Normal 41 2 4 2" xfId="13842"/>
    <cellStyle name="Normal 41 2 4 3" xfId="19994"/>
    <cellStyle name="Normal 41 2 5" xfId="10776"/>
    <cellStyle name="Normal 41 2 6" xfId="16928"/>
    <cellStyle name="Normal 41 3" xfId="4011"/>
    <cellStyle name="Normal 41 3 2" xfId="4012"/>
    <cellStyle name="Normal 41 4" xfId="4013"/>
    <cellStyle name="Normal 42" xfId="4014"/>
    <cellStyle name="Normal 42 2" xfId="4015"/>
    <cellStyle name="Normal 43" xfId="4016"/>
    <cellStyle name="Normal 44" xfId="4017"/>
    <cellStyle name="Normal 44 2" xfId="4018"/>
    <cellStyle name="Normal 45" xfId="4019"/>
    <cellStyle name="Normal 46" xfId="4020"/>
    <cellStyle name="Normal 46 2" xfId="5242"/>
    <cellStyle name="Normal 46 2 2" xfId="6867"/>
    <cellStyle name="Normal 46 2 2 2" xfId="9953"/>
    <cellStyle name="Normal 46 2 2 2 2" xfId="16146"/>
    <cellStyle name="Normal 46 2 2 2 3" xfId="22298"/>
    <cellStyle name="Normal 46 2 2 3" xfId="13080"/>
    <cellStyle name="Normal 46 2 2 4" xfId="19232"/>
    <cellStyle name="Normal 46 2 3" xfId="8418"/>
    <cellStyle name="Normal 46 2 3 2" xfId="14612"/>
    <cellStyle name="Normal 46 2 3 3" xfId="20764"/>
    <cellStyle name="Normal 46 2 4" xfId="11546"/>
    <cellStyle name="Normal 46 2 5" xfId="17698"/>
    <cellStyle name="Normal 46 3" xfId="6084"/>
    <cellStyle name="Normal 46 3 2" xfId="9184"/>
    <cellStyle name="Normal 46 3 2 2" xfId="15377"/>
    <cellStyle name="Normal 46 3 2 3" xfId="21529"/>
    <cellStyle name="Normal 46 3 3" xfId="12311"/>
    <cellStyle name="Normal 46 3 4" xfId="18463"/>
    <cellStyle name="Normal 46 4" xfId="7649"/>
    <cellStyle name="Normal 46 4 2" xfId="13843"/>
    <cellStyle name="Normal 46 4 3" xfId="19995"/>
    <cellStyle name="Normal 46 5" xfId="10777"/>
    <cellStyle name="Normal 46 6" xfId="16929"/>
    <cellStyle name="Normal 47" xfId="4021"/>
    <cellStyle name="Normal 48" xfId="4022"/>
    <cellStyle name="Normal 49" xfId="1320"/>
    <cellStyle name="Normal 5" xfId="29"/>
    <cellStyle name="Normal 5 10" xfId="408"/>
    <cellStyle name="Normal 5 10 2" xfId="914"/>
    <cellStyle name="Normal 5 10 3" xfId="4024"/>
    <cellStyle name="Normal 5 10 4" xfId="22660"/>
    <cellStyle name="Normal 5 10 5" xfId="22877"/>
    <cellStyle name="Normal 5 11" xfId="420"/>
    <cellStyle name="Normal 5 11 2" xfId="917"/>
    <cellStyle name="Normal 5 11 3" xfId="4025"/>
    <cellStyle name="Normal 5 11 4" xfId="22625"/>
    <cellStyle name="Normal 5 11 5" xfId="22880"/>
    <cellStyle name="Normal 5 12" xfId="431"/>
    <cellStyle name="Normal 5 12 2" xfId="920"/>
    <cellStyle name="Normal 5 12 3" xfId="4026"/>
    <cellStyle name="Normal 5 12 4" xfId="22796"/>
    <cellStyle name="Normal 5 12 5" xfId="22883"/>
    <cellStyle name="Normal 5 13" xfId="439"/>
    <cellStyle name="Normal 5 13 2" xfId="923"/>
    <cellStyle name="Normal 5 13 3" xfId="4027"/>
    <cellStyle name="Normal 5 13 4" xfId="22597"/>
    <cellStyle name="Normal 5 13 5" xfId="22886"/>
    <cellStyle name="Normal 5 14" xfId="443"/>
    <cellStyle name="Normal 5 14 2" xfId="926"/>
    <cellStyle name="Normal 5 14 3" xfId="4028"/>
    <cellStyle name="Normal 5 14 4" xfId="22745"/>
    <cellStyle name="Normal 5 14 5" xfId="22889"/>
    <cellStyle name="Normal 5 15" xfId="446"/>
    <cellStyle name="Normal 5 15 2" xfId="929"/>
    <cellStyle name="Normal 5 15 3" xfId="4029"/>
    <cellStyle name="Normal 5 15 4" xfId="22645"/>
    <cellStyle name="Normal 5 15 5" xfId="22892"/>
    <cellStyle name="Normal 5 16" xfId="510"/>
    <cellStyle name="Normal 5 16 2" xfId="944"/>
    <cellStyle name="Normal 5 16 3" xfId="4030"/>
    <cellStyle name="Normal 5 16 4" xfId="22672"/>
    <cellStyle name="Normal 5 16 5" xfId="22907"/>
    <cellStyle name="Normal 5 17" xfId="540"/>
    <cellStyle name="Normal 5 17 2" xfId="960"/>
    <cellStyle name="Normal 5 17 3" xfId="4031"/>
    <cellStyle name="Normal 5 17 4" xfId="22783"/>
    <cellStyle name="Normal 5 17 5" xfId="22923"/>
    <cellStyle name="Normal 5 18" xfId="567"/>
    <cellStyle name="Normal 5 18 2" xfId="976"/>
    <cellStyle name="Normal 5 18 3" xfId="4032"/>
    <cellStyle name="Normal 5 18 4" xfId="22764"/>
    <cellStyle name="Normal 5 18 5" xfId="22939"/>
    <cellStyle name="Normal 5 19" xfId="593"/>
    <cellStyle name="Normal 5 19 2" xfId="992"/>
    <cellStyle name="Normal 5 19 3" xfId="4033"/>
    <cellStyle name="Normal 5 19 4" xfId="22759"/>
    <cellStyle name="Normal 5 19 5" xfId="22955"/>
    <cellStyle name="Normal 5 2" xfId="30"/>
    <cellStyle name="Normal 5 2 10" xfId="10779"/>
    <cellStyle name="Normal 5 2 11" xfId="16931"/>
    <cellStyle name="Normal 5 2 12" xfId="4034"/>
    <cellStyle name="Normal 5 2 13" xfId="202"/>
    <cellStyle name="Normal 5 2 2" xfId="31"/>
    <cellStyle name="Normal 5 2 2 2" xfId="4035"/>
    <cellStyle name="Normal 5 2 2 2 2" xfId="4036"/>
    <cellStyle name="Normal 5 2 2 2 2 2" xfId="5245"/>
    <cellStyle name="Normal 5 2 2 2 2 2 2" xfId="6870"/>
    <cellStyle name="Normal 5 2 2 2 2 2 2 2" xfId="9956"/>
    <cellStyle name="Normal 5 2 2 2 2 2 2 2 2" xfId="16149"/>
    <cellStyle name="Normal 5 2 2 2 2 2 2 2 3" xfId="22301"/>
    <cellStyle name="Normal 5 2 2 2 2 2 2 3" xfId="13083"/>
    <cellStyle name="Normal 5 2 2 2 2 2 2 4" xfId="19235"/>
    <cellStyle name="Normal 5 2 2 2 2 2 3" xfId="8421"/>
    <cellStyle name="Normal 5 2 2 2 2 2 3 2" xfId="14615"/>
    <cellStyle name="Normal 5 2 2 2 2 2 3 3" xfId="20767"/>
    <cellStyle name="Normal 5 2 2 2 2 2 4" xfId="11549"/>
    <cellStyle name="Normal 5 2 2 2 2 2 5" xfId="17701"/>
    <cellStyle name="Normal 5 2 2 2 2 3" xfId="6087"/>
    <cellStyle name="Normal 5 2 2 2 2 3 2" xfId="9187"/>
    <cellStyle name="Normal 5 2 2 2 2 3 2 2" xfId="15380"/>
    <cellStyle name="Normal 5 2 2 2 2 3 2 3" xfId="21532"/>
    <cellStyle name="Normal 5 2 2 2 2 3 3" xfId="12314"/>
    <cellStyle name="Normal 5 2 2 2 2 3 4" xfId="18466"/>
    <cellStyle name="Normal 5 2 2 2 2 4" xfId="7652"/>
    <cellStyle name="Normal 5 2 2 2 2 4 2" xfId="13846"/>
    <cellStyle name="Normal 5 2 2 2 2 4 3" xfId="19998"/>
    <cellStyle name="Normal 5 2 2 2 2 5" xfId="10780"/>
    <cellStyle name="Normal 5 2 2 2 2 6" xfId="16932"/>
    <cellStyle name="Normal 5 2 2 3" xfId="4037"/>
    <cellStyle name="Normal 5 2 2 3 2" xfId="5246"/>
    <cellStyle name="Normal 5 2 2 3 2 2" xfId="6871"/>
    <cellStyle name="Normal 5 2 2 3 2 2 2" xfId="9957"/>
    <cellStyle name="Normal 5 2 2 3 2 2 2 2" xfId="16150"/>
    <cellStyle name="Normal 5 2 2 3 2 2 2 3" xfId="22302"/>
    <cellStyle name="Normal 5 2 2 3 2 2 3" xfId="13084"/>
    <cellStyle name="Normal 5 2 2 3 2 2 4" xfId="19236"/>
    <cellStyle name="Normal 5 2 2 3 2 3" xfId="8422"/>
    <cellStyle name="Normal 5 2 2 3 2 3 2" xfId="14616"/>
    <cellStyle name="Normal 5 2 2 3 2 3 3" xfId="20768"/>
    <cellStyle name="Normal 5 2 2 3 2 4" xfId="11550"/>
    <cellStyle name="Normal 5 2 2 3 2 5" xfId="17702"/>
    <cellStyle name="Normal 5 2 2 3 3" xfId="6088"/>
    <cellStyle name="Normal 5 2 2 3 3 2" xfId="9188"/>
    <cellStyle name="Normal 5 2 2 3 3 2 2" xfId="15381"/>
    <cellStyle name="Normal 5 2 2 3 3 2 3" xfId="21533"/>
    <cellStyle name="Normal 5 2 2 3 3 3" xfId="12315"/>
    <cellStyle name="Normal 5 2 2 3 3 4" xfId="18467"/>
    <cellStyle name="Normal 5 2 2 3 4" xfId="7653"/>
    <cellStyle name="Normal 5 2 2 3 4 2" xfId="13847"/>
    <cellStyle name="Normal 5 2 2 3 4 3" xfId="19999"/>
    <cellStyle name="Normal 5 2 2 3 5" xfId="10781"/>
    <cellStyle name="Normal 5 2 2 3 6" xfId="16933"/>
    <cellStyle name="Normal 5 2 3" xfId="4038"/>
    <cellStyle name="Normal 5 2 3 2" xfId="4039"/>
    <cellStyle name="Normal 5 2 3 2 2" xfId="4040"/>
    <cellStyle name="Normal 5 2 3 2 2 2" xfId="5247"/>
    <cellStyle name="Normal 5 2 3 2 2 2 2" xfId="6872"/>
    <cellStyle name="Normal 5 2 3 2 2 2 2 2" xfId="9958"/>
    <cellStyle name="Normal 5 2 3 2 2 2 2 2 2" xfId="16151"/>
    <cellStyle name="Normal 5 2 3 2 2 2 2 2 3" xfId="22303"/>
    <cellStyle name="Normal 5 2 3 2 2 2 2 3" xfId="13085"/>
    <cellStyle name="Normal 5 2 3 2 2 2 2 4" xfId="19237"/>
    <cellStyle name="Normal 5 2 3 2 2 2 3" xfId="8423"/>
    <cellStyle name="Normal 5 2 3 2 2 2 3 2" xfId="14617"/>
    <cellStyle name="Normal 5 2 3 2 2 2 3 3" xfId="20769"/>
    <cellStyle name="Normal 5 2 3 2 2 2 4" xfId="11551"/>
    <cellStyle name="Normal 5 2 3 2 2 2 5" xfId="17703"/>
    <cellStyle name="Normal 5 2 3 2 2 3" xfId="6089"/>
    <cellStyle name="Normal 5 2 3 2 2 3 2" xfId="9189"/>
    <cellStyle name="Normal 5 2 3 2 2 3 2 2" xfId="15382"/>
    <cellStyle name="Normal 5 2 3 2 2 3 2 3" xfId="21534"/>
    <cellStyle name="Normal 5 2 3 2 2 3 3" xfId="12316"/>
    <cellStyle name="Normal 5 2 3 2 2 3 4" xfId="18468"/>
    <cellStyle name="Normal 5 2 3 2 2 4" xfId="7654"/>
    <cellStyle name="Normal 5 2 3 2 2 4 2" xfId="13848"/>
    <cellStyle name="Normal 5 2 3 2 2 4 3" xfId="20000"/>
    <cellStyle name="Normal 5 2 3 2 2 5" xfId="10782"/>
    <cellStyle name="Normal 5 2 3 2 2 6" xfId="16934"/>
    <cellStyle name="Normal 5 2 3 3" xfId="4041"/>
    <cellStyle name="Normal 5 2 3 3 2" xfId="5248"/>
    <cellStyle name="Normal 5 2 3 3 2 2" xfId="6873"/>
    <cellStyle name="Normal 5 2 3 3 2 2 2" xfId="9959"/>
    <cellStyle name="Normal 5 2 3 3 2 2 2 2" xfId="16152"/>
    <cellStyle name="Normal 5 2 3 3 2 2 2 3" xfId="22304"/>
    <cellStyle name="Normal 5 2 3 3 2 2 3" xfId="13086"/>
    <cellStyle name="Normal 5 2 3 3 2 2 4" xfId="19238"/>
    <cellStyle name="Normal 5 2 3 3 2 3" xfId="8424"/>
    <cellStyle name="Normal 5 2 3 3 2 3 2" xfId="14618"/>
    <cellStyle name="Normal 5 2 3 3 2 3 3" xfId="20770"/>
    <cellStyle name="Normal 5 2 3 3 2 4" xfId="11552"/>
    <cellStyle name="Normal 5 2 3 3 2 5" xfId="17704"/>
    <cellStyle name="Normal 5 2 3 3 3" xfId="6090"/>
    <cellStyle name="Normal 5 2 3 3 3 2" xfId="9190"/>
    <cellStyle name="Normal 5 2 3 3 3 2 2" xfId="15383"/>
    <cellStyle name="Normal 5 2 3 3 3 2 3" xfId="21535"/>
    <cellStyle name="Normal 5 2 3 3 3 3" xfId="12317"/>
    <cellStyle name="Normal 5 2 3 3 3 4" xfId="18469"/>
    <cellStyle name="Normal 5 2 3 3 4" xfId="7655"/>
    <cellStyle name="Normal 5 2 3 3 4 2" xfId="13849"/>
    <cellStyle name="Normal 5 2 3 3 4 3" xfId="20001"/>
    <cellStyle name="Normal 5 2 3 3 5" xfId="10783"/>
    <cellStyle name="Normal 5 2 3 3 6" xfId="16935"/>
    <cellStyle name="Normal 5 2 4" xfId="4042"/>
    <cellStyle name="Normal 5 2 4 2" xfId="4043"/>
    <cellStyle name="Normal 5 2 4 2 2" xfId="5249"/>
    <cellStyle name="Normal 5 2 4 2 2 2" xfId="6874"/>
    <cellStyle name="Normal 5 2 4 2 2 2 2" xfId="9960"/>
    <cellStyle name="Normal 5 2 4 2 2 2 2 2" xfId="16153"/>
    <cellStyle name="Normal 5 2 4 2 2 2 2 3" xfId="22305"/>
    <cellStyle name="Normal 5 2 4 2 2 2 3" xfId="13087"/>
    <cellStyle name="Normal 5 2 4 2 2 2 4" xfId="19239"/>
    <cellStyle name="Normal 5 2 4 2 2 3" xfId="8425"/>
    <cellStyle name="Normal 5 2 4 2 2 3 2" xfId="14619"/>
    <cellStyle name="Normal 5 2 4 2 2 3 3" xfId="20771"/>
    <cellStyle name="Normal 5 2 4 2 2 4" xfId="11553"/>
    <cellStyle name="Normal 5 2 4 2 2 5" xfId="17705"/>
    <cellStyle name="Normal 5 2 4 2 3" xfId="6091"/>
    <cellStyle name="Normal 5 2 4 2 3 2" xfId="9191"/>
    <cellStyle name="Normal 5 2 4 2 3 2 2" xfId="15384"/>
    <cellStyle name="Normal 5 2 4 2 3 2 3" xfId="21536"/>
    <cellStyle name="Normal 5 2 4 2 3 3" xfId="12318"/>
    <cellStyle name="Normal 5 2 4 2 3 4" xfId="18470"/>
    <cellStyle name="Normal 5 2 4 2 4" xfId="7656"/>
    <cellStyle name="Normal 5 2 4 2 4 2" xfId="13850"/>
    <cellStyle name="Normal 5 2 4 2 4 3" xfId="20002"/>
    <cellStyle name="Normal 5 2 4 2 5" xfId="10784"/>
    <cellStyle name="Normal 5 2 4 2 6" xfId="16936"/>
    <cellStyle name="Normal 5 2 5" xfId="4044"/>
    <cellStyle name="Normal 5 2 6" xfId="4045"/>
    <cellStyle name="Normal 5 2 6 2" xfId="5250"/>
    <cellStyle name="Normal 5 2 6 2 2" xfId="6875"/>
    <cellStyle name="Normal 5 2 6 2 2 2" xfId="9961"/>
    <cellStyle name="Normal 5 2 6 2 2 2 2" xfId="16154"/>
    <cellStyle name="Normal 5 2 6 2 2 2 3" xfId="22306"/>
    <cellStyle name="Normal 5 2 6 2 2 3" xfId="13088"/>
    <cellStyle name="Normal 5 2 6 2 2 4" xfId="19240"/>
    <cellStyle name="Normal 5 2 6 2 3" xfId="8426"/>
    <cellStyle name="Normal 5 2 6 2 3 2" xfId="14620"/>
    <cellStyle name="Normal 5 2 6 2 3 3" xfId="20772"/>
    <cellStyle name="Normal 5 2 6 2 4" xfId="11554"/>
    <cellStyle name="Normal 5 2 6 2 5" xfId="17706"/>
    <cellStyle name="Normal 5 2 6 3" xfId="6092"/>
    <cellStyle name="Normal 5 2 6 3 2" xfId="9192"/>
    <cellStyle name="Normal 5 2 6 3 2 2" xfId="15385"/>
    <cellStyle name="Normal 5 2 6 3 2 3" xfId="21537"/>
    <cellStyle name="Normal 5 2 6 3 3" xfId="12319"/>
    <cellStyle name="Normal 5 2 6 3 4" xfId="18471"/>
    <cellStyle name="Normal 5 2 6 4" xfId="7657"/>
    <cellStyle name="Normal 5 2 6 4 2" xfId="13851"/>
    <cellStyle name="Normal 5 2 6 4 3" xfId="20003"/>
    <cellStyle name="Normal 5 2 6 5" xfId="10785"/>
    <cellStyle name="Normal 5 2 6 6" xfId="16937"/>
    <cellStyle name="Normal 5 2 7" xfId="5244"/>
    <cellStyle name="Normal 5 2 7 2" xfId="6869"/>
    <cellStyle name="Normal 5 2 7 2 2" xfId="9955"/>
    <cellStyle name="Normal 5 2 7 2 2 2" xfId="16148"/>
    <cellStyle name="Normal 5 2 7 2 2 3" xfId="22300"/>
    <cellStyle name="Normal 5 2 7 2 3" xfId="13082"/>
    <cellStyle name="Normal 5 2 7 2 4" xfId="19234"/>
    <cellStyle name="Normal 5 2 7 3" xfId="8420"/>
    <cellStyle name="Normal 5 2 7 3 2" xfId="14614"/>
    <cellStyle name="Normal 5 2 7 3 3" xfId="20766"/>
    <cellStyle name="Normal 5 2 7 4" xfId="11548"/>
    <cellStyle name="Normal 5 2 7 5" xfId="17700"/>
    <cellStyle name="Normal 5 2 8" xfId="6086"/>
    <cellStyle name="Normal 5 2 8 2" xfId="9186"/>
    <cellStyle name="Normal 5 2 8 2 2" xfId="15379"/>
    <cellStyle name="Normal 5 2 8 2 3" xfId="21531"/>
    <cellStyle name="Normal 5 2 8 3" xfId="12313"/>
    <cellStyle name="Normal 5 2 8 4" xfId="18465"/>
    <cellStyle name="Normal 5 2 9" xfId="7651"/>
    <cellStyle name="Normal 5 2 9 2" xfId="13845"/>
    <cellStyle name="Normal 5 2 9 3" xfId="19997"/>
    <cellStyle name="Normal 5 20" xfId="619"/>
    <cellStyle name="Normal 5 20 2" xfId="1008"/>
    <cellStyle name="Normal 5 20 3" xfId="4046"/>
    <cellStyle name="Normal 5 20 4" xfId="22673"/>
    <cellStyle name="Normal 5 20 5" xfId="22971"/>
    <cellStyle name="Normal 5 21" xfId="643"/>
    <cellStyle name="Normal 5 21 2" xfId="1024"/>
    <cellStyle name="Normal 5 21 3" xfId="4047"/>
    <cellStyle name="Normal 5 21 4" xfId="22605"/>
    <cellStyle name="Normal 5 21 5" xfId="22987"/>
    <cellStyle name="Normal 5 22" xfId="669"/>
    <cellStyle name="Normal 5 22 2" xfId="1040"/>
    <cellStyle name="Normal 5 22 3" xfId="4048"/>
    <cellStyle name="Normal 5 22 4" xfId="22664"/>
    <cellStyle name="Normal 5 22 5" xfId="23003"/>
    <cellStyle name="Normal 5 23" xfId="709"/>
    <cellStyle name="Normal 5 23 2" xfId="1056"/>
    <cellStyle name="Normal 5 23 3" xfId="4049"/>
    <cellStyle name="Normal 5 23 4" xfId="22699"/>
    <cellStyle name="Normal 5 23 5" xfId="23019"/>
    <cellStyle name="Normal 5 24" xfId="737"/>
    <cellStyle name="Normal 5 24 2" xfId="1072"/>
    <cellStyle name="Normal 5 24 2 2" xfId="6876"/>
    <cellStyle name="Normal 5 24 2 2 2" xfId="9962"/>
    <cellStyle name="Normal 5 24 2 2 2 2" xfId="16155"/>
    <cellStyle name="Normal 5 24 2 2 2 3" xfId="22307"/>
    <cellStyle name="Normal 5 24 2 2 3" xfId="13089"/>
    <cellStyle name="Normal 5 24 2 2 4" xfId="19241"/>
    <cellStyle name="Normal 5 24 2 3" xfId="8427"/>
    <cellStyle name="Normal 5 24 2 3 2" xfId="14621"/>
    <cellStyle name="Normal 5 24 2 3 3" xfId="20773"/>
    <cellStyle name="Normal 5 24 2 4" xfId="11555"/>
    <cellStyle name="Normal 5 24 2 5" xfId="17707"/>
    <cellStyle name="Normal 5 24 2 6" xfId="5251"/>
    <cellStyle name="Normal 5 24 3" xfId="6093"/>
    <cellStyle name="Normal 5 24 3 2" xfId="9193"/>
    <cellStyle name="Normal 5 24 3 2 2" xfId="15386"/>
    <cellStyle name="Normal 5 24 3 2 3" xfId="21538"/>
    <cellStyle name="Normal 5 24 3 3" xfId="12320"/>
    <cellStyle name="Normal 5 24 3 4" xfId="18472"/>
    <cellStyle name="Normal 5 24 4" xfId="7658"/>
    <cellStyle name="Normal 5 24 4 2" xfId="13852"/>
    <cellStyle name="Normal 5 24 4 3" xfId="20004"/>
    <cellStyle name="Normal 5 24 5" xfId="10786"/>
    <cellStyle name="Normal 5 24 6" xfId="16938"/>
    <cellStyle name="Normal 5 24 7" xfId="4050"/>
    <cellStyle name="Normal 5 24 8" xfId="23035"/>
    <cellStyle name="Normal 5 25" xfId="763"/>
    <cellStyle name="Normal 5 25 2" xfId="1088"/>
    <cellStyle name="Normal 5 25 2 2" xfId="4052"/>
    <cellStyle name="Normal 5 25 3" xfId="4051"/>
    <cellStyle name="Normal 5 25 4" xfId="22623"/>
    <cellStyle name="Normal 5 25 5" xfId="23051"/>
    <cellStyle name="Normal 5 26" xfId="788"/>
    <cellStyle name="Normal 5 26 2" xfId="1104"/>
    <cellStyle name="Normal 5 26 2 2" xfId="4054"/>
    <cellStyle name="Normal 5 26 3" xfId="4053"/>
    <cellStyle name="Normal 5 26 4" xfId="22751"/>
    <cellStyle name="Normal 5 26 5" xfId="23067"/>
    <cellStyle name="Normal 5 27" xfId="812"/>
    <cellStyle name="Normal 5 27 2" xfId="1120"/>
    <cellStyle name="Normal 5 27 3" xfId="4620"/>
    <cellStyle name="Normal 5 27 4" xfId="22604"/>
    <cellStyle name="Normal 5 27 5" xfId="23083"/>
    <cellStyle name="Normal 5 28" xfId="828"/>
    <cellStyle name="Normal 5 28 2" xfId="1136"/>
    <cellStyle name="Normal 5 28 2 2" xfId="6868"/>
    <cellStyle name="Normal 5 28 2 2 2" xfId="9954"/>
    <cellStyle name="Normal 5 28 2 2 2 2" xfId="16147"/>
    <cellStyle name="Normal 5 28 2 2 2 3" xfId="22299"/>
    <cellStyle name="Normal 5 28 2 2 3" xfId="13081"/>
    <cellStyle name="Normal 5 28 2 2 4" xfId="19233"/>
    <cellStyle name="Normal 5 28 2 3" xfId="8419"/>
    <cellStyle name="Normal 5 28 2 3 2" xfId="14613"/>
    <cellStyle name="Normal 5 28 2 3 3" xfId="20765"/>
    <cellStyle name="Normal 5 28 2 4" xfId="11547"/>
    <cellStyle name="Normal 5 28 2 5" xfId="17699"/>
    <cellStyle name="Normal 5 28 2 6" xfId="5243"/>
    <cellStyle name="Normal 5 28 3" xfId="6085"/>
    <cellStyle name="Normal 5 28 3 2" xfId="9185"/>
    <cellStyle name="Normal 5 28 3 2 2" xfId="15378"/>
    <cellStyle name="Normal 5 28 3 2 3" xfId="21530"/>
    <cellStyle name="Normal 5 28 3 3" xfId="12312"/>
    <cellStyle name="Normal 5 28 3 4" xfId="18464"/>
    <cellStyle name="Normal 5 28 4" xfId="7650"/>
    <cellStyle name="Normal 5 28 4 2" xfId="13844"/>
    <cellStyle name="Normal 5 28 4 3" xfId="19996"/>
    <cellStyle name="Normal 5 28 5" xfId="10778"/>
    <cellStyle name="Normal 5 28 6" xfId="16930"/>
    <cellStyle name="Normal 5 28 7" xfId="4023"/>
    <cellStyle name="Normal 5 28 8" xfId="23099"/>
    <cellStyle name="Normal 5 29" xfId="844"/>
    <cellStyle name="Normal 5 29 2" xfId="1152"/>
    <cellStyle name="Normal 5 29 3" xfId="1179"/>
    <cellStyle name="Normal 5 29 4" xfId="22729"/>
    <cellStyle name="Normal 5 29 5" xfId="23115"/>
    <cellStyle name="Normal 5 3" xfId="296"/>
    <cellStyle name="Normal 5 3 10" xfId="23281"/>
    <cellStyle name="Normal 5 3 2" xfId="892"/>
    <cellStyle name="Normal 5 3 2 2" xfId="4056"/>
    <cellStyle name="Normal 5 3 3" xfId="5252"/>
    <cellStyle name="Normal 5 3 3 2" xfId="6877"/>
    <cellStyle name="Normal 5 3 3 2 2" xfId="9963"/>
    <cellStyle name="Normal 5 3 3 2 2 2" xfId="16156"/>
    <cellStyle name="Normal 5 3 3 2 2 3" xfId="22308"/>
    <cellStyle name="Normal 5 3 3 2 3" xfId="13090"/>
    <cellStyle name="Normal 5 3 3 2 4" xfId="19242"/>
    <cellStyle name="Normal 5 3 3 3" xfId="8428"/>
    <cellStyle name="Normal 5 3 3 3 2" xfId="14622"/>
    <cellStyle name="Normal 5 3 3 3 3" xfId="20774"/>
    <cellStyle name="Normal 5 3 3 4" xfId="11556"/>
    <cellStyle name="Normal 5 3 3 5" xfId="17708"/>
    <cellStyle name="Normal 5 3 4" xfId="6094"/>
    <cellStyle name="Normal 5 3 4 2" xfId="9194"/>
    <cellStyle name="Normal 5 3 4 2 2" xfId="15387"/>
    <cellStyle name="Normal 5 3 4 2 3" xfId="21539"/>
    <cellStyle name="Normal 5 3 4 3" xfId="12321"/>
    <cellStyle name="Normal 5 3 4 4" xfId="18473"/>
    <cellStyle name="Normal 5 3 5" xfId="7659"/>
    <cellStyle name="Normal 5 3 5 2" xfId="13853"/>
    <cellStyle name="Normal 5 3 5 3" xfId="20005"/>
    <cellStyle name="Normal 5 3 6" xfId="10787"/>
    <cellStyle name="Normal 5 3 7" xfId="16939"/>
    <cellStyle name="Normal 5 3 8" xfId="4055"/>
    <cellStyle name="Normal 5 3 9" xfId="22855"/>
    <cellStyle name="Normal 5 30" xfId="201"/>
    <cellStyle name="Normal 5 4" xfId="319"/>
    <cellStyle name="Normal 5 4 10" xfId="23282"/>
    <cellStyle name="Normal 5 4 2" xfId="896"/>
    <cellStyle name="Normal 5 4 2 2" xfId="4058"/>
    <cellStyle name="Normal 5 4 3" xfId="5253"/>
    <cellStyle name="Normal 5 4 3 2" xfId="6878"/>
    <cellStyle name="Normal 5 4 3 2 2" xfId="9964"/>
    <cellStyle name="Normal 5 4 3 2 2 2" xfId="16157"/>
    <cellStyle name="Normal 5 4 3 2 2 3" xfId="22309"/>
    <cellStyle name="Normal 5 4 3 2 3" xfId="13091"/>
    <cellStyle name="Normal 5 4 3 2 4" xfId="19243"/>
    <cellStyle name="Normal 5 4 3 3" xfId="8429"/>
    <cellStyle name="Normal 5 4 3 3 2" xfId="14623"/>
    <cellStyle name="Normal 5 4 3 3 3" xfId="20775"/>
    <cellStyle name="Normal 5 4 3 4" xfId="11557"/>
    <cellStyle name="Normal 5 4 3 5" xfId="17709"/>
    <cellStyle name="Normal 5 4 4" xfId="6095"/>
    <cellStyle name="Normal 5 4 4 2" xfId="9195"/>
    <cellStyle name="Normal 5 4 4 2 2" xfId="15388"/>
    <cellStyle name="Normal 5 4 4 2 3" xfId="21540"/>
    <cellStyle name="Normal 5 4 4 3" xfId="12322"/>
    <cellStyle name="Normal 5 4 4 4" xfId="18474"/>
    <cellStyle name="Normal 5 4 5" xfId="7660"/>
    <cellStyle name="Normal 5 4 5 2" xfId="13854"/>
    <cellStyle name="Normal 5 4 5 3" xfId="20006"/>
    <cellStyle name="Normal 5 4 6" xfId="10788"/>
    <cellStyle name="Normal 5 4 7" xfId="16940"/>
    <cellStyle name="Normal 5 4 8" xfId="4057"/>
    <cellStyle name="Normal 5 4 9" xfId="22859"/>
    <cellStyle name="Normal 5 5" xfId="334"/>
    <cellStyle name="Normal 5 5 10" xfId="23283"/>
    <cellStyle name="Normal 5 5 2" xfId="899"/>
    <cellStyle name="Normal 5 5 2 2" xfId="4060"/>
    <cellStyle name="Normal 5 5 3" xfId="5254"/>
    <cellStyle name="Normal 5 5 3 2" xfId="6879"/>
    <cellStyle name="Normal 5 5 3 2 2" xfId="9965"/>
    <cellStyle name="Normal 5 5 3 2 2 2" xfId="16158"/>
    <cellStyle name="Normal 5 5 3 2 2 3" xfId="22310"/>
    <cellStyle name="Normal 5 5 3 2 3" xfId="13092"/>
    <cellStyle name="Normal 5 5 3 2 4" xfId="19244"/>
    <cellStyle name="Normal 5 5 3 3" xfId="8430"/>
    <cellStyle name="Normal 5 5 3 3 2" xfId="14624"/>
    <cellStyle name="Normal 5 5 3 3 3" xfId="20776"/>
    <cellStyle name="Normal 5 5 3 4" xfId="11558"/>
    <cellStyle name="Normal 5 5 3 5" xfId="17710"/>
    <cellStyle name="Normal 5 5 4" xfId="6096"/>
    <cellStyle name="Normal 5 5 4 2" xfId="9196"/>
    <cellStyle name="Normal 5 5 4 2 2" xfId="15389"/>
    <cellStyle name="Normal 5 5 4 2 3" xfId="21541"/>
    <cellStyle name="Normal 5 5 4 3" xfId="12323"/>
    <cellStyle name="Normal 5 5 4 4" xfId="18475"/>
    <cellStyle name="Normal 5 5 5" xfId="7661"/>
    <cellStyle name="Normal 5 5 5 2" xfId="13855"/>
    <cellStyle name="Normal 5 5 5 3" xfId="20007"/>
    <cellStyle name="Normal 5 5 6" xfId="10789"/>
    <cellStyle name="Normal 5 5 7" xfId="16941"/>
    <cellStyle name="Normal 5 5 8" xfId="4059"/>
    <cellStyle name="Normal 5 5 9" xfId="22862"/>
    <cellStyle name="Normal 5 6" xfId="348"/>
    <cellStyle name="Normal 5 6 2" xfId="902"/>
    <cellStyle name="Normal 5 6 2 2" xfId="4062"/>
    <cellStyle name="Normal 5 6 3" xfId="5255"/>
    <cellStyle name="Normal 5 6 3 2" xfId="6880"/>
    <cellStyle name="Normal 5 6 3 2 2" xfId="9966"/>
    <cellStyle name="Normal 5 6 3 2 2 2" xfId="16159"/>
    <cellStyle name="Normal 5 6 3 2 2 3" xfId="22311"/>
    <cellStyle name="Normal 5 6 3 2 3" xfId="13093"/>
    <cellStyle name="Normal 5 6 3 2 4" xfId="19245"/>
    <cellStyle name="Normal 5 6 3 3" xfId="8431"/>
    <cellStyle name="Normal 5 6 3 3 2" xfId="14625"/>
    <cellStyle name="Normal 5 6 3 3 3" xfId="20777"/>
    <cellStyle name="Normal 5 6 3 4" xfId="11559"/>
    <cellStyle name="Normal 5 6 3 5" xfId="17711"/>
    <cellStyle name="Normal 5 6 4" xfId="6097"/>
    <cellStyle name="Normal 5 6 4 2" xfId="9197"/>
    <cellStyle name="Normal 5 6 4 2 2" xfId="15390"/>
    <cellStyle name="Normal 5 6 4 2 3" xfId="21542"/>
    <cellStyle name="Normal 5 6 4 3" xfId="12324"/>
    <cellStyle name="Normal 5 6 4 4" xfId="18476"/>
    <cellStyle name="Normal 5 6 5" xfId="7662"/>
    <cellStyle name="Normal 5 6 5 2" xfId="13856"/>
    <cellStyle name="Normal 5 6 5 3" xfId="20008"/>
    <cellStyle name="Normal 5 6 6" xfId="10790"/>
    <cellStyle name="Normal 5 6 7" xfId="16942"/>
    <cellStyle name="Normal 5 6 8" xfId="4061"/>
    <cellStyle name="Normal 5 6 9" xfId="22865"/>
    <cellStyle name="Normal 5 7" xfId="364"/>
    <cellStyle name="Normal 5 7 2" xfId="905"/>
    <cellStyle name="Normal 5 7 2 2" xfId="4064"/>
    <cellStyle name="Normal 5 7 3" xfId="5256"/>
    <cellStyle name="Normal 5 7 3 2" xfId="6881"/>
    <cellStyle name="Normal 5 7 3 2 2" xfId="9967"/>
    <cellStyle name="Normal 5 7 3 2 2 2" xfId="16160"/>
    <cellStyle name="Normal 5 7 3 2 2 3" xfId="22312"/>
    <cellStyle name="Normal 5 7 3 2 3" xfId="13094"/>
    <cellStyle name="Normal 5 7 3 2 4" xfId="19246"/>
    <cellStyle name="Normal 5 7 3 3" xfId="8432"/>
    <cellStyle name="Normal 5 7 3 3 2" xfId="14626"/>
    <cellStyle name="Normal 5 7 3 3 3" xfId="20778"/>
    <cellStyle name="Normal 5 7 3 4" xfId="11560"/>
    <cellStyle name="Normal 5 7 3 5" xfId="17712"/>
    <cellStyle name="Normal 5 7 4" xfId="6098"/>
    <cellStyle name="Normal 5 7 4 2" xfId="9198"/>
    <cellStyle name="Normal 5 7 4 2 2" xfId="15391"/>
    <cellStyle name="Normal 5 7 4 2 3" xfId="21543"/>
    <cellStyle name="Normal 5 7 4 3" xfId="12325"/>
    <cellStyle name="Normal 5 7 4 4" xfId="18477"/>
    <cellStyle name="Normal 5 7 5" xfId="7663"/>
    <cellStyle name="Normal 5 7 5 2" xfId="13857"/>
    <cellStyle name="Normal 5 7 5 3" xfId="20009"/>
    <cellStyle name="Normal 5 7 6" xfId="10791"/>
    <cellStyle name="Normal 5 7 7" xfId="16943"/>
    <cellStyle name="Normal 5 7 8" xfId="4063"/>
    <cellStyle name="Normal 5 7 9" xfId="22868"/>
    <cellStyle name="Normal 5 8" xfId="379"/>
    <cellStyle name="Normal 5 8 2" xfId="908"/>
    <cellStyle name="Normal 5 8 3" xfId="4065"/>
    <cellStyle name="Normal 5 8 4" xfId="22687"/>
    <cellStyle name="Normal 5 8 5" xfId="22871"/>
    <cellStyle name="Normal 5 9" xfId="395"/>
    <cellStyle name="Normal 5 9 2" xfId="911"/>
    <cellStyle name="Normal 5 9 3" xfId="4066"/>
    <cellStyle name="Normal 5 9 4" xfId="22634"/>
    <cellStyle name="Normal 5 9 5" xfId="22874"/>
    <cellStyle name="Normal 5_GRCW" xfId="60"/>
    <cellStyle name="Normal 50" xfId="1317"/>
    <cellStyle name="Normal 50 2" xfId="4764"/>
    <cellStyle name="Normal 50 2 2" xfId="6389"/>
    <cellStyle name="Normal 50 2 2 2" xfId="9475"/>
    <cellStyle name="Normal 50 2 2 2 2" xfId="15668"/>
    <cellStyle name="Normal 50 2 2 2 3" xfId="21820"/>
    <cellStyle name="Normal 50 2 2 3" xfId="12602"/>
    <cellStyle name="Normal 50 2 2 4" xfId="18754"/>
    <cellStyle name="Normal 50 2 3" xfId="7940"/>
    <cellStyle name="Normal 50 2 3 2" xfId="14134"/>
    <cellStyle name="Normal 50 2 3 3" xfId="20286"/>
    <cellStyle name="Normal 50 2 4" xfId="11068"/>
    <cellStyle name="Normal 50 2 5" xfId="17220"/>
    <cellStyle name="Normal 50 3" xfId="5603"/>
    <cellStyle name="Normal 50 3 2" xfId="8706"/>
    <cellStyle name="Normal 50 3 2 2" xfId="14899"/>
    <cellStyle name="Normal 50 3 2 3" xfId="21051"/>
    <cellStyle name="Normal 50 3 3" xfId="11833"/>
    <cellStyle name="Normal 50 3 4" xfId="17985"/>
    <cellStyle name="Normal 50 4" xfId="7171"/>
    <cellStyle name="Normal 50 4 2" xfId="13365"/>
    <cellStyle name="Normal 50 4 3" xfId="19517"/>
    <cellStyle name="Normal 50 5" xfId="10299"/>
    <cellStyle name="Normal 50 6" xfId="16451"/>
    <cellStyle name="Normal 51" xfId="4728"/>
    <cellStyle name="Normal 51 2" xfId="4739"/>
    <cellStyle name="Normal 51 3" xfId="6360"/>
    <cellStyle name="Normal 51 3 2" xfId="9446"/>
    <cellStyle name="Normal 51 3 2 2" xfId="15639"/>
    <cellStyle name="Normal 51 3 2 3" xfId="21791"/>
    <cellStyle name="Normal 51 3 3" xfId="12573"/>
    <cellStyle name="Normal 51 3 4" xfId="18725"/>
    <cellStyle name="Normal 51 4" xfId="7911"/>
    <cellStyle name="Normal 51 4 2" xfId="14105"/>
    <cellStyle name="Normal 51 4 3" xfId="20257"/>
    <cellStyle name="Normal 51 5" xfId="11039"/>
    <cellStyle name="Normal 51 6" xfId="17191"/>
    <cellStyle name="Normal 52" xfId="5576"/>
    <cellStyle name="Normal 52 2" xfId="8680"/>
    <cellStyle name="Normal 52 2 2" xfId="14874"/>
    <cellStyle name="Normal 52 2 3" xfId="21026"/>
    <cellStyle name="Normal 52 3" xfId="11808"/>
    <cellStyle name="Normal 52 4" xfId="17960"/>
    <cellStyle name="Normal 53" xfId="7142"/>
    <cellStyle name="Normal 54" xfId="7141"/>
    <cellStyle name="Normal 54 2" xfId="13342"/>
    <cellStyle name="Normal 54 3" xfId="19494"/>
    <cellStyle name="Normal 55" xfId="10218"/>
    <cellStyle name="Normal 56" xfId="10270"/>
    <cellStyle name="Normal 57" xfId="10269"/>
    <cellStyle name="Normal 58" xfId="1175"/>
    <cellStyle name="Normal 59" xfId="1157"/>
    <cellStyle name="Normal 6" xfId="32"/>
    <cellStyle name="Normal 6 2" xfId="74"/>
    <cellStyle name="Normal 6 2 2" xfId="4068"/>
    <cellStyle name="Normal 6 2 3" xfId="23284"/>
    <cellStyle name="Normal 6 3" xfId="4069"/>
    <cellStyle name="Normal 6 3 2" xfId="23285"/>
    <cellStyle name="Normal 6 4" xfId="4070"/>
    <cellStyle name="Normal 6 4 2" xfId="23286"/>
    <cellStyle name="Normal 6 5" xfId="4071"/>
    <cellStyle name="Normal 6 5 2" xfId="4072"/>
    <cellStyle name="Normal 6 5 3" xfId="23287"/>
    <cellStyle name="Normal 6 6" xfId="4073"/>
    <cellStyle name="Normal 6 6 2" xfId="4074"/>
    <cellStyle name="Normal 6 7" xfId="4621"/>
    <cellStyle name="Normal 6 8" xfId="4067"/>
    <cellStyle name="Normal 7" xfId="33"/>
    <cellStyle name="Normal 7 10" xfId="4076"/>
    <cellStyle name="Normal 7 10 2" xfId="5258"/>
    <cellStyle name="Normal 7 10 2 2" xfId="6883"/>
    <cellStyle name="Normal 7 10 2 2 2" xfId="9969"/>
    <cellStyle name="Normal 7 10 2 2 2 2" xfId="16162"/>
    <cellStyle name="Normal 7 10 2 2 2 3" xfId="22314"/>
    <cellStyle name="Normal 7 10 2 2 3" xfId="13096"/>
    <cellStyle name="Normal 7 10 2 2 4" xfId="19248"/>
    <cellStyle name="Normal 7 10 2 3" xfId="8434"/>
    <cellStyle name="Normal 7 10 2 3 2" xfId="14628"/>
    <cellStyle name="Normal 7 10 2 3 3" xfId="20780"/>
    <cellStyle name="Normal 7 10 2 4" xfId="11562"/>
    <cellStyle name="Normal 7 10 2 5" xfId="17714"/>
    <cellStyle name="Normal 7 10 3" xfId="6100"/>
    <cellStyle name="Normal 7 10 3 2" xfId="9200"/>
    <cellStyle name="Normal 7 10 3 2 2" xfId="15393"/>
    <cellStyle name="Normal 7 10 3 2 3" xfId="21545"/>
    <cellStyle name="Normal 7 10 3 3" xfId="12327"/>
    <cellStyle name="Normal 7 10 3 4" xfId="18479"/>
    <cellStyle name="Normal 7 10 4" xfId="7665"/>
    <cellStyle name="Normal 7 10 4 2" xfId="13859"/>
    <cellStyle name="Normal 7 10 4 3" xfId="20011"/>
    <cellStyle name="Normal 7 10 5" xfId="10793"/>
    <cellStyle name="Normal 7 10 6" xfId="16945"/>
    <cellStyle name="Normal 7 11" xfId="4077"/>
    <cellStyle name="Normal 7 11 2" xfId="5259"/>
    <cellStyle name="Normal 7 11 2 2" xfId="6884"/>
    <cellStyle name="Normal 7 11 2 2 2" xfId="9970"/>
    <cellStyle name="Normal 7 11 2 2 2 2" xfId="16163"/>
    <cellStyle name="Normal 7 11 2 2 2 3" xfId="22315"/>
    <cellStyle name="Normal 7 11 2 2 3" xfId="13097"/>
    <cellStyle name="Normal 7 11 2 2 4" xfId="19249"/>
    <cellStyle name="Normal 7 11 2 3" xfId="8435"/>
    <cellStyle name="Normal 7 11 2 3 2" xfId="14629"/>
    <cellStyle name="Normal 7 11 2 3 3" xfId="20781"/>
    <cellStyle name="Normal 7 11 2 4" xfId="11563"/>
    <cellStyle name="Normal 7 11 2 5" xfId="17715"/>
    <cellStyle name="Normal 7 11 3" xfId="6101"/>
    <cellStyle name="Normal 7 11 3 2" xfId="9201"/>
    <cellStyle name="Normal 7 11 3 2 2" xfId="15394"/>
    <cellStyle name="Normal 7 11 3 2 3" xfId="21546"/>
    <cellStyle name="Normal 7 11 3 3" xfId="12328"/>
    <cellStyle name="Normal 7 11 3 4" xfId="18480"/>
    <cellStyle name="Normal 7 11 4" xfId="7666"/>
    <cellStyle name="Normal 7 11 4 2" xfId="13860"/>
    <cellStyle name="Normal 7 11 4 3" xfId="20012"/>
    <cellStyle name="Normal 7 11 5" xfId="10794"/>
    <cellStyle name="Normal 7 11 6" xfId="16946"/>
    <cellStyle name="Normal 7 12" xfId="4078"/>
    <cellStyle name="Normal 7 12 2" xfId="5260"/>
    <cellStyle name="Normal 7 12 2 2" xfId="6885"/>
    <cellStyle name="Normal 7 12 2 2 2" xfId="9971"/>
    <cellStyle name="Normal 7 12 2 2 2 2" xfId="16164"/>
    <cellStyle name="Normal 7 12 2 2 2 3" xfId="22316"/>
    <cellStyle name="Normal 7 12 2 2 3" xfId="13098"/>
    <cellStyle name="Normal 7 12 2 2 4" xfId="19250"/>
    <cellStyle name="Normal 7 12 2 3" xfId="8436"/>
    <cellStyle name="Normal 7 12 2 3 2" xfId="14630"/>
    <cellStyle name="Normal 7 12 2 3 3" xfId="20782"/>
    <cellStyle name="Normal 7 12 2 4" xfId="11564"/>
    <cellStyle name="Normal 7 12 2 5" xfId="17716"/>
    <cellStyle name="Normal 7 12 3" xfId="6102"/>
    <cellStyle name="Normal 7 12 3 2" xfId="9202"/>
    <cellStyle name="Normal 7 12 3 2 2" xfId="15395"/>
    <cellStyle name="Normal 7 12 3 2 3" xfId="21547"/>
    <cellStyle name="Normal 7 12 3 3" xfId="12329"/>
    <cellStyle name="Normal 7 12 3 4" xfId="18481"/>
    <cellStyle name="Normal 7 12 4" xfId="7667"/>
    <cellStyle name="Normal 7 12 4 2" xfId="13861"/>
    <cellStyle name="Normal 7 12 4 3" xfId="20013"/>
    <cellStyle name="Normal 7 12 5" xfId="10795"/>
    <cellStyle name="Normal 7 12 6" xfId="16947"/>
    <cellStyle name="Normal 7 13" xfId="4079"/>
    <cellStyle name="Normal 7 13 2" xfId="5261"/>
    <cellStyle name="Normal 7 13 2 2" xfId="6886"/>
    <cellStyle name="Normal 7 13 2 2 2" xfId="9972"/>
    <cellStyle name="Normal 7 13 2 2 2 2" xfId="16165"/>
    <cellStyle name="Normal 7 13 2 2 2 3" xfId="22317"/>
    <cellStyle name="Normal 7 13 2 2 3" xfId="13099"/>
    <cellStyle name="Normal 7 13 2 2 4" xfId="19251"/>
    <cellStyle name="Normal 7 13 2 3" xfId="8437"/>
    <cellStyle name="Normal 7 13 2 3 2" xfId="14631"/>
    <cellStyle name="Normal 7 13 2 3 3" xfId="20783"/>
    <cellStyle name="Normal 7 13 2 4" xfId="11565"/>
    <cellStyle name="Normal 7 13 2 5" xfId="17717"/>
    <cellStyle name="Normal 7 13 3" xfId="6103"/>
    <cellStyle name="Normal 7 13 3 2" xfId="9203"/>
    <cellStyle name="Normal 7 13 3 2 2" xfId="15396"/>
    <cellStyle name="Normal 7 13 3 2 3" xfId="21548"/>
    <cellStyle name="Normal 7 13 3 3" xfId="12330"/>
    <cellStyle name="Normal 7 13 3 4" xfId="18482"/>
    <cellStyle name="Normal 7 13 4" xfId="7668"/>
    <cellStyle name="Normal 7 13 4 2" xfId="13862"/>
    <cellStyle name="Normal 7 13 4 3" xfId="20014"/>
    <cellStyle name="Normal 7 13 5" xfId="10796"/>
    <cellStyle name="Normal 7 13 6" xfId="16948"/>
    <cellStyle name="Normal 7 14" xfId="4080"/>
    <cellStyle name="Normal 7 14 2" xfId="5262"/>
    <cellStyle name="Normal 7 14 2 2" xfId="6887"/>
    <cellStyle name="Normal 7 14 2 2 2" xfId="9973"/>
    <cellStyle name="Normal 7 14 2 2 2 2" xfId="16166"/>
    <cellStyle name="Normal 7 14 2 2 2 3" xfId="22318"/>
    <cellStyle name="Normal 7 14 2 2 3" xfId="13100"/>
    <cellStyle name="Normal 7 14 2 2 4" xfId="19252"/>
    <cellStyle name="Normal 7 14 2 3" xfId="8438"/>
    <cellStyle name="Normal 7 14 2 3 2" xfId="14632"/>
    <cellStyle name="Normal 7 14 2 3 3" xfId="20784"/>
    <cellStyle name="Normal 7 14 2 4" xfId="11566"/>
    <cellStyle name="Normal 7 14 2 5" xfId="17718"/>
    <cellStyle name="Normal 7 14 3" xfId="6104"/>
    <cellStyle name="Normal 7 14 3 2" xfId="9204"/>
    <cellStyle name="Normal 7 14 3 2 2" xfId="15397"/>
    <cellStyle name="Normal 7 14 3 2 3" xfId="21549"/>
    <cellStyle name="Normal 7 14 3 3" xfId="12331"/>
    <cellStyle name="Normal 7 14 3 4" xfId="18483"/>
    <cellStyle name="Normal 7 14 4" xfId="7669"/>
    <cellStyle name="Normal 7 14 4 2" xfId="13863"/>
    <cellStyle name="Normal 7 14 4 3" xfId="20015"/>
    <cellStyle name="Normal 7 14 5" xfId="10797"/>
    <cellStyle name="Normal 7 14 6" xfId="16949"/>
    <cellStyle name="Normal 7 15" xfId="4081"/>
    <cellStyle name="Normal 7 15 2" xfId="5263"/>
    <cellStyle name="Normal 7 15 2 2" xfId="6888"/>
    <cellStyle name="Normal 7 15 2 2 2" xfId="9974"/>
    <cellStyle name="Normal 7 15 2 2 2 2" xfId="16167"/>
    <cellStyle name="Normal 7 15 2 2 2 3" xfId="22319"/>
    <cellStyle name="Normal 7 15 2 2 3" xfId="13101"/>
    <cellStyle name="Normal 7 15 2 2 4" xfId="19253"/>
    <cellStyle name="Normal 7 15 2 3" xfId="8439"/>
    <cellStyle name="Normal 7 15 2 3 2" xfId="14633"/>
    <cellStyle name="Normal 7 15 2 3 3" xfId="20785"/>
    <cellStyle name="Normal 7 15 2 4" xfId="11567"/>
    <cellStyle name="Normal 7 15 2 5" xfId="17719"/>
    <cellStyle name="Normal 7 15 3" xfId="6105"/>
    <cellStyle name="Normal 7 15 3 2" xfId="9205"/>
    <cellStyle name="Normal 7 15 3 2 2" xfId="15398"/>
    <cellStyle name="Normal 7 15 3 2 3" xfId="21550"/>
    <cellStyle name="Normal 7 15 3 3" xfId="12332"/>
    <cellStyle name="Normal 7 15 3 4" xfId="18484"/>
    <cellStyle name="Normal 7 15 4" xfId="7670"/>
    <cellStyle name="Normal 7 15 4 2" xfId="13864"/>
    <cellStyle name="Normal 7 15 4 3" xfId="20016"/>
    <cellStyle name="Normal 7 15 5" xfId="10798"/>
    <cellStyle name="Normal 7 15 6" xfId="16950"/>
    <cellStyle name="Normal 7 16" xfId="4082"/>
    <cellStyle name="Normal 7 16 2" xfId="5264"/>
    <cellStyle name="Normal 7 16 2 2" xfId="6889"/>
    <cellStyle name="Normal 7 16 2 2 2" xfId="9975"/>
    <cellStyle name="Normal 7 16 2 2 2 2" xfId="16168"/>
    <cellStyle name="Normal 7 16 2 2 2 3" xfId="22320"/>
    <cellStyle name="Normal 7 16 2 2 3" xfId="13102"/>
    <cellStyle name="Normal 7 16 2 2 4" xfId="19254"/>
    <cellStyle name="Normal 7 16 2 3" xfId="8440"/>
    <cellStyle name="Normal 7 16 2 3 2" xfId="14634"/>
    <cellStyle name="Normal 7 16 2 3 3" xfId="20786"/>
    <cellStyle name="Normal 7 16 2 4" xfId="11568"/>
    <cellStyle name="Normal 7 16 2 5" xfId="17720"/>
    <cellStyle name="Normal 7 16 3" xfId="6106"/>
    <cellStyle name="Normal 7 16 3 2" xfId="9206"/>
    <cellStyle name="Normal 7 16 3 2 2" xfId="15399"/>
    <cellStyle name="Normal 7 16 3 2 3" xfId="21551"/>
    <cellStyle name="Normal 7 16 3 3" xfId="12333"/>
    <cellStyle name="Normal 7 16 3 4" xfId="18485"/>
    <cellStyle name="Normal 7 16 4" xfId="7671"/>
    <cellStyle name="Normal 7 16 4 2" xfId="13865"/>
    <cellStyle name="Normal 7 16 4 3" xfId="20017"/>
    <cellStyle name="Normal 7 16 5" xfId="10799"/>
    <cellStyle name="Normal 7 16 6" xfId="16951"/>
    <cellStyle name="Normal 7 17" xfId="4083"/>
    <cellStyle name="Normal 7 17 2" xfId="5265"/>
    <cellStyle name="Normal 7 17 2 2" xfId="6890"/>
    <cellStyle name="Normal 7 17 2 2 2" xfId="9976"/>
    <cellStyle name="Normal 7 17 2 2 2 2" xfId="16169"/>
    <cellStyle name="Normal 7 17 2 2 2 3" xfId="22321"/>
    <cellStyle name="Normal 7 17 2 2 3" xfId="13103"/>
    <cellStyle name="Normal 7 17 2 2 4" xfId="19255"/>
    <cellStyle name="Normal 7 17 2 3" xfId="8441"/>
    <cellStyle name="Normal 7 17 2 3 2" xfId="14635"/>
    <cellStyle name="Normal 7 17 2 3 3" xfId="20787"/>
    <cellStyle name="Normal 7 17 2 4" xfId="11569"/>
    <cellStyle name="Normal 7 17 2 5" xfId="17721"/>
    <cellStyle name="Normal 7 17 3" xfId="6107"/>
    <cellStyle name="Normal 7 17 3 2" xfId="9207"/>
    <cellStyle name="Normal 7 17 3 2 2" xfId="15400"/>
    <cellStyle name="Normal 7 17 3 2 3" xfId="21552"/>
    <cellStyle name="Normal 7 17 3 3" xfId="12334"/>
    <cellStyle name="Normal 7 17 3 4" xfId="18486"/>
    <cellStyle name="Normal 7 17 4" xfId="7672"/>
    <cellStyle name="Normal 7 17 4 2" xfId="13866"/>
    <cellStyle name="Normal 7 17 4 3" xfId="20018"/>
    <cellStyle name="Normal 7 17 5" xfId="10800"/>
    <cellStyle name="Normal 7 17 6" xfId="16952"/>
    <cellStyle name="Normal 7 18" xfId="4084"/>
    <cellStyle name="Normal 7 18 2" xfId="5266"/>
    <cellStyle name="Normal 7 18 2 2" xfId="6891"/>
    <cellStyle name="Normal 7 18 2 2 2" xfId="9977"/>
    <cellStyle name="Normal 7 18 2 2 2 2" xfId="16170"/>
    <cellStyle name="Normal 7 18 2 2 2 3" xfId="22322"/>
    <cellStyle name="Normal 7 18 2 2 3" xfId="13104"/>
    <cellStyle name="Normal 7 18 2 2 4" xfId="19256"/>
    <cellStyle name="Normal 7 18 2 3" xfId="8442"/>
    <cellStyle name="Normal 7 18 2 3 2" xfId="14636"/>
    <cellStyle name="Normal 7 18 2 3 3" xfId="20788"/>
    <cellStyle name="Normal 7 18 2 4" xfId="11570"/>
    <cellStyle name="Normal 7 18 2 5" xfId="17722"/>
    <cellStyle name="Normal 7 18 3" xfId="6108"/>
    <cellStyle name="Normal 7 18 3 2" xfId="9208"/>
    <cellStyle name="Normal 7 18 3 2 2" xfId="15401"/>
    <cellStyle name="Normal 7 18 3 2 3" xfId="21553"/>
    <cellStyle name="Normal 7 18 3 3" xfId="12335"/>
    <cellStyle name="Normal 7 18 3 4" xfId="18487"/>
    <cellStyle name="Normal 7 18 4" xfId="7673"/>
    <cellStyle name="Normal 7 18 4 2" xfId="13867"/>
    <cellStyle name="Normal 7 18 4 3" xfId="20019"/>
    <cellStyle name="Normal 7 18 5" xfId="10801"/>
    <cellStyle name="Normal 7 18 6" xfId="16953"/>
    <cellStyle name="Normal 7 19" xfId="4085"/>
    <cellStyle name="Normal 7 19 2" xfId="5267"/>
    <cellStyle name="Normal 7 19 2 2" xfId="6892"/>
    <cellStyle name="Normal 7 19 2 2 2" xfId="9978"/>
    <cellStyle name="Normal 7 19 2 2 2 2" xfId="16171"/>
    <cellStyle name="Normal 7 19 2 2 2 3" xfId="22323"/>
    <cellStyle name="Normal 7 19 2 2 3" xfId="13105"/>
    <cellStyle name="Normal 7 19 2 2 4" xfId="19257"/>
    <cellStyle name="Normal 7 19 2 3" xfId="8443"/>
    <cellStyle name="Normal 7 19 2 3 2" xfId="14637"/>
    <cellStyle name="Normal 7 19 2 3 3" xfId="20789"/>
    <cellStyle name="Normal 7 19 2 4" xfId="11571"/>
    <cellStyle name="Normal 7 19 2 5" xfId="17723"/>
    <cellStyle name="Normal 7 19 3" xfId="6109"/>
    <cellStyle name="Normal 7 19 3 2" xfId="9209"/>
    <cellStyle name="Normal 7 19 3 2 2" xfId="15402"/>
    <cellStyle name="Normal 7 19 3 2 3" xfId="21554"/>
    <cellStyle name="Normal 7 19 3 3" xfId="12336"/>
    <cellStyle name="Normal 7 19 3 4" xfId="18488"/>
    <cellStyle name="Normal 7 19 4" xfId="7674"/>
    <cellStyle name="Normal 7 19 4 2" xfId="13868"/>
    <cellStyle name="Normal 7 19 4 3" xfId="20020"/>
    <cellStyle name="Normal 7 19 5" xfId="10802"/>
    <cellStyle name="Normal 7 19 6" xfId="16954"/>
    <cellStyle name="Normal 7 2" xfId="34"/>
    <cellStyle name="Normal 7 2 10" xfId="10803"/>
    <cellStyle name="Normal 7 2 11" xfId="16955"/>
    <cellStyle name="Normal 7 2 12" xfId="4086"/>
    <cellStyle name="Normal 7 2 13" xfId="23288"/>
    <cellStyle name="Normal 7 2 2" xfId="35"/>
    <cellStyle name="Normal 7 2 2 2" xfId="97"/>
    <cellStyle name="Normal 7 2 2 2 2" xfId="143"/>
    <cellStyle name="Normal 7 2 2 2 2 2" xfId="9980"/>
    <cellStyle name="Normal 7 2 2 2 2 2 2" xfId="16173"/>
    <cellStyle name="Normal 7 2 2 2 2 2 3" xfId="22325"/>
    <cellStyle name="Normal 7 2 2 2 2 3" xfId="13107"/>
    <cellStyle name="Normal 7 2 2 2 2 4" xfId="19259"/>
    <cellStyle name="Normal 7 2 2 2 2 5" xfId="6894"/>
    <cellStyle name="Normal 7 2 2 2 3" xfId="8445"/>
    <cellStyle name="Normal 7 2 2 2 3 2" xfId="14639"/>
    <cellStyle name="Normal 7 2 2 2 3 3" xfId="20791"/>
    <cellStyle name="Normal 7 2 2 2 4" xfId="11573"/>
    <cellStyle name="Normal 7 2 2 2 5" xfId="17725"/>
    <cellStyle name="Normal 7 2 2 2 6" xfId="5269"/>
    <cellStyle name="Normal 7 2 2 3" xfId="127"/>
    <cellStyle name="Normal 7 2 2 3 2" xfId="9211"/>
    <cellStyle name="Normal 7 2 2 3 2 2" xfId="15404"/>
    <cellStyle name="Normal 7 2 2 3 2 3" xfId="21556"/>
    <cellStyle name="Normal 7 2 2 3 3" xfId="12338"/>
    <cellStyle name="Normal 7 2 2 3 4" xfId="18490"/>
    <cellStyle name="Normal 7 2 2 3 5" xfId="6111"/>
    <cellStyle name="Normal 7 2 2 4" xfId="113"/>
    <cellStyle name="Normal 7 2 2 4 2" xfId="13870"/>
    <cellStyle name="Normal 7 2 2 4 3" xfId="20022"/>
    <cellStyle name="Normal 7 2 2 4 4" xfId="7676"/>
    <cellStyle name="Normal 7 2 2 5" xfId="10804"/>
    <cellStyle name="Normal 7 2 2 6" xfId="16956"/>
    <cellStyle name="Normal 7 2 2 7" xfId="4087"/>
    <cellStyle name="Normal 7 2 3" xfId="96"/>
    <cellStyle name="Normal 7 2 3 2" xfId="142"/>
    <cellStyle name="Normal 7 2 3 2 2" xfId="6895"/>
    <cellStyle name="Normal 7 2 3 2 2 2" xfId="9981"/>
    <cellStyle name="Normal 7 2 3 2 2 2 2" xfId="16174"/>
    <cellStyle name="Normal 7 2 3 2 2 2 3" xfId="22326"/>
    <cellStyle name="Normal 7 2 3 2 2 3" xfId="13108"/>
    <cellStyle name="Normal 7 2 3 2 2 4" xfId="19260"/>
    <cellStyle name="Normal 7 2 3 2 3" xfId="8446"/>
    <cellStyle name="Normal 7 2 3 2 3 2" xfId="14640"/>
    <cellStyle name="Normal 7 2 3 2 3 3" xfId="20792"/>
    <cellStyle name="Normal 7 2 3 2 4" xfId="11574"/>
    <cellStyle name="Normal 7 2 3 2 5" xfId="17726"/>
    <cellStyle name="Normal 7 2 3 2 6" xfId="5270"/>
    <cellStyle name="Normal 7 2 3 3" xfId="6112"/>
    <cellStyle name="Normal 7 2 3 3 2" xfId="9212"/>
    <cellStyle name="Normal 7 2 3 3 2 2" xfId="15405"/>
    <cellStyle name="Normal 7 2 3 3 2 3" xfId="21557"/>
    <cellStyle name="Normal 7 2 3 3 3" xfId="12339"/>
    <cellStyle name="Normal 7 2 3 3 4" xfId="18491"/>
    <cellStyle name="Normal 7 2 3 4" xfId="7677"/>
    <cellStyle name="Normal 7 2 3 4 2" xfId="13871"/>
    <cellStyle name="Normal 7 2 3 4 3" xfId="20023"/>
    <cellStyle name="Normal 7 2 3 5" xfId="10805"/>
    <cellStyle name="Normal 7 2 3 6" xfId="16957"/>
    <cellStyle name="Normal 7 2 3 7" xfId="4088"/>
    <cellStyle name="Normal 7 2 4" xfId="126"/>
    <cellStyle name="Normal 7 2 4 2" xfId="5271"/>
    <cellStyle name="Normal 7 2 4 2 2" xfId="6896"/>
    <cellStyle name="Normal 7 2 4 2 2 2" xfId="9982"/>
    <cellStyle name="Normal 7 2 4 2 2 2 2" xfId="16175"/>
    <cellStyle name="Normal 7 2 4 2 2 2 3" xfId="22327"/>
    <cellStyle name="Normal 7 2 4 2 2 3" xfId="13109"/>
    <cellStyle name="Normal 7 2 4 2 2 4" xfId="19261"/>
    <cellStyle name="Normal 7 2 4 2 3" xfId="8447"/>
    <cellStyle name="Normal 7 2 4 2 3 2" xfId="14641"/>
    <cellStyle name="Normal 7 2 4 2 3 3" xfId="20793"/>
    <cellStyle name="Normal 7 2 4 2 4" xfId="11575"/>
    <cellStyle name="Normal 7 2 4 2 5" xfId="17727"/>
    <cellStyle name="Normal 7 2 4 3" xfId="6113"/>
    <cellStyle name="Normal 7 2 4 3 2" xfId="9213"/>
    <cellStyle name="Normal 7 2 4 3 2 2" xfId="15406"/>
    <cellStyle name="Normal 7 2 4 3 2 3" xfId="21558"/>
    <cellStyle name="Normal 7 2 4 3 3" xfId="12340"/>
    <cellStyle name="Normal 7 2 4 3 4" xfId="18492"/>
    <cellStyle name="Normal 7 2 4 4" xfId="7678"/>
    <cellStyle name="Normal 7 2 4 4 2" xfId="13872"/>
    <cellStyle name="Normal 7 2 4 4 3" xfId="20024"/>
    <cellStyle name="Normal 7 2 4 5" xfId="10806"/>
    <cellStyle name="Normal 7 2 4 6" xfId="16958"/>
    <cellStyle name="Normal 7 2 4 7" xfId="4089"/>
    <cellStyle name="Normal 7 2 5" xfId="112"/>
    <cellStyle name="Normal 7 2 5 2" xfId="5272"/>
    <cellStyle name="Normal 7 2 5 2 2" xfId="6897"/>
    <cellStyle name="Normal 7 2 5 2 2 2" xfId="9983"/>
    <cellStyle name="Normal 7 2 5 2 2 2 2" xfId="16176"/>
    <cellStyle name="Normal 7 2 5 2 2 2 3" xfId="22328"/>
    <cellStyle name="Normal 7 2 5 2 2 3" xfId="13110"/>
    <cellStyle name="Normal 7 2 5 2 2 4" xfId="19262"/>
    <cellStyle name="Normal 7 2 5 2 3" xfId="8448"/>
    <cellStyle name="Normal 7 2 5 2 3 2" xfId="14642"/>
    <cellStyle name="Normal 7 2 5 2 3 3" xfId="20794"/>
    <cellStyle name="Normal 7 2 5 2 4" xfId="11576"/>
    <cellStyle name="Normal 7 2 5 2 5" xfId="17728"/>
    <cellStyle name="Normal 7 2 5 3" xfId="6114"/>
    <cellStyle name="Normal 7 2 5 3 2" xfId="9214"/>
    <cellStyle name="Normal 7 2 5 3 2 2" xfId="15407"/>
    <cellStyle name="Normal 7 2 5 3 2 3" xfId="21559"/>
    <cellStyle name="Normal 7 2 5 3 3" xfId="12341"/>
    <cellStyle name="Normal 7 2 5 3 4" xfId="18493"/>
    <cellStyle name="Normal 7 2 5 4" xfId="7679"/>
    <cellStyle name="Normal 7 2 5 4 2" xfId="13873"/>
    <cellStyle name="Normal 7 2 5 4 3" xfId="20025"/>
    <cellStyle name="Normal 7 2 5 5" xfId="10807"/>
    <cellStyle name="Normal 7 2 5 6" xfId="16959"/>
    <cellStyle name="Normal 7 2 5 7" xfId="4090"/>
    <cellStyle name="Normal 7 2 6" xfId="5268"/>
    <cellStyle name="Normal 7 2 6 2" xfId="6893"/>
    <cellStyle name="Normal 7 2 6 2 2" xfId="9979"/>
    <cellStyle name="Normal 7 2 6 2 2 2" xfId="16172"/>
    <cellStyle name="Normal 7 2 6 2 2 3" xfId="22324"/>
    <cellStyle name="Normal 7 2 6 2 3" xfId="13106"/>
    <cellStyle name="Normal 7 2 6 2 4" xfId="19258"/>
    <cellStyle name="Normal 7 2 6 3" xfId="8444"/>
    <cellStyle name="Normal 7 2 6 3 2" xfId="14638"/>
    <cellStyle name="Normal 7 2 6 3 3" xfId="20790"/>
    <cellStyle name="Normal 7 2 6 4" xfId="11572"/>
    <cellStyle name="Normal 7 2 6 5" xfId="17724"/>
    <cellStyle name="Normal 7 2 7" xfId="6110"/>
    <cellStyle name="Normal 7 2 7 2" xfId="9210"/>
    <cellStyle name="Normal 7 2 7 2 2" xfId="15403"/>
    <cellStyle name="Normal 7 2 7 2 3" xfId="21555"/>
    <cellStyle name="Normal 7 2 7 3" xfId="12337"/>
    <cellStyle name="Normal 7 2 7 4" xfId="18489"/>
    <cellStyle name="Normal 7 2 8" xfId="7675"/>
    <cellStyle name="Normal 7 2 8 2" xfId="13869"/>
    <cellStyle name="Normal 7 2 8 3" xfId="20021"/>
    <cellStyle name="Normal 7 2 9" xfId="10249"/>
    <cellStyle name="Normal 7 2 9 2" xfId="16421"/>
    <cellStyle name="Normal 7 2 9 3" xfId="22573"/>
    <cellStyle name="Normal 7 20" xfId="4091"/>
    <cellStyle name="Normal 7 20 2" xfId="5273"/>
    <cellStyle name="Normal 7 20 2 2" xfId="6898"/>
    <cellStyle name="Normal 7 20 2 2 2" xfId="9984"/>
    <cellStyle name="Normal 7 20 2 2 2 2" xfId="16177"/>
    <cellStyle name="Normal 7 20 2 2 2 3" xfId="22329"/>
    <cellStyle name="Normal 7 20 2 2 3" xfId="13111"/>
    <cellStyle name="Normal 7 20 2 2 4" xfId="19263"/>
    <cellStyle name="Normal 7 20 2 3" xfId="8449"/>
    <cellStyle name="Normal 7 20 2 3 2" xfId="14643"/>
    <cellStyle name="Normal 7 20 2 3 3" xfId="20795"/>
    <cellStyle name="Normal 7 20 2 4" xfId="11577"/>
    <cellStyle name="Normal 7 20 2 5" xfId="17729"/>
    <cellStyle name="Normal 7 20 3" xfId="6115"/>
    <cellStyle name="Normal 7 20 3 2" xfId="9215"/>
    <cellStyle name="Normal 7 20 3 2 2" xfId="15408"/>
    <cellStyle name="Normal 7 20 3 2 3" xfId="21560"/>
    <cellStyle name="Normal 7 20 3 3" xfId="12342"/>
    <cellStyle name="Normal 7 20 3 4" xfId="18494"/>
    <cellStyle name="Normal 7 20 4" xfId="7680"/>
    <cellStyle name="Normal 7 20 4 2" xfId="13874"/>
    <cellStyle name="Normal 7 20 4 3" xfId="20026"/>
    <cellStyle name="Normal 7 20 5" xfId="10808"/>
    <cellStyle name="Normal 7 20 6" xfId="16960"/>
    <cellStyle name="Normal 7 21" xfId="4092"/>
    <cellStyle name="Normal 7 22" xfId="4093"/>
    <cellStyle name="Normal 7 22 2" xfId="5274"/>
    <cellStyle name="Normal 7 22 2 2" xfId="6899"/>
    <cellStyle name="Normal 7 22 2 2 2" xfId="9985"/>
    <cellStyle name="Normal 7 22 2 2 2 2" xfId="16178"/>
    <cellStyle name="Normal 7 22 2 2 2 3" xfId="22330"/>
    <cellStyle name="Normal 7 22 2 2 3" xfId="13112"/>
    <cellStyle name="Normal 7 22 2 2 4" xfId="19264"/>
    <cellStyle name="Normal 7 22 2 3" xfId="8450"/>
    <cellStyle name="Normal 7 22 2 3 2" xfId="14644"/>
    <cellStyle name="Normal 7 22 2 3 3" xfId="20796"/>
    <cellStyle name="Normal 7 22 2 4" xfId="11578"/>
    <cellStyle name="Normal 7 22 2 5" xfId="17730"/>
    <cellStyle name="Normal 7 22 3" xfId="6116"/>
    <cellStyle name="Normal 7 22 3 2" xfId="9216"/>
    <cellStyle name="Normal 7 22 3 2 2" xfId="15409"/>
    <cellStyle name="Normal 7 22 3 2 3" xfId="21561"/>
    <cellStyle name="Normal 7 22 3 3" xfId="12343"/>
    <cellStyle name="Normal 7 22 3 4" xfId="18495"/>
    <cellStyle name="Normal 7 22 4" xfId="7681"/>
    <cellStyle name="Normal 7 22 4 2" xfId="13875"/>
    <cellStyle name="Normal 7 22 4 3" xfId="20027"/>
    <cellStyle name="Normal 7 22 5" xfId="10809"/>
    <cellStyle name="Normal 7 22 6" xfId="16961"/>
    <cellStyle name="Normal 7 23" xfId="4094"/>
    <cellStyle name="Normal 7 24" xfId="4622"/>
    <cellStyle name="Normal 7 25" xfId="4075"/>
    <cellStyle name="Normal 7 25 2" xfId="5257"/>
    <cellStyle name="Normal 7 25 2 2" xfId="6882"/>
    <cellStyle name="Normal 7 25 2 2 2" xfId="9968"/>
    <cellStyle name="Normal 7 25 2 2 2 2" xfId="16161"/>
    <cellStyle name="Normal 7 25 2 2 2 3" xfId="22313"/>
    <cellStyle name="Normal 7 25 2 2 3" xfId="13095"/>
    <cellStyle name="Normal 7 25 2 2 4" xfId="19247"/>
    <cellStyle name="Normal 7 25 2 3" xfId="8433"/>
    <cellStyle name="Normal 7 25 2 3 2" xfId="14627"/>
    <cellStyle name="Normal 7 25 2 3 3" xfId="20779"/>
    <cellStyle name="Normal 7 25 2 4" xfId="11561"/>
    <cellStyle name="Normal 7 25 2 5" xfId="17713"/>
    <cellStyle name="Normal 7 25 3" xfId="6099"/>
    <cellStyle name="Normal 7 25 3 2" xfId="9199"/>
    <cellStyle name="Normal 7 25 3 2 2" xfId="15392"/>
    <cellStyle name="Normal 7 25 3 2 3" xfId="21544"/>
    <cellStyle name="Normal 7 25 3 3" xfId="12326"/>
    <cellStyle name="Normal 7 25 3 4" xfId="18478"/>
    <cellStyle name="Normal 7 25 4" xfId="7664"/>
    <cellStyle name="Normal 7 25 4 2" xfId="13858"/>
    <cellStyle name="Normal 7 25 4 3" xfId="20010"/>
    <cellStyle name="Normal 7 25 5" xfId="10792"/>
    <cellStyle name="Normal 7 25 6" xfId="16944"/>
    <cellStyle name="Normal 7 26" xfId="10236"/>
    <cellStyle name="Normal 7 26 2" xfId="16412"/>
    <cellStyle name="Normal 7 26 3" xfId="22564"/>
    <cellStyle name="Normal 7 27" xfId="1180"/>
    <cellStyle name="Normal 7 28" xfId="203"/>
    <cellStyle name="Normal 7 3" xfId="95"/>
    <cellStyle name="Normal 7 3 10" xfId="16962"/>
    <cellStyle name="Normal 7 3 11" xfId="4095"/>
    <cellStyle name="Normal 7 3 12" xfId="23289"/>
    <cellStyle name="Normal 7 3 2" xfId="141"/>
    <cellStyle name="Normal 7 3 2 2" xfId="5276"/>
    <cellStyle name="Normal 7 3 2 2 2" xfId="6901"/>
    <cellStyle name="Normal 7 3 2 2 2 2" xfId="9987"/>
    <cellStyle name="Normal 7 3 2 2 2 2 2" xfId="16180"/>
    <cellStyle name="Normal 7 3 2 2 2 2 3" xfId="22332"/>
    <cellStyle name="Normal 7 3 2 2 2 3" xfId="13114"/>
    <cellStyle name="Normal 7 3 2 2 2 4" xfId="19266"/>
    <cellStyle name="Normal 7 3 2 2 3" xfId="8452"/>
    <cellStyle name="Normal 7 3 2 2 3 2" xfId="14646"/>
    <cellStyle name="Normal 7 3 2 2 3 3" xfId="20798"/>
    <cellStyle name="Normal 7 3 2 2 4" xfId="11580"/>
    <cellStyle name="Normal 7 3 2 2 5" xfId="17732"/>
    <cellStyle name="Normal 7 3 2 3" xfId="6118"/>
    <cellStyle name="Normal 7 3 2 3 2" xfId="9218"/>
    <cellStyle name="Normal 7 3 2 3 2 2" xfId="15411"/>
    <cellStyle name="Normal 7 3 2 3 2 3" xfId="21563"/>
    <cellStyle name="Normal 7 3 2 3 3" xfId="12345"/>
    <cellStyle name="Normal 7 3 2 3 4" xfId="18497"/>
    <cellStyle name="Normal 7 3 2 4" xfId="7683"/>
    <cellStyle name="Normal 7 3 2 4 2" xfId="13877"/>
    <cellStyle name="Normal 7 3 2 4 3" xfId="20029"/>
    <cellStyle name="Normal 7 3 2 5" xfId="10811"/>
    <cellStyle name="Normal 7 3 2 6" xfId="16963"/>
    <cellStyle name="Normal 7 3 2 7" xfId="4096"/>
    <cellStyle name="Normal 7 3 3" xfId="4097"/>
    <cellStyle name="Normal 7 3 3 2" xfId="5277"/>
    <cellStyle name="Normal 7 3 3 2 2" xfId="6902"/>
    <cellStyle name="Normal 7 3 3 2 2 2" xfId="9988"/>
    <cellStyle name="Normal 7 3 3 2 2 2 2" xfId="16181"/>
    <cellStyle name="Normal 7 3 3 2 2 2 3" xfId="22333"/>
    <cellStyle name="Normal 7 3 3 2 2 3" xfId="13115"/>
    <cellStyle name="Normal 7 3 3 2 2 4" xfId="19267"/>
    <cellStyle name="Normal 7 3 3 2 3" xfId="8453"/>
    <cellStyle name="Normal 7 3 3 2 3 2" xfId="14647"/>
    <cellStyle name="Normal 7 3 3 2 3 3" xfId="20799"/>
    <cellStyle name="Normal 7 3 3 2 4" xfId="11581"/>
    <cellStyle name="Normal 7 3 3 2 5" xfId="17733"/>
    <cellStyle name="Normal 7 3 3 3" xfId="6119"/>
    <cellStyle name="Normal 7 3 3 3 2" xfId="9219"/>
    <cellStyle name="Normal 7 3 3 3 2 2" xfId="15412"/>
    <cellStyle name="Normal 7 3 3 3 2 3" xfId="21564"/>
    <cellStyle name="Normal 7 3 3 3 3" xfId="12346"/>
    <cellStyle name="Normal 7 3 3 3 4" xfId="18498"/>
    <cellStyle name="Normal 7 3 3 4" xfId="7684"/>
    <cellStyle name="Normal 7 3 3 4 2" xfId="13878"/>
    <cellStyle name="Normal 7 3 3 4 3" xfId="20030"/>
    <cellStyle name="Normal 7 3 3 5" xfId="10812"/>
    <cellStyle name="Normal 7 3 3 6" xfId="16964"/>
    <cellStyle name="Normal 7 3 4" xfId="4098"/>
    <cellStyle name="Normal 7 3 4 2" xfId="5278"/>
    <cellStyle name="Normal 7 3 4 2 2" xfId="6903"/>
    <cellStyle name="Normal 7 3 4 2 2 2" xfId="9989"/>
    <cellStyle name="Normal 7 3 4 2 2 2 2" xfId="16182"/>
    <cellStyle name="Normal 7 3 4 2 2 2 3" xfId="22334"/>
    <cellStyle name="Normal 7 3 4 2 2 3" xfId="13116"/>
    <cellStyle name="Normal 7 3 4 2 2 4" xfId="19268"/>
    <cellStyle name="Normal 7 3 4 2 3" xfId="8454"/>
    <cellStyle name="Normal 7 3 4 2 3 2" xfId="14648"/>
    <cellStyle name="Normal 7 3 4 2 3 3" xfId="20800"/>
    <cellStyle name="Normal 7 3 4 2 4" xfId="11582"/>
    <cellStyle name="Normal 7 3 4 2 5" xfId="17734"/>
    <cellStyle name="Normal 7 3 4 3" xfId="6120"/>
    <cellStyle name="Normal 7 3 4 3 2" xfId="9220"/>
    <cellStyle name="Normal 7 3 4 3 2 2" xfId="15413"/>
    <cellStyle name="Normal 7 3 4 3 2 3" xfId="21565"/>
    <cellStyle name="Normal 7 3 4 3 3" xfId="12347"/>
    <cellStyle name="Normal 7 3 4 3 4" xfId="18499"/>
    <cellStyle name="Normal 7 3 4 4" xfId="7685"/>
    <cellStyle name="Normal 7 3 4 4 2" xfId="13879"/>
    <cellStyle name="Normal 7 3 4 4 3" xfId="20031"/>
    <cellStyle name="Normal 7 3 4 5" xfId="10813"/>
    <cellStyle name="Normal 7 3 4 6" xfId="16965"/>
    <cellStyle name="Normal 7 3 5" xfId="4099"/>
    <cellStyle name="Normal 7 3 5 2" xfId="5279"/>
    <cellStyle name="Normal 7 3 5 2 2" xfId="6904"/>
    <cellStyle name="Normal 7 3 5 2 2 2" xfId="9990"/>
    <cellStyle name="Normal 7 3 5 2 2 2 2" xfId="16183"/>
    <cellStyle name="Normal 7 3 5 2 2 2 3" xfId="22335"/>
    <cellStyle name="Normal 7 3 5 2 2 3" xfId="13117"/>
    <cellStyle name="Normal 7 3 5 2 2 4" xfId="19269"/>
    <cellStyle name="Normal 7 3 5 2 3" xfId="8455"/>
    <cellStyle name="Normal 7 3 5 2 3 2" xfId="14649"/>
    <cellStyle name="Normal 7 3 5 2 3 3" xfId="20801"/>
    <cellStyle name="Normal 7 3 5 2 4" xfId="11583"/>
    <cellStyle name="Normal 7 3 5 2 5" xfId="17735"/>
    <cellStyle name="Normal 7 3 5 3" xfId="6121"/>
    <cellStyle name="Normal 7 3 5 3 2" xfId="9221"/>
    <cellStyle name="Normal 7 3 5 3 2 2" xfId="15414"/>
    <cellStyle name="Normal 7 3 5 3 2 3" xfId="21566"/>
    <cellStyle name="Normal 7 3 5 3 3" xfId="12348"/>
    <cellStyle name="Normal 7 3 5 3 4" xfId="18500"/>
    <cellStyle name="Normal 7 3 5 4" xfId="7686"/>
    <cellStyle name="Normal 7 3 5 4 2" xfId="13880"/>
    <cellStyle name="Normal 7 3 5 4 3" xfId="20032"/>
    <cellStyle name="Normal 7 3 5 5" xfId="10814"/>
    <cellStyle name="Normal 7 3 5 6" xfId="16966"/>
    <cellStyle name="Normal 7 3 6" xfId="5275"/>
    <cellStyle name="Normal 7 3 6 2" xfId="6900"/>
    <cellStyle name="Normal 7 3 6 2 2" xfId="9986"/>
    <cellStyle name="Normal 7 3 6 2 2 2" xfId="16179"/>
    <cellStyle name="Normal 7 3 6 2 2 3" xfId="22331"/>
    <cellStyle name="Normal 7 3 6 2 3" xfId="13113"/>
    <cellStyle name="Normal 7 3 6 2 4" xfId="19265"/>
    <cellStyle name="Normal 7 3 6 3" xfId="8451"/>
    <cellStyle name="Normal 7 3 6 3 2" xfId="14645"/>
    <cellStyle name="Normal 7 3 6 3 3" xfId="20797"/>
    <cellStyle name="Normal 7 3 6 4" xfId="11579"/>
    <cellStyle name="Normal 7 3 6 5" xfId="17731"/>
    <cellStyle name="Normal 7 3 7" xfId="6117"/>
    <cellStyle name="Normal 7 3 7 2" xfId="9217"/>
    <cellStyle name="Normal 7 3 7 2 2" xfId="15410"/>
    <cellStyle name="Normal 7 3 7 2 3" xfId="21562"/>
    <cellStyle name="Normal 7 3 7 3" xfId="12344"/>
    <cellStyle name="Normal 7 3 7 4" xfId="18496"/>
    <cellStyle name="Normal 7 3 8" xfId="7682"/>
    <cellStyle name="Normal 7 3 8 2" xfId="13876"/>
    <cellStyle name="Normal 7 3 8 3" xfId="20028"/>
    <cellStyle name="Normal 7 3 9" xfId="10810"/>
    <cellStyle name="Normal 7 4" xfId="125"/>
    <cellStyle name="Normal 7 4 2" xfId="5280"/>
    <cellStyle name="Normal 7 4 2 2" xfId="6905"/>
    <cellStyle name="Normal 7 4 2 2 2" xfId="9991"/>
    <cellStyle name="Normal 7 4 2 2 2 2" xfId="16184"/>
    <cellStyle name="Normal 7 4 2 2 2 3" xfId="22336"/>
    <cellStyle name="Normal 7 4 2 2 3" xfId="13118"/>
    <cellStyle name="Normal 7 4 2 2 4" xfId="19270"/>
    <cellStyle name="Normal 7 4 2 3" xfId="8456"/>
    <cellStyle name="Normal 7 4 2 3 2" xfId="14650"/>
    <cellStyle name="Normal 7 4 2 3 3" xfId="20802"/>
    <cellStyle name="Normal 7 4 2 4" xfId="11584"/>
    <cellStyle name="Normal 7 4 2 5" xfId="17736"/>
    <cellStyle name="Normal 7 4 3" xfId="6122"/>
    <cellStyle name="Normal 7 4 3 2" xfId="9222"/>
    <cellStyle name="Normal 7 4 3 2 2" xfId="15415"/>
    <cellStyle name="Normal 7 4 3 2 3" xfId="21567"/>
    <cellStyle name="Normal 7 4 3 3" xfId="12349"/>
    <cellStyle name="Normal 7 4 3 4" xfId="18501"/>
    <cellStyle name="Normal 7 4 4" xfId="7687"/>
    <cellStyle name="Normal 7 4 4 2" xfId="13881"/>
    <cellStyle name="Normal 7 4 4 3" xfId="20033"/>
    <cellStyle name="Normal 7 4 5" xfId="10815"/>
    <cellStyle name="Normal 7 4 6" xfId="16967"/>
    <cellStyle name="Normal 7 4 7" xfId="4100"/>
    <cellStyle name="Normal 7 4 8" xfId="23290"/>
    <cellStyle name="Normal 7 5" xfId="111"/>
    <cellStyle name="Normal 7 5 2" xfId="5281"/>
    <cellStyle name="Normal 7 5 2 2" xfId="6906"/>
    <cellStyle name="Normal 7 5 2 2 2" xfId="9992"/>
    <cellStyle name="Normal 7 5 2 2 2 2" xfId="16185"/>
    <cellStyle name="Normal 7 5 2 2 2 3" xfId="22337"/>
    <cellStyle name="Normal 7 5 2 2 3" xfId="13119"/>
    <cellStyle name="Normal 7 5 2 2 4" xfId="19271"/>
    <cellStyle name="Normal 7 5 2 3" xfId="8457"/>
    <cellStyle name="Normal 7 5 2 3 2" xfId="14651"/>
    <cellStyle name="Normal 7 5 2 3 3" xfId="20803"/>
    <cellStyle name="Normal 7 5 2 4" xfId="11585"/>
    <cellStyle name="Normal 7 5 2 5" xfId="17737"/>
    <cellStyle name="Normal 7 5 3" xfId="6123"/>
    <cellStyle name="Normal 7 5 3 2" xfId="9223"/>
    <cellStyle name="Normal 7 5 3 2 2" xfId="15416"/>
    <cellStyle name="Normal 7 5 3 2 3" xfId="21568"/>
    <cellStyle name="Normal 7 5 3 3" xfId="12350"/>
    <cellStyle name="Normal 7 5 3 4" xfId="18502"/>
    <cellStyle name="Normal 7 5 4" xfId="7688"/>
    <cellStyle name="Normal 7 5 4 2" xfId="13882"/>
    <cellStyle name="Normal 7 5 4 3" xfId="20034"/>
    <cellStyle name="Normal 7 5 5" xfId="10816"/>
    <cellStyle name="Normal 7 5 6" xfId="16968"/>
    <cellStyle name="Normal 7 5 7" xfId="4101"/>
    <cellStyle name="Normal 7 5 8" xfId="23291"/>
    <cellStyle name="Normal 7 6" xfId="4102"/>
    <cellStyle name="Normal 7 6 2" xfId="5282"/>
    <cellStyle name="Normal 7 6 2 2" xfId="6907"/>
    <cellStyle name="Normal 7 6 2 2 2" xfId="9993"/>
    <cellStyle name="Normal 7 6 2 2 2 2" xfId="16186"/>
    <cellStyle name="Normal 7 6 2 2 2 3" xfId="22338"/>
    <cellStyle name="Normal 7 6 2 2 3" xfId="13120"/>
    <cellStyle name="Normal 7 6 2 2 4" xfId="19272"/>
    <cellStyle name="Normal 7 6 2 3" xfId="8458"/>
    <cellStyle name="Normal 7 6 2 3 2" xfId="14652"/>
    <cellStyle name="Normal 7 6 2 3 3" xfId="20804"/>
    <cellStyle name="Normal 7 6 2 4" xfId="11586"/>
    <cellStyle name="Normal 7 6 2 5" xfId="17738"/>
    <cellStyle name="Normal 7 6 3" xfId="6124"/>
    <cellStyle name="Normal 7 6 3 2" xfId="9224"/>
    <cellStyle name="Normal 7 6 3 2 2" xfId="15417"/>
    <cellStyle name="Normal 7 6 3 2 3" xfId="21569"/>
    <cellStyle name="Normal 7 6 3 3" xfId="12351"/>
    <cellStyle name="Normal 7 6 3 4" xfId="18503"/>
    <cellStyle name="Normal 7 6 4" xfId="7689"/>
    <cellStyle name="Normal 7 6 4 2" xfId="13883"/>
    <cellStyle name="Normal 7 6 4 3" xfId="20035"/>
    <cellStyle name="Normal 7 6 5" xfId="10817"/>
    <cellStyle name="Normal 7 6 6" xfId="16969"/>
    <cellStyle name="Normal 7 7" xfId="4103"/>
    <cellStyle name="Normal 7 7 2" xfId="5283"/>
    <cellStyle name="Normal 7 7 2 2" xfId="6908"/>
    <cellStyle name="Normal 7 7 2 2 2" xfId="9994"/>
    <cellStyle name="Normal 7 7 2 2 2 2" xfId="16187"/>
    <cellStyle name="Normal 7 7 2 2 2 3" xfId="22339"/>
    <cellStyle name="Normal 7 7 2 2 3" xfId="13121"/>
    <cellStyle name="Normal 7 7 2 2 4" xfId="19273"/>
    <cellStyle name="Normal 7 7 2 3" xfId="8459"/>
    <cellStyle name="Normal 7 7 2 3 2" xfId="14653"/>
    <cellStyle name="Normal 7 7 2 3 3" xfId="20805"/>
    <cellStyle name="Normal 7 7 2 4" xfId="11587"/>
    <cellStyle name="Normal 7 7 2 5" xfId="17739"/>
    <cellStyle name="Normal 7 7 3" xfId="6125"/>
    <cellStyle name="Normal 7 7 3 2" xfId="9225"/>
    <cellStyle name="Normal 7 7 3 2 2" xfId="15418"/>
    <cellStyle name="Normal 7 7 3 2 3" xfId="21570"/>
    <cellStyle name="Normal 7 7 3 3" xfId="12352"/>
    <cellStyle name="Normal 7 7 3 4" xfId="18504"/>
    <cellStyle name="Normal 7 7 4" xfId="7690"/>
    <cellStyle name="Normal 7 7 4 2" xfId="13884"/>
    <cellStyle name="Normal 7 7 4 3" xfId="20036"/>
    <cellStyle name="Normal 7 7 5" xfId="10818"/>
    <cellStyle name="Normal 7 7 6" xfId="16970"/>
    <cellStyle name="Normal 7 8" xfId="4104"/>
    <cellStyle name="Normal 7 8 2" xfId="5284"/>
    <cellStyle name="Normal 7 8 2 2" xfId="6909"/>
    <cellStyle name="Normal 7 8 2 2 2" xfId="9995"/>
    <cellStyle name="Normal 7 8 2 2 2 2" xfId="16188"/>
    <cellStyle name="Normal 7 8 2 2 2 3" xfId="22340"/>
    <cellStyle name="Normal 7 8 2 2 3" xfId="13122"/>
    <cellStyle name="Normal 7 8 2 2 4" xfId="19274"/>
    <cellStyle name="Normal 7 8 2 3" xfId="8460"/>
    <cellStyle name="Normal 7 8 2 3 2" xfId="14654"/>
    <cellStyle name="Normal 7 8 2 3 3" xfId="20806"/>
    <cellStyle name="Normal 7 8 2 4" xfId="11588"/>
    <cellStyle name="Normal 7 8 2 5" xfId="17740"/>
    <cellStyle name="Normal 7 8 3" xfId="6126"/>
    <cellStyle name="Normal 7 8 3 2" xfId="9226"/>
    <cellStyle name="Normal 7 8 3 2 2" xfId="15419"/>
    <cellStyle name="Normal 7 8 3 2 3" xfId="21571"/>
    <cellStyle name="Normal 7 8 3 3" xfId="12353"/>
    <cellStyle name="Normal 7 8 3 4" xfId="18505"/>
    <cellStyle name="Normal 7 8 4" xfId="7691"/>
    <cellStyle name="Normal 7 8 4 2" xfId="13885"/>
    <cellStyle name="Normal 7 8 4 3" xfId="20037"/>
    <cellStyle name="Normal 7 8 5" xfId="10819"/>
    <cellStyle name="Normal 7 8 6" xfId="16971"/>
    <cellStyle name="Normal 7 9" xfId="4105"/>
    <cellStyle name="Normal 7 9 2" xfId="5285"/>
    <cellStyle name="Normal 7 9 2 2" xfId="6910"/>
    <cellStyle name="Normal 7 9 2 2 2" xfId="9996"/>
    <cellStyle name="Normal 7 9 2 2 2 2" xfId="16189"/>
    <cellStyle name="Normal 7 9 2 2 2 3" xfId="22341"/>
    <cellStyle name="Normal 7 9 2 2 3" xfId="13123"/>
    <cellStyle name="Normal 7 9 2 2 4" xfId="19275"/>
    <cellStyle name="Normal 7 9 2 3" xfId="8461"/>
    <cellStyle name="Normal 7 9 2 3 2" xfId="14655"/>
    <cellStyle name="Normal 7 9 2 3 3" xfId="20807"/>
    <cellStyle name="Normal 7 9 2 4" xfId="11589"/>
    <cellStyle name="Normal 7 9 2 5" xfId="17741"/>
    <cellStyle name="Normal 7 9 3" xfId="6127"/>
    <cellStyle name="Normal 7 9 3 2" xfId="9227"/>
    <cellStyle name="Normal 7 9 3 2 2" xfId="15420"/>
    <cellStyle name="Normal 7 9 3 2 3" xfId="21572"/>
    <cellStyle name="Normal 7 9 3 3" xfId="12354"/>
    <cellStyle name="Normal 7 9 3 4" xfId="18506"/>
    <cellStyle name="Normal 7 9 4" xfId="7692"/>
    <cellStyle name="Normal 7 9 4 2" xfId="13886"/>
    <cellStyle name="Normal 7 9 4 3" xfId="20038"/>
    <cellStyle name="Normal 7 9 5" xfId="10820"/>
    <cellStyle name="Normal 7 9 6" xfId="16972"/>
    <cellStyle name="Normal 71" xfId="23292"/>
    <cellStyle name="Normal 8" xfId="36"/>
    <cellStyle name="Normal 8 10" xfId="4107"/>
    <cellStyle name="Normal 8 10 2" xfId="5287"/>
    <cellStyle name="Normal 8 10 2 2" xfId="6912"/>
    <cellStyle name="Normal 8 10 2 2 2" xfId="9998"/>
    <cellStyle name="Normal 8 10 2 2 2 2" xfId="16191"/>
    <cellStyle name="Normal 8 10 2 2 2 3" xfId="22343"/>
    <cellStyle name="Normal 8 10 2 2 3" xfId="13125"/>
    <cellStyle name="Normal 8 10 2 2 4" xfId="19277"/>
    <cellStyle name="Normal 8 10 2 3" xfId="8463"/>
    <cellStyle name="Normal 8 10 2 3 2" xfId="14657"/>
    <cellStyle name="Normal 8 10 2 3 3" xfId="20809"/>
    <cellStyle name="Normal 8 10 2 4" xfId="11591"/>
    <cellStyle name="Normal 8 10 2 5" xfId="17743"/>
    <cellStyle name="Normal 8 10 3" xfId="6129"/>
    <cellStyle name="Normal 8 10 3 2" xfId="9229"/>
    <cellStyle name="Normal 8 10 3 2 2" xfId="15422"/>
    <cellStyle name="Normal 8 10 3 2 3" xfId="21574"/>
    <cellStyle name="Normal 8 10 3 3" xfId="12356"/>
    <cellStyle name="Normal 8 10 3 4" xfId="18508"/>
    <cellStyle name="Normal 8 10 4" xfId="7694"/>
    <cellStyle name="Normal 8 10 4 2" xfId="13888"/>
    <cellStyle name="Normal 8 10 4 3" xfId="20040"/>
    <cellStyle name="Normal 8 10 5" xfId="10822"/>
    <cellStyle name="Normal 8 10 6" xfId="16974"/>
    <cellStyle name="Normal 8 11" xfId="4108"/>
    <cellStyle name="Normal 8 11 2" xfId="5288"/>
    <cellStyle name="Normal 8 11 2 2" xfId="6913"/>
    <cellStyle name="Normal 8 11 2 2 2" xfId="9999"/>
    <cellStyle name="Normal 8 11 2 2 2 2" xfId="16192"/>
    <cellStyle name="Normal 8 11 2 2 2 3" xfId="22344"/>
    <cellStyle name="Normal 8 11 2 2 3" xfId="13126"/>
    <cellStyle name="Normal 8 11 2 2 4" xfId="19278"/>
    <cellStyle name="Normal 8 11 2 3" xfId="8464"/>
    <cellStyle name="Normal 8 11 2 3 2" xfId="14658"/>
    <cellStyle name="Normal 8 11 2 3 3" xfId="20810"/>
    <cellStyle name="Normal 8 11 2 4" xfId="11592"/>
    <cellStyle name="Normal 8 11 2 5" xfId="17744"/>
    <cellStyle name="Normal 8 11 3" xfId="6130"/>
    <cellStyle name="Normal 8 11 3 2" xfId="9230"/>
    <cellStyle name="Normal 8 11 3 2 2" xfId="15423"/>
    <cellStyle name="Normal 8 11 3 2 3" xfId="21575"/>
    <cellStyle name="Normal 8 11 3 3" xfId="12357"/>
    <cellStyle name="Normal 8 11 3 4" xfId="18509"/>
    <cellStyle name="Normal 8 11 4" xfId="7695"/>
    <cellStyle name="Normal 8 11 4 2" xfId="13889"/>
    <cellStyle name="Normal 8 11 4 3" xfId="20041"/>
    <cellStyle name="Normal 8 11 5" xfId="10823"/>
    <cellStyle name="Normal 8 11 6" xfId="16975"/>
    <cellStyle name="Normal 8 12" xfId="4109"/>
    <cellStyle name="Normal 8 12 2" xfId="5289"/>
    <cellStyle name="Normal 8 12 2 2" xfId="6914"/>
    <cellStyle name="Normal 8 12 2 2 2" xfId="10000"/>
    <cellStyle name="Normal 8 12 2 2 2 2" xfId="16193"/>
    <cellStyle name="Normal 8 12 2 2 2 3" xfId="22345"/>
    <cellStyle name="Normal 8 12 2 2 3" xfId="13127"/>
    <cellStyle name="Normal 8 12 2 2 4" xfId="19279"/>
    <cellStyle name="Normal 8 12 2 3" xfId="8465"/>
    <cellStyle name="Normal 8 12 2 3 2" xfId="14659"/>
    <cellStyle name="Normal 8 12 2 3 3" xfId="20811"/>
    <cellStyle name="Normal 8 12 2 4" xfId="11593"/>
    <cellStyle name="Normal 8 12 2 5" xfId="17745"/>
    <cellStyle name="Normal 8 12 3" xfId="6131"/>
    <cellStyle name="Normal 8 12 3 2" xfId="9231"/>
    <cellStyle name="Normal 8 12 3 2 2" xfId="15424"/>
    <cellStyle name="Normal 8 12 3 2 3" xfId="21576"/>
    <cellStyle name="Normal 8 12 3 3" xfId="12358"/>
    <cellStyle name="Normal 8 12 3 4" xfId="18510"/>
    <cellStyle name="Normal 8 12 4" xfId="7696"/>
    <cellStyle name="Normal 8 12 4 2" xfId="13890"/>
    <cellStyle name="Normal 8 12 4 3" xfId="20042"/>
    <cellStyle name="Normal 8 12 5" xfId="10824"/>
    <cellStyle name="Normal 8 12 6" xfId="16976"/>
    <cellStyle name="Normal 8 13" xfId="4110"/>
    <cellStyle name="Normal 8 13 2" xfId="5290"/>
    <cellStyle name="Normal 8 13 2 2" xfId="6915"/>
    <cellStyle name="Normal 8 13 2 2 2" xfId="10001"/>
    <cellStyle name="Normal 8 13 2 2 2 2" xfId="16194"/>
    <cellStyle name="Normal 8 13 2 2 2 3" xfId="22346"/>
    <cellStyle name="Normal 8 13 2 2 3" xfId="13128"/>
    <cellStyle name="Normal 8 13 2 2 4" xfId="19280"/>
    <cellStyle name="Normal 8 13 2 3" xfId="8466"/>
    <cellStyle name="Normal 8 13 2 3 2" xfId="14660"/>
    <cellStyle name="Normal 8 13 2 3 3" xfId="20812"/>
    <cellStyle name="Normal 8 13 2 4" xfId="11594"/>
    <cellStyle name="Normal 8 13 2 5" xfId="17746"/>
    <cellStyle name="Normal 8 13 3" xfId="6132"/>
    <cellStyle name="Normal 8 13 3 2" xfId="9232"/>
    <cellStyle name="Normal 8 13 3 2 2" xfId="15425"/>
    <cellStyle name="Normal 8 13 3 2 3" xfId="21577"/>
    <cellStyle name="Normal 8 13 3 3" xfId="12359"/>
    <cellStyle name="Normal 8 13 3 4" xfId="18511"/>
    <cellStyle name="Normal 8 13 4" xfId="7697"/>
    <cellStyle name="Normal 8 13 4 2" xfId="13891"/>
    <cellStyle name="Normal 8 13 4 3" xfId="20043"/>
    <cellStyle name="Normal 8 13 5" xfId="10825"/>
    <cellStyle name="Normal 8 13 6" xfId="16977"/>
    <cellStyle name="Normal 8 14" xfId="4111"/>
    <cellStyle name="Normal 8 14 2" xfId="5291"/>
    <cellStyle name="Normal 8 14 2 2" xfId="6916"/>
    <cellStyle name="Normal 8 14 2 2 2" xfId="10002"/>
    <cellStyle name="Normal 8 14 2 2 2 2" xfId="16195"/>
    <cellStyle name="Normal 8 14 2 2 2 3" xfId="22347"/>
    <cellStyle name="Normal 8 14 2 2 3" xfId="13129"/>
    <cellStyle name="Normal 8 14 2 2 4" xfId="19281"/>
    <cellStyle name="Normal 8 14 2 3" xfId="8467"/>
    <cellStyle name="Normal 8 14 2 3 2" xfId="14661"/>
    <cellStyle name="Normal 8 14 2 3 3" xfId="20813"/>
    <cellStyle name="Normal 8 14 2 4" xfId="11595"/>
    <cellStyle name="Normal 8 14 2 5" xfId="17747"/>
    <cellStyle name="Normal 8 14 3" xfId="6133"/>
    <cellStyle name="Normal 8 14 3 2" xfId="9233"/>
    <cellStyle name="Normal 8 14 3 2 2" xfId="15426"/>
    <cellStyle name="Normal 8 14 3 2 3" xfId="21578"/>
    <cellStyle name="Normal 8 14 3 3" xfId="12360"/>
    <cellStyle name="Normal 8 14 3 4" xfId="18512"/>
    <cellStyle name="Normal 8 14 4" xfId="7698"/>
    <cellStyle name="Normal 8 14 4 2" xfId="13892"/>
    <cellStyle name="Normal 8 14 4 3" xfId="20044"/>
    <cellStyle name="Normal 8 14 5" xfId="10826"/>
    <cellStyle name="Normal 8 14 6" xfId="16978"/>
    <cellStyle name="Normal 8 15" xfId="4112"/>
    <cellStyle name="Normal 8 15 2" xfId="5292"/>
    <cellStyle name="Normal 8 15 2 2" xfId="6917"/>
    <cellStyle name="Normal 8 15 2 2 2" xfId="10003"/>
    <cellStyle name="Normal 8 15 2 2 2 2" xfId="16196"/>
    <cellStyle name="Normal 8 15 2 2 2 3" xfId="22348"/>
    <cellStyle name="Normal 8 15 2 2 3" xfId="13130"/>
    <cellStyle name="Normal 8 15 2 2 4" xfId="19282"/>
    <cellStyle name="Normal 8 15 2 3" xfId="8468"/>
    <cellStyle name="Normal 8 15 2 3 2" xfId="14662"/>
    <cellStyle name="Normal 8 15 2 3 3" xfId="20814"/>
    <cellStyle name="Normal 8 15 2 4" xfId="11596"/>
    <cellStyle name="Normal 8 15 2 5" xfId="17748"/>
    <cellStyle name="Normal 8 15 3" xfId="6134"/>
    <cellStyle name="Normal 8 15 3 2" xfId="9234"/>
    <cellStyle name="Normal 8 15 3 2 2" xfId="15427"/>
    <cellStyle name="Normal 8 15 3 2 3" xfId="21579"/>
    <cellStyle name="Normal 8 15 3 3" xfId="12361"/>
    <cellStyle name="Normal 8 15 3 4" xfId="18513"/>
    <cellStyle name="Normal 8 15 4" xfId="7699"/>
    <cellStyle name="Normal 8 15 4 2" xfId="13893"/>
    <cellStyle name="Normal 8 15 4 3" xfId="20045"/>
    <cellStyle name="Normal 8 15 5" xfId="10827"/>
    <cellStyle name="Normal 8 15 6" xfId="16979"/>
    <cellStyle name="Normal 8 16" xfId="4113"/>
    <cellStyle name="Normal 8 16 2" xfId="5293"/>
    <cellStyle name="Normal 8 16 2 2" xfId="6918"/>
    <cellStyle name="Normal 8 16 2 2 2" xfId="10004"/>
    <cellStyle name="Normal 8 16 2 2 2 2" xfId="16197"/>
    <cellStyle name="Normal 8 16 2 2 2 3" xfId="22349"/>
    <cellStyle name="Normal 8 16 2 2 3" xfId="13131"/>
    <cellStyle name="Normal 8 16 2 2 4" xfId="19283"/>
    <cellStyle name="Normal 8 16 2 3" xfId="8469"/>
    <cellStyle name="Normal 8 16 2 3 2" xfId="14663"/>
    <cellStyle name="Normal 8 16 2 3 3" xfId="20815"/>
    <cellStyle name="Normal 8 16 2 4" xfId="11597"/>
    <cellStyle name="Normal 8 16 2 5" xfId="17749"/>
    <cellStyle name="Normal 8 16 3" xfId="6135"/>
    <cellStyle name="Normal 8 16 3 2" xfId="9235"/>
    <cellStyle name="Normal 8 16 3 2 2" xfId="15428"/>
    <cellStyle name="Normal 8 16 3 2 3" xfId="21580"/>
    <cellStyle name="Normal 8 16 3 3" xfId="12362"/>
    <cellStyle name="Normal 8 16 3 4" xfId="18514"/>
    <cellStyle name="Normal 8 16 4" xfId="7700"/>
    <cellStyle name="Normal 8 16 4 2" xfId="13894"/>
    <cellStyle name="Normal 8 16 4 3" xfId="20046"/>
    <cellStyle name="Normal 8 16 5" xfId="10828"/>
    <cellStyle name="Normal 8 16 6" xfId="16980"/>
    <cellStyle name="Normal 8 17" xfId="4114"/>
    <cellStyle name="Normal 8 17 2" xfId="5294"/>
    <cellStyle name="Normal 8 17 2 2" xfId="6919"/>
    <cellStyle name="Normal 8 17 2 2 2" xfId="10005"/>
    <cellStyle name="Normal 8 17 2 2 2 2" xfId="16198"/>
    <cellStyle name="Normal 8 17 2 2 2 3" xfId="22350"/>
    <cellStyle name="Normal 8 17 2 2 3" xfId="13132"/>
    <cellStyle name="Normal 8 17 2 2 4" xfId="19284"/>
    <cellStyle name="Normal 8 17 2 3" xfId="8470"/>
    <cellStyle name="Normal 8 17 2 3 2" xfId="14664"/>
    <cellStyle name="Normal 8 17 2 3 3" xfId="20816"/>
    <cellStyle name="Normal 8 17 2 4" xfId="11598"/>
    <cellStyle name="Normal 8 17 2 5" xfId="17750"/>
    <cellStyle name="Normal 8 17 3" xfId="6136"/>
    <cellStyle name="Normal 8 17 3 2" xfId="9236"/>
    <cellStyle name="Normal 8 17 3 2 2" xfId="15429"/>
    <cellStyle name="Normal 8 17 3 2 3" xfId="21581"/>
    <cellStyle name="Normal 8 17 3 3" xfId="12363"/>
    <cellStyle name="Normal 8 17 3 4" xfId="18515"/>
    <cellStyle name="Normal 8 17 4" xfId="7701"/>
    <cellStyle name="Normal 8 17 4 2" xfId="13895"/>
    <cellStyle name="Normal 8 17 4 3" xfId="20047"/>
    <cellStyle name="Normal 8 17 5" xfId="10829"/>
    <cellStyle name="Normal 8 17 6" xfId="16981"/>
    <cellStyle name="Normal 8 18" xfId="4115"/>
    <cellStyle name="Normal 8 18 2" xfId="5295"/>
    <cellStyle name="Normal 8 18 2 2" xfId="6920"/>
    <cellStyle name="Normal 8 18 2 2 2" xfId="10006"/>
    <cellStyle name="Normal 8 18 2 2 2 2" xfId="16199"/>
    <cellStyle name="Normal 8 18 2 2 2 3" xfId="22351"/>
    <cellStyle name="Normal 8 18 2 2 3" xfId="13133"/>
    <cellStyle name="Normal 8 18 2 2 4" xfId="19285"/>
    <cellStyle name="Normal 8 18 2 3" xfId="8471"/>
    <cellStyle name="Normal 8 18 2 3 2" xfId="14665"/>
    <cellStyle name="Normal 8 18 2 3 3" xfId="20817"/>
    <cellStyle name="Normal 8 18 2 4" xfId="11599"/>
    <cellStyle name="Normal 8 18 2 5" xfId="17751"/>
    <cellStyle name="Normal 8 18 3" xfId="6137"/>
    <cellStyle name="Normal 8 18 3 2" xfId="9237"/>
    <cellStyle name="Normal 8 18 3 2 2" xfId="15430"/>
    <cellStyle name="Normal 8 18 3 2 3" xfId="21582"/>
    <cellStyle name="Normal 8 18 3 3" xfId="12364"/>
    <cellStyle name="Normal 8 18 3 4" xfId="18516"/>
    <cellStyle name="Normal 8 18 4" xfId="7702"/>
    <cellStyle name="Normal 8 18 4 2" xfId="13896"/>
    <cellStyle name="Normal 8 18 4 3" xfId="20048"/>
    <cellStyle name="Normal 8 18 5" xfId="10830"/>
    <cellStyle name="Normal 8 18 6" xfId="16982"/>
    <cellStyle name="Normal 8 19" xfId="4116"/>
    <cellStyle name="Normal 8 19 2" xfId="5296"/>
    <cellStyle name="Normal 8 19 2 2" xfId="6921"/>
    <cellStyle name="Normal 8 19 2 2 2" xfId="10007"/>
    <cellStyle name="Normal 8 19 2 2 2 2" xfId="16200"/>
    <cellStyle name="Normal 8 19 2 2 2 3" xfId="22352"/>
    <cellStyle name="Normal 8 19 2 2 3" xfId="13134"/>
    <cellStyle name="Normal 8 19 2 2 4" xfId="19286"/>
    <cellStyle name="Normal 8 19 2 3" xfId="8472"/>
    <cellStyle name="Normal 8 19 2 3 2" xfId="14666"/>
    <cellStyle name="Normal 8 19 2 3 3" xfId="20818"/>
    <cellStyle name="Normal 8 19 2 4" xfId="11600"/>
    <cellStyle name="Normal 8 19 2 5" xfId="17752"/>
    <cellStyle name="Normal 8 19 3" xfId="6138"/>
    <cellStyle name="Normal 8 19 3 2" xfId="9238"/>
    <cellStyle name="Normal 8 19 3 2 2" xfId="15431"/>
    <cellStyle name="Normal 8 19 3 2 3" xfId="21583"/>
    <cellStyle name="Normal 8 19 3 3" xfId="12365"/>
    <cellStyle name="Normal 8 19 3 4" xfId="18517"/>
    <cellStyle name="Normal 8 19 4" xfId="7703"/>
    <cellStyle name="Normal 8 19 4 2" xfId="13897"/>
    <cellStyle name="Normal 8 19 4 3" xfId="20049"/>
    <cellStyle name="Normal 8 19 5" xfId="10831"/>
    <cellStyle name="Normal 8 19 6" xfId="16983"/>
    <cellStyle name="Normal 8 2" xfId="1294"/>
    <cellStyle name="Normal 8 2 10" xfId="10284"/>
    <cellStyle name="Normal 8 2 11" xfId="16436"/>
    <cellStyle name="Normal 8 2 12" xfId="23294"/>
    <cellStyle name="Normal 8 2 2" xfId="1313"/>
    <cellStyle name="Normal 8 2 2 2" xfId="4118"/>
    <cellStyle name="Normal 8 2 2 2 2" xfId="5298"/>
    <cellStyle name="Normal 8 2 2 2 2 2" xfId="6923"/>
    <cellStyle name="Normal 8 2 2 2 2 2 2" xfId="10009"/>
    <cellStyle name="Normal 8 2 2 2 2 2 2 2" xfId="16202"/>
    <cellStyle name="Normal 8 2 2 2 2 2 2 3" xfId="22354"/>
    <cellStyle name="Normal 8 2 2 2 2 2 3" xfId="13136"/>
    <cellStyle name="Normal 8 2 2 2 2 2 4" xfId="19288"/>
    <cellStyle name="Normal 8 2 2 2 2 3" xfId="8474"/>
    <cellStyle name="Normal 8 2 2 2 2 3 2" xfId="14668"/>
    <cellStyle name="Normal 8 2 2 2 2 3 3" xfId="20820"/>
    <cellStyle name="Normal 8 2 2 2 2 4" xfId="11602"/>
    <cellStyle name="Normal 8 2 2 2 2 5" xfId="17754"/>
    <cellStyle name="Normal 8 2 2 2 3" xfId="6140"/>
    <cellStyle name="Normal 8 2 2 2 3 2" xfId="9240"/>
    <cellStyle name="Normal 8 2 2 2 3 2 2" xfId="15433"/>
    <cellStyle name="Normal 8 2 2 2 3 2 3" xfId="21585"/>
    <cellStyle name="Normal 8 2 2 2 3 3" xfId="12367"/>
    <cellStyle name="Normal 8 2 2 2 3 4" xfId="18519"/>
    <cellStyle name="Normal 8 2 2 2 4" xfId="7705"/>
    <cellStyle name="Normal 8 2 2 2 4 2" xfId="13899"/>
    <cellStyle name="Normal 8 2 2 2 4 3" xfId="20051"/>
    <cellStyle name="Normal 8 2 2 2 5" xfId="10833"/>
    <cellStyle name="Normal 8 2 2 2 6" xfId="16985"/>
    <cellStyle name="Normal 8 2 2 3" xfId="4760"/>
    <cellStyle name="Normal 8 2 2 3 2" xfId="6385"/>
    <cellStyle name="Normal 8 2 2 3 2 2" xfId="9471"/>
    <cellStyle name="Normal 8 2 2 3 2 2 2" xfId="15664"/>
    <cellStyle name="Normal 8 2 2 3 2 2 3" xfId="21816"/>
    <cellStyle name="Normal 8 2 2 3 2 3" xfId="12598"/>
    <cellStyle name="Normal 8 2 2 3 2 4" xfId="18750"/>
    <cellStyle name="Normal 8 2 2 3 3" xfId="7936"/>
    <cellStyle name="Normal 8 2 2 3 3 2" xfId="14130"/>
    <cellStyle name="Normal 8 2 2 3 3 3" xfId="20282"/>
    <cellStyle name="Normal 8 2 2 3 4" xfId="11064"/>
    <cellStyle name="Normal 8 2 2 3 5" xfId="17216"/>
    <cellStyle name="Normal 8 2 2 4" xfId="5599"/>
    <cellStyle name="Normal 8 2 2 4 2" xfId="8702"/>
    <cellStyle name="Normal 8 2 2 4 2 2" xfId="14895"/>
    <cellStyle name="Normal 8 2 2 4 2 3" xfId="21047"/>
    <cellStyle name="Normal 8 2 2 4 3" xfId="11829"/>
    <cellStyle name="Normal 8 2 2 4 4" xfId="17981"/>
    <cellStyle name="Normal 8 2 2 5" xfId="7167"/>
    <cellStyle name="Normal 8 2 2 5 2" xfId="13361"/>
    <cellStyle name="Normal 8 2 2 5 3" xfId="19513"/>
    <cellStyle name="Normal 8 2 2 6" xfId="10295"/>
    <cellStyle name="Normal 8 2 2 7" xfId="16447"/>
    <cellStyle name="Normal 8 2 3" xfId="4119"/>
    <cellStyle name="Normal 8 2 3 2" xfId="5299"/>
    <cellStyle name="Normal 8 2 3 2 2" xfId="6924"/>
    <cellStyle name="Normal 8 2 3 2 2 2" xfId="10010"/>
    <cellStyle name="Normal 8 2 3 2 2 2 2" xfId="16203"/>
    <cellStyle name="Normal 8 2 3 2 2 2 3" xfId="22355"/>
    <cellStyle name="Normal 8 2 3 2 2 3" xfId="13137"/>
    <cellStyle name="Normal 8 2 3 2 2 4" xfId="19289"/>
    <cellStyle name="Normal 8 2 3 2 3" xfId="8475"/>
    <cellStyle name="Normal 8 2 3 2 3 2" xfId="14669"/>
    <cellStyle name="Normal 8 2 3 2 3 3" xfId="20821"/>
    <cellStyle name="Normal 8 2 3 2 4" xfId="11603"/>
    <cellStyle name="Normal 8 2 3 2 5" xfId="17755"/>
    <cellStyle name="Normal 8 2 3 3" xfId="6141"/>
    <cellStyle name="Normal 8 2 3 3 2" xfId="9241"/>
    <cellStyle name="Normal 8 2 3 3 2 2" xfId="15434"/>
    <cellStyle name="Normal 8 2 3 3 2 3" xfId="21586"/>
    <cellStyle name="Normal 8 2 3 3 3" xfId="12368"/>
    <cellStyle name="Normal 8 2 3 3 4" xfId="18520"/>
    <cellStyle name="Normal 8 2 3 4" xfId="7706"/>
    <cellStyle name="Normal 8 2 3 4 2" xfId="13900"/>
    <cellStyle name="Normal 8 2 3 4 3" xfId="20052"/>
    <cellStyle name="Normal 8 2 3 5" xfId="10834"/>
    <cellStyle name="Normal 8 2 3 6" xfId="16986"/>
    <cellStyle name="Normal 8 2 4" xfId="4120"/>
    <cellStyle name="Normal 8 2 4 2" xfId="5300"/>
    <cellStyle name="Normal 8 2 4 2 2" xfId="6925"/>
    <cellStyle name="Normal 8 2 4 2 2 2" xfId="10011"/>
    <cellStyle name="Normal 8 2 4 2 2 2 2" xfId="16204"/>
    <cellStyle name="Normal 8 2 4 2 2 2 3" xfId="22356"/>
    <cellStyle name="Normal 8 2 4 2 2 3" xfId="13138"/>
    <cellStyle name="Normal 8 2 4 2 2 4" xfId="19290"/>
    <cellStyle name="Normal 8 2 4 2 3" xfId="8476"/>
    <cellStyle name="Normal 8 2 4 2 3 2" xfId="14670"/>
    <cellStyle name="Normal 8 2 4 2 3 3" xfId="20822"/>
    <cellStyle name="Normal 8 2 4 2 4" xfId="11604"/>
    <cellStyle name="Normal 8 2 4 2 5" xfId="17756"/>
    <cellStyle name="Normal 8 2 4 3" xfId="6142"/>
    <cellStyle name="Normal 8 2 4 3 2" xfId="9242"/>
    <cellStyle name="Normal 8 2 4 3 2 2" xfId="15435"/>
    <cellStyle name="Normal 8 2 4 3 2 3" xfId="21587"/>
    <cellStyle name="Normal 8 2 4 3 3" xfId="12369"/>
    <cellStyle name="Normal 8 2 4 3 4" xfId="18521"/>
    <cellStyle name="Normal 8 2 4 4" xfId="7707"/>
    <cellStyle name="Normal 8 2 4 4 2" xfId="13901"/>
    <cellStyle name="Normal 8 2 4 4 3" xfId="20053"/>
    <cellStyle name="Normal 8 2 4 5" xfId="10835"/>
    <cellStyle name="Normal 8 2 4 6" xfId="16987"/>
    <cellStyle name="Normal 8 2 5" xfId="4121"/>
    <cellStyle name="Normal 8 2 5 2" xfId="5301"/>
    <cellStyle name="Normal 8 2 5 2 2" xfId="6926"/>
    <cellStyle name="Normal 8 2 5 2 2 2" xfId="10012"/>
    <cellStyle name="Normal 8 2 5 2 2 2 2" xfId="16205"/>
    <cellStyle name="Normal 8 2 5 2 2 2 3" xfId="22357"/>
    <cellStyle name="Normal 8 2 5 2 2 3" xfId="13139"/>
    <cellStyle name="Normal 8 2 5 2 2 4" xfId="19291"/>
    <cellStyle name="Normal 8 2 5 2 3" xfId="8477"/>
    <cellStyle name="Normal 8 2 5 2 3 2" xfId="14671"/>
    <cellStyle name="Normal 8 2 5 2 3 3" xfId="20823"/>
    <cellStyle name="Normal 8 2 5 2 4" xfId="11605"/>
    <cellStyle name="Normal 8 2 5 2 5" xfId="17757"/>
    <cellStyle name="Normal 8 2 5 3" xfId="6143"/>
    <cellStyle name="Normal 8 2 5 3 2" xfId="9243"/>
    <cellStyle name="Normal 8 2 5 3 2 2" xfId="15436"/>
    <cellStyle name="Normal 8 2 5 3 2 3" xfId="21588"/>
    <cellStyle name="Normal 8 2 5 3 3" xfId="12370"/>
    <cellStyle name="Normal 8 2 5 3 4" xfId="18522"/>
    <cellStyle name="Normal 8 2 5 4" xfId="7708"/>
    <cellStyle name="Normal 8 2 5 4 2" xfId="13902"/>
    <cellStyle name="Normal 8 2 5 4 3" xfId="20054"/>
    <cellStyle name="Normal 8 2 5 5" xfId="10836"/>
    <cellStyle name="Normal 8 2 5 6" xfId="16988"/>
    <cellStyle name="Normal 8 2 6" xfId="4117"/>
    <cellStyle name="Normal 8 2 6 2" xfId="5297"/>
    <cellStyle name="Normal 8 2 6 2 2" xfId="6922"/>
    <cellStyle name="Normal 8 2 6 2 2 2" xfId="10008"/>
    <cellStyle name="Normal 8 2 6 2 2 2 2" xfId="16201"/>
    <cellStyle name="Normal 8 2 6 2 2 2 3" xfId="22353"/>
    <cellStyle name="Normal 8 2 6 2 2 3" xfId="13135"/>
    <cellStyle name="Normal 8 2 6 2 2 4" xfId="19287"/>
    <cellStyle name="Normal 8 2 6 2 3" xfId="8473"/>
    <cellStyle name="Normal 8 2 6 2 3 2" xfId="14667"/>
    <cellStyle name="Normal 8 2 6 2 3 3" xfId="20819"/>
    <cellStyle name="Normal 8 2 6 2 4" xfId="11601"/>
    <cellStyle name="Normal 8 2 6 2 5" xfId="17753"/>
    <cellStyle name="Normal 8 2 6 3" xfId="6139"/>
    <cellStyle name="Normal 8 2 6 3 2" xfId="9239"/>
    <cellStyle name="Normal 8 2 6 3 2 2" xfId="15432"/>
    <cellStyle name="Normal 8 2 6 3 2 3" xfId="21584"/>
    <cellStyle name="Normal 8 2 6 3 3" xfId="12366"/>
    <cellStyle name="Normal 8 2 6 3 4" xfId="18518"/>
    <cellStyle name="Normal 8 2 6 4" xfId="7704"/>
    <cellStyle name="Normal 8 2 6 4 2" xfId="13898"/>
    <cellStyle name="Normal 8 2 6 4 3" xfId="20050"/>
    <cellStyle name="Normal 8 2 6 5" xfId="10832"/>
    <cellStyle name="Normal 8 2 6 6" xfId="16984"/>
    <cellStyle name="Normal 8 2 7" xfId="4749"/>
    <cellStyle name="Normal 8 2 7 2" xfId="6374"/>
    <cellStyle name="Normal 8 2 7 2 2" xfId="9460"/>
    <cellStyle name="Normal 8 2 7 2 2 2" xfId="15653"/>
    <cellStyle name="Normal 8 2 7 2 2 3" xfId="21805"/>
    <cellStyle name="Normal 8 2 7 2 3" xfId="12587"/>
    <cellStyle name="Normal 8 2 7 2 4" xfId="18739"/>
    <cellStyle name="Normal 8 2 7 3" xfId="7925"/>
    <cellStyle name="Normal 8 2 7 3 2" xfId="14119"/>
    <cellStyle name="Normal 8 2 7 3 3" xfId="20271"/>
    <cellStyle name="Normal 8 2 7 4" xfId="11053"/>
    <cellStyle name="Normal 8 2 7 5" xfId="17205"/>
    <cellStyle name="Normal 8 2 8" xfId="5587"/>
    <cellStyle name="Normal 8 2 8 2" xfId="8691"/>
    <cellStyle name="Normal 8 2 8 2 2" xfId="14884"/>
    <cellStyle name="Normal 8 2 8 2 3" xfId="21036"/>
    <cellStyle name="Normal 8 2 8 3" xfId="11818"/>
    <cellStyle name="Normal 8 2 8 4" xfId="17970"/>
    <cellStyle name="Normal 8 2 9" xfId="7156"/>
    <cellStyle name="Normal 8 2 9 2" xfId="13350"/>
    <cellStyle name="Normal 8 2 9 3" xfId="19502"/>
    <cellStyle name="Normal 8 20" xfId="4122"/>
    <cellStyle name="Normal 8 20 2" xfId="5302"/>
    <cellStyle name="Normal 8 20 2 2" xfId="6927"/>
    <cellStyle name="Normal 8 20 2 2 2" xfId="10013"/>
    <cellStyle name="Normal 8 20 2 2 2 2" xfId="16206"/>
    <cellStyle name="Normal 8 20 2 2 2 3" xfId="22358"/>
    <cellStyle name="Normal 8 20 2 2 3" xfId="13140"/>
    <cellStyle name="Normal 8 20 2 2 4" xfId="19292"/>
    <cellStyle name="Normal 8 20 2 3" xfId="8478"/>
    <cellStyle name="Normal 8 20 2 3 2" xfId="14672"/>
    <cellStyle name="Normal 8 20 2 3 3" xfId="20824"/>
    <cellStyle name="Normal 8 20 2 4" xfId="11606"/>
    <cellStyle name="Normal 8 20 2 5" xfId="17758"/>
    <cellStyle name="Normal 8 20 3" xfId="6144"/>
    <cellStyle name="Normal 8 20 3 2" xfId="9244"/>
    <cellStyle name="Normal 8 20 3 2 2" xfId="15437"/>
    <cellStyle name="Normal 8 20 3 2 3" xfId="21589"/>
    <cellStyle name="Normal 8 20 3 3" xfId="12371"/>
    <cellStyle name="Normal 8 20 3 4" xfId="18523"/>
    <cellStyle name="Normal 8 20 4" xfId="7709"/>
    <cellStyle name="Normal 8 20 4 2" xfId="13903"/>
    <cellStyle name="Normal 8 20 4 3" xfId="20055"/>
    <cellStyle name="Normal 8 20 5" xfId="10837"/>
    <cellStyle name="Normal 8 20 6" xfId="16989"/>
    <cellStyle name="Normal 8 21" xfId="4123"/>
    <cellStyle name="Normal 8 22" xfId="4124"/>
    <cellStyle name="Normal 8 22 2" xfId="5303"/>
    <cellStyle name="Normal 8 22 2 2" xfId="6928"/>
    <cellStyle name="Normal 8 22 2 2 2" xfId="10014"/>
    <cellStyle name="Normal 8 22 2 2 2 2" xfId="16207"/>
    <cellStyle name="Normal 8 22 2 2 2 3" xfId="22359"/>
    <cellStyle name="Normal 8 22 2 2 3" xfId="13141"/>
    <cellStyle name="Normal 8 22 2 2 4" xfId="19293"/>
    <cellStyle name="Normal 8 22 2 3" xfId="8479"/>
    <cellStyle name="Normal 8 22 2 3 2" xfId="14673"/>
    <cellStyle name="Normal 8 22 2 3 3" xfId="20825"/>
    <cellStyle name="Normal 8 22 2 4" xfId="11607"/>
    <cellStyle name="Normal 8 22 2 5" xfId="17759"/>
    <cellStyle name="Normal 8 22 3" xfId="6145"/>
    <cellStyle name="Normal 8 22 3 2" xfId="9245"/>
    <cellStyle name="Normal 8 22 3 2 2" xfId="15438"/>
    <cellStyle name="Normal 8 22 3 2 3" xfId="21590"/>
    <cellStyle name="Normal 8 22 3 3" xfId="12372"/>
    <cellStyle name="Normal 8 22 3 4" xfId="18524"/>
    <cellStyle name="Normal 8 22 4" xfId="7710"/>
    <cellStyle name="Normal 8 22 4 2" xfId="13904"/>
    <cellStyle name="Normal 8 22 4 3" xfId="20056"/>
    <cellStyle name="Normal 8 22 5" xfId="10838"/>
    <cellStyle name="Normal 8 22 6" xfId="16990"/>
    <cellStyle name="Normal 8 23" xfId="4125"/>
    <cellStyle name="Normal 8 23 2" xfId="4126"/>
    <cellStyle name="Normal 8 24" xfId="4127"/>
    <cellStyle name="Normal 8 24 2" xfId="4128"/>
    <cellStyle name="Normal 8 25" xfId="4106"/>
    <cellStyle name="Normal 8 25 2" xfId="5286"/>
    <cellStyle name="Normal 8 25 2 2" xfId="6911"/>
    <cellStyle name="Normal 8 25 2 2 2" xfId="9997"/>
    <cellStyle name="Normal 8 25 2 2 2 2" xfId="16190"/>
    <cellStyle name="Normal 8 25 2 2 2 3" xfId="22342"/>
    <cellStyle name="Normal 8 25 2 2 3" xfId="13124"/>
    <cellStyle name="Normal 8 25 2 2 4" xfId="19276"/>
    <cellStyle name="Normal 8 25 2 3" xfId="8462"/>
    <cellStyle name="Normal 8 25 2 3 2" xfId="14656"/>
    <cellStyle name="Normal 8 25 2 3 3" xfId="20808"/>
    <cellStyle name="Normal 8 25 2 4" xfId="11590"/>
    <cellStyle name="Normal 8 25 2 5" xfId="17742"/>
    <cellStyle name="Normal 8 25 3" xfId="6128"/>
    <cellStyle name="Normal 8 25 3 2" xfId="9228"/>
    <cellStyle name="Normal 8 25 3 2 2" xfId="15421"/>
    <cellStyle name="Normal 8 25 3 2 3" xfId="21573"/>
    <cellStyle name="Normal 8 25 3 3" xfId="12355"/>
    <cellStyle name="Normal 8 25 3 4" xfId="18507"/>
    <cellStyle name="Normal 8 25 4" xfId="7693"/>
    <cellStyle name="Normal 8 25 4 2" xfId="13887"/>
    <cellStyle name="Normal 8 25 4 3" xfId="20039"/>
    <cellStyle name="Normal 8 25 5" xfId="10821"/>
    <cellStyle name="Normal 8 25 6" xfId="16973"/>
    <cellStyle name="Normal 8 26" xfId="4743"/>
    <cellStyle name="Normal 8 26 2" xfId="6368"/>
    <cellStyle name="Normal 8 26 2 2" xfId="9454"/>
    <cellStyle name="Normal 8 26 2 2 2" xfId="15647"/>
    <cellStyle name="Normal 8 26 2 2 3" xfId="21799"/>
    <cellStyle name="Normal 8 26 2 3" xfId="12581"/>
    <cellStyle name="Normal 8 26 2 4" xfId="18733"/>
    <cellStyle name="Normal 8 26 3" xfId="7919"/>
    <cellStyle name="Normal 8 26 3 2" xfId="14113"/>
    <cellStyle name="Normal 8 26 3 3" xfId="20265"/>
    <cellStyle name="Normal 8 26 4" xfId="11047"/>
    <cellStyle name="Normal 8 26 5" xfId="17199"/>
    <cellStyle name="Normal 8 27" xfId="5581"/>
    <cellStyle name="Normal 8 27 2" xfId="8685"/>
    <cellStyle name="Normal 8 27 2 2" xfId="14878"/>
    <cellStyle name="Normal 8 27 2 3" xfId="21030"/>
    <cellStyle name="Normal 8 27 3" xfId="11812"/>
    <cellStyle name="Normal 8 27 4" xfId="17964"/>
    <cellStyle name="Normal 8 28" xfId="7150"/>
    <cellStyle name="Normal 8 28 2" xfId="13344"/>
    <cellStyle name="Normal 8 28 3" xfId="19496"/>
    <cellStyle name="Normal 8 29" xfId="10278"/>
    <cellStyle name="Normal 8 3" xfId="1307"/>
    <cellStyle name="Normal 8 3 10" xfId="10289"/>
    <cellStyle name="Normal 8 3 11" xfId="16441"/>
    <cellStyle name="Normal 8 3 12" xfId="23295"/>
    <cellStyle name="Normal 8 3 2" xfId="4130"/>
    <cellStyle name="Normal 8 3 2 2" xfId="5305"/>
    <cellStyle name="Normal 8 3 2 2 2" xfId="6930"/>
    <cellStyle name="Normal 8 3 2 2 2 2" xfId="10016"/>
    <cellStyle name="Normal 8 3 2 2 2 2 2" xfId="16209"/>
    <cellStyle name="Normal 8 3 2 2 2 2 3" xfId="22361"/>
    <cellStyle name="Normal 8 3 2 2 2 3" xfId="13143"/>
    <cellStyle name="Normal 8 3 2 2 2 4" xfId="19295"/>
    <cellStyle name="Normal 8 3 2 2 3" xfId="8481"/>
    <cellStyle name="Normal 8 3 2 2 3 2" xfId="14675"/>
    <cellStyle name="Normal 8 3 2 2 3 3" xfId="20827"/>
    <cellStyle name="Normal 8 3 2 2 4" xfId="11609"/>
    <cellStyle name="Normal 8 3 2 2 5" xfId="17761"/>
    <cellStyle name="Normal 8 3 2 3" xfId="6147"/>
    <cellStyle name="Normal 8 3 2 3 2" xfId="9247"/>
    <cellStyle name="Normal 8 3 2 3 2 2" xfId="15440"/>
    <cellStyle name="Normal 8 3 2 3 2 3" xfId="21592"/>
    <cellStyle name="Normal 8 3 2 3 3" xfId="12374"/>
    <cellStyle name="Normal 8 3 2 3 4" xfId="18526"/>
    <cellStyle name="Normal 8 3 2 4" xfId="7712"/>
    <cellStyle name="Normal 8 3 2 4 2" xfId="13906"/>
    <cellStyle name="Normal 8 3 2 4 3" xfId="20058"/>
    <cellStyle name="Normal 8 3 2 5" xfId="10840"/>
    <cellStyle name="Normal 8 3 2 6" xfId="16992"/>
    <cellStyle name="Normal 8 3 3" xfId="4131"/>
    <cellStyle name="Normal 8 3 3 2" xfId="5306"/>
    <cellStyle name="Normal 8 3 3 2 2" xfId="6931"/>
    <cellStyle name="Normal 8 3 3 2 2 2" xfId="10017"/>
    <cellStyle name="Normal 8 3 3 2 2 2 2" xfId="16210"/>
    <cellStyle name="Normal 8 3 3 2 2 2 3" xfId="22362"/>
    <cellStyle name="Normal 8 3 3 2 2 3" xfId="13144"/>
    <cellStyle name="Normal 8 3 3 2 2 4" xfId="19296"/>
    <cellStyle name="Normal 8 3 3 2 3" xfId="8482"/>
    <cellStyle name="Normal 8 3 3 2 3 2" xfId="14676"/>
    <cellStyle name="Normal 8 3 3 2 3 3" xfId="20828"/>
    <cellStyle name="Normal 8 3 3 2 4" xfId="11610"/>
    <cellStyle name="Normal 8 3 3 2 5" xfId="17762"/>
    <cellStyle name="Normal 8 3 3 3" xfId="6148"/>
    <cellStyle name="Normal 8 3 3 3 2" xfId="9248"/>
    <cellStyle name="Normal 8 3 3 3 2 2" xfId="15441"/>
    <cellStyle name="Normal 8 3 3 3 2 3" xfId="21593"/>
    <cellStyle name="Normal 8 3 3 3 3" xfId="12375"/>
    <cellStyle name="Normal 8 3 3 3 4" xfId="18527"/>
    <cellStyle name="Normal 8 3 3 4" xfId="7713"/>
    <cellStyle name="Normal 8 3 3 4 2" xfId="13907"/>
    <cellStyle name="Normal 8 3 3 4 3" xfId="20059"/>
    <cellStyle name="Normal 8 3 3 5" xfId="10841"/>
    <cellStyle name="Normal 8 3 3 6" xfId="16993"/>
    <cellStyle name="Normal 8 3 4" xfId="4132"/>
    <cellStyle name="Normal 8 3 4 2" xfId="5307"/>
    <cellStyle name="Normal 8 3 4 2 2" xfId="6932"/>
    <cellStyle name="Normal 8 3 4 2 2 2" xfId="10018"/>
    <cellStyle name="Normal 8 3 4 2 2 2 2" xfId="16211"/>
    <cellStyle name="Normal 8 3 4 2 2 2 3" xfId="22363"/>
    <cellStyle name="Normal 8 3 4 2 2 3" xfId="13145"/>
    <cellStyle name="Normal 8 3 4 2 2 4" xfId="19297"/>
    <cellStyle name="Normal 8 3 4 2 3" xfId="8483"/>
    <cellStyle name="Normal 8 3 4 2 3 2" xfId="14677"/>
    <cellStyle name="Normal 8 3 4 2 3 3" xfId="20829"/>
    <cellStyle name="Normal 8 3 4 2 4" xfId="11611"/>
    <cellStyle name="Normal 8 3 4 2 5" xfId="17763"/>
    <cellStyle name="Normal 8 3 4 3" xfId="6149"/>
    <cellStyle name="Normal 8 3 4 3 2" xfId="9249"/>
    <cellStyle name="Normal 8 3 4 3 2 2" xfId="15442"/>
    <cellStyle name="Normal 8 3 4 3 2 3" xfId="21594"/>
    <cellStyle name="Normal 8 3 4 3 3" xfId="12376"/>
    <cellStyle name="Normal 8 3 4 3 4" xfId="18528"/>
    <cellStyle name="Normal 8 3 4 4" xfId="7714"/>
    <cellStyle name="Normal 8 3 4 4 2" xfId="13908"/>
    <cellStyle name="Normal 8 3 4 4 3" xfId="20060"/>
    <cellStyle name="Normal 8 3 4 5" xfId="10842"/>
    <cellStyle name="Normal 8 3 4 6" xfId="16994"/>
    <cellStyle name="Normal 8 3 5" xfId="4133"/>
    <cellStyle name="Normal 8 3 5 2" xfId="5308"/>
    <cellStyle name="Normal 8 3 5 2 2" xfId="6933"/>
    <cellStyle name="Normal 8 3 5 2 2 2" xfId="10019"/>
    <cellStyle name="Normal 8 3 5 2 2 2 2" xfId="16212"/>
    <cellStyle name="Normal 8 3 5 2 2 2 3" xfId="22364"/>
    <cellStyle name="Normal 8 3 5 2 2 3" xfId="13146"/>
    <cellStyle name="Normal 8 3 5 2 2 4" xfId="19298"/>
    <cellStyle name="Normal 8 3 5 2 3" xfId="8484"/>
    <cellStyle name="Normal 8 3 5 2 3 2" xfId="14678"/>
    <cellStyle name="Normal 8 3 5 2 3 3" xfId="20830"/>
    <cellStyle name="Normal 8 3 5 2 4" xfId="11612"/>
    <cellStyle name="Normal 8 3 5 2 5" xfId="17764"/>
    <cellStyle name="Normal 8 3 5 3" xfId="6150"/>
    <cellStyle name="Normal 8 3 5 3 2" xfId="9250"/>
    <cellStyle name="Normal 8 3 5 3 2 2" xfId="15443"/>
    <cellStyle name="Normal 8 3 5 3 2 3" xfId="21595"/>
    <cellStyle name="Normal 8 3 5 3 3" xfId="12377"/>
    <cellStyle name="Normal 8 3 5 3 4" xfId="18529"/>
    <cellStyle name="Normal 8 3 5 4" xfId="7715"/>
    <cellStyle name="Normal 8 3 5 4 2" xfId="13909"/>
    <cellStyle name="Normal 8 3 5 4 3" xfId="20061"/>
    <cellStyle name="Normal 8 3 5 5" xfId="10843"/>
    <cellStyle name="Normal 8 3 5 6" xfId="16995"/>
    <cellStyle name="Normal 8 3 6" xfId="4129"/>
    <cellStyle name="Normal 8 3 6 2" xfId="5304"/>
    <cellStyle name="Normal 8 3 6 2 2" xfId="6929"/>
    <cellStyle name="Normal 8 3 6 2 2 2" xfId="10015"/>
    <cellStyle name="Normal 8 3 6 2 2 2 2" xfId="16208"/>
    <cellStyle name="Normal 8 3 6 2 2 2 3" xfId="22360"/>
    <cellStyle name="Normal 8 3 6 2 2 3" xfId="13142"/>
    <cellStyle name="Normal 8 3 6 2 2 4" xfId="19294"/>
    <cellStyle name="Normal 8 3 6 2 3" xfId="8480"/>
    <cellStyle name="Normal 8 3 6 2 3 2" xfId="14674"/>
    <cellStyle name="Normal 8 3 6 2 3 3" xfId="20826"/>
    <cellStyle name="Normal 8 3 6 2 4" xfId="11608"/>
    <cellStyle name="Normal 8 3 6 2 5" xfId="17760"/>
    <cellStyle name="Normal 8 3 6 3" xfId="6146"/>
    <cellStyle name="Normal 8 3 6 3 2" xfId="9246"/>
    <cellStyle name="Normal 8 3 6 3 2 2" xfId="15439"/>
    <cellStyle name="Normal 8 3 6 3 2 3" xfId="21591"/>
    <cellStyle name="Normal 8 3 6 3 3" xfId="12373"/>
    <cellStyle name="Normal 8 3 6 3 4" xfId="18525"/>
    <cellStyle name="Normal 8 3 6 4" xfId="7711"/>
    <cellStyle name="Normal 8 3 6 4 2" xfId="13905"/>
    <cellStyle name="Normal 8 3 6 4 3" xfId="20057"/>
    <cellStyle name="Normal 8 3 6 5" xfId="10839"/>
    <cellStyle name="Normal 8 3 6 6" xfId="16991"/>
    <cellStyle name="Normal 8 3 7" xfId="4754"/>
    <cellStyle name="Normal 8 3 7 2" xfId="6379"/>
    <cellStyle name="Normal 8 3 7 2 2" xfId="9465"/>
    <cellStyle name="Normal 8 3 7 2 2 2" xfId="15658"/>
    <cellStyle name="Normal 8 3 7 2 2 3" xfId="21810"/>
    <cellStyle name="Normal 8 3 7 2 3" xfId="12592"/>
    <cellStyle name="Normal 8 3 7 2 4" xfId="18744"/>
    <cellStyle name="Normal 8 3 7 3" xfId="7930"/>
    <cellStyle name="Normal 8 3 7 3 2" xfId="14124"/>
    <cellStyle name="Normal 8 3 7 3 3" xfId="20276"/>
    <cellStyle name="Normal 8 3 7 4" xfId="11058"/>
    <cellStyle name="Normal 8 3 7 5" xfId="17210"/>
    <cellStyle name="Normal 8 3 8" xfId="5593"/>
    <cellStyle name="Normal 8 3 8 2" xfId="8696"/>
    <cellStyle name="Normal 8 3 8 2 2" xfId="14889"/>
    <cellStyle name="Normal 8 3 8 2 3" xfId="21041"/>
    <cellStyle name="Normal 8 3 8 3" xfId="11823"/>
    <cellStyle name="Normal 8 3 8 4" xfId="17975"/>
    <cellStyle name="Normal 8 3 9" xfId="7161"/>
    <cellStyle name="Normal 8 3 9 2" xfId="13355"/>
    <cellStyle name="Normal 8 3 9 3" xfId="19507"/>
    <cellStyle name="Normal 8 30" xfId="16430"/>
    <cellStyle name="Normal 8 31" xfId="1279"/>
    <cellStyle name="Normal 8 32" xfId="204"/>
    <cellStyle name="Normal 8 33" xfId="23293"/>
    <cellStyle name="Normal 8 4" xfId="4134"/>
    <cellStyle name="Normal 8 4 2" xfId="5309"/>
    <cellStyle name="Normal 8 4 2 2" xfId="6934"/>
    <cellStyle name="Normal 8 4 2 2 2" xfId="10020"/>
    <cellStyle name="Normal 8 4 2 2 2 2" xfId="16213"/>
    <cellStyle name="Normal 8 4 2 2 2 3" xfId="22365"/>
    <cellStyle name="Normal 8 4 2 2 3" xfId="13147"/>
    <cellStyle name="Normal 8 4 2 2 4" xfId="19299"/>
    <cellStyle name="Normal 8 4 2 3" xfId="8485"/>
    <cellStyle name="Normal 8 4 2 3 2" xfId="14679"/>
    <cellStyle name="Normal 8 4 2 3 3" xfId="20831"/>
    <cellStyle name="Normal 8 4 2 4" xfId="11613"/>
    <cellStyle name="Normal 8 4 2 5" xfId="17765"/>
    <cellStyle name="Normal 8 4 3" xfId="6151"/>
    <cellStyle name="Normal 8 4 3 2" xfId="9251"/>
    <cellStyle name="Normal 8 4 3 2 2" xfId="15444"/>
    <cellStyle name="Normal 8 4 3 2 3" xfId="21596"/>
    <cellStyle name="Normal 8 4 3 3" xfId="12378"/>
    <cellStyle name="Normal 8 4 3 4" xfId="18530"/>
    <cellStyle name="Normal 8 4 4" xfId="7716"/>
    <cellStyle name="Normal 8 4 4 2" xfId="13910"/>
    <cellStyle name="Normal 8 4 4 3" xfId="20062"/>
    <cellStyle name="Normal 8 4 5" xfId="10844"/>
    <cellStyle name="Normal 8 4 6" xfId="16996"/>
    <cellStyle name="Normal 8 4 7" xfId="23296"/>
    <cellStyle name="Normal 8 5" xfId="4135"/>
    <cellStyle name="Normal 8 5 2" xfId="5310"/>
    <cellStyle name="Normal 8 5 2 2" xfId="6935"/>
    <cellStyle name="Normal 8 5 2 2 2" xfId="10021"/>
    <cellStyle name="Normal 8 5 2 2 2 2" xfId="16214"/>
    <cellStyle name="Normal 8 5 2 2 2 3" xfId="22366"/>
    <cellStyle name="Normal 8 5 2 2 3" xfId="13148"/>
    <cellStyle name="Normal 8 5 2 2 4" xfId="19300"/>
    <cellStyle name="Normal 8 5 2 3" xfId="8486"/>
    <cellStyle name="Normal 8 5 2 3 2" xfId="14680"/>
    <cellStyle name="Normal 8 5 2 3 3" xfId="20832"/>
    <cellStyle name="Normal 8 5 2 4" xfId="11614"/>
    <cellStyle name="Normal 8 5 2 5" xfId="17766"/>
    <cellStyle name="Normal 8 5 3" xfId="6152"/>
    <cellStyle name="Normal 8 5 3 2" xfId="9252"/>
    <cellStyle name="Normal 8 5 3 2 2" xfId="15445"/>
    <cellStyle name="Normal 8 5 3 2 3" xfId="21597"/>
    <cellStyle name="Normal 8 5 3 3" xfId="12379"/>
    <cellStyle name="Normal 8 5 3 4" xfId="18531"/>
    <cellStyle name="Normal 8 5 4" xfId="7717"/>
    <cellStyle name="Normal 8 5 4 2" xfId="13911"/>
    <cellStyle name="Normal 8 5 4 3" xfId="20063"/>
    <cellStyle name="Normal 8 5 5" xfId="10845"/>
    <cellStyle name="Normal 8 5 6" xfId="16997"/>
    <cellStyle name="Normal 8 5 7" xfId="23297"/>
    <cellStyle name="Normal 8 6" xfId="4136"/>
    <cellStyle name="Normal 8 6 2" xfId="5311"/>
    <cellStyle name="Normal 8 6 2 2" xfId="6936"/>
    <cellStyle name="Normal 8 6 2 2 2" xfId="10022"/>
    <cellStyle name="Normal 8 6 2 2 2 2" xfId="16215"/>
    <cellStyle name="Normal 8 6 2 2 2 3" xfId="22367"/>
    <cellStyle name="Normal 8 6 2 2 3" xfId="13149"/>
    <cellStyle name="Normal 8 6 2 2 4" xfId="19301"/>
    <cellStyle name="Normal 8 6 2 3" xfId="8487"/>
    <cellStyle name="Normal 8 6 2 3 2" xfId="14681"/>
    <cellStyle name="Normal 8 6 2 3 3" xfId="20833"/>
    <cellStyle name="Normal 8 6 2 4" xfId="11615"/>
    <cellStyle name="Normal 8 6 2 5" xfId="17767"/>
    <cellStyle name="Normal 8 6 3" xfId="6153"/>
    <cellStyle name="Normal 8 6 3 2" xfId="9253"/>
    <cellStyle name="Normal 8 6 3 2 2" xfId="15446"/>
    <cellStyle name="Normal 8 6 3 2 3" xfId="21598"/>
    <cellStyle name="Normal 8 6 3 3" xfId="12380"/>
    <cellStyle name="Normal 8 6 3 4" xfId="18532"/>
    <cellStyle name="Normal 8 6 4" xfId="7718"/>
    <cellStyle name="Normal 8 6 4 2" xfId="13912"/>
    <cellStyle name="Normal 8 6 4 3" xfId="20064"/>
    <cellStyle name="Normal 8 6 5" xfId="10846"/>
    <cellStyle name="Normal 8 6 6" xfId="16998"/>
    <cellStyle name="Normal 8 7" xfId="4137"/>
    <cellStyle name="Normal 8 7 2" xfId="5312"/>
    <cellStyle name="Normal 8 7 2 2" xfId="6937"/>
    <cellStyle name="Normal 8 7 2 2 2" xfId="10023"/>
    <cellStyle name="Normal 8 7 2 2 2 2" xfId="16216"/>
    <cellStyle name="Normal 8 7 2 2 2 3" xfId="22368"/>
    <cellStyle name="Normal 8 7 2 2 3" xfId="13150"/>
    <cellStyle name="Normal 8 7 2 2 4" xfId="19302"/>
    <cellStyle name="Normal 8 7 2 3" xfId="8488"/>
    <cellStyle name="Normal 8 7 2 3 2" xfId="14682"/>
    <cellStyle name="Normal 8 7 2 3 3" xfId="20834"/>
    <cellStyle name="Normal 8 7 2 4" xfId="11616"/>
    <cellStyle name="Normal 8 7 2 5" xfId="17768"/>
    <cellStyle name="Normal 8 7 3" xfId="6154"/>
    <cellStyle name="Normal 8 7 3 2" xfId="9254"/>
    <cellStyle name="Normal 8 7 3 2 2" xfId="15447"/>
    <cellStyle name="Normal 8 7 3 2 3" xfId="21599"/>
    <cellStyle name="Normal 8 7 3 3" xfId="12381"/>
    <cellStyle name="Normal 8 7 3 4" xfId="18533"/>
    <cellStyle name="Normal 8 7 4" xfId="7719"/>
    <cellStyle name="Normal 8 7 4 2" xfId="13913"/>
    <cellStyle name="Normal 8 7 4 3" xfId="20065"/>
    <cellStyle name="Normal 8 7 5" xfId="10847"/>
    <cellStyle name="Normal 8 7 6" xfId="16999"/>
    <cellStyle name="Normal 8 8" xfId="4138"/>
    <cellStyle name="Normal 8 8 2" xfId="5313"/>
    <cellStyle name="Normal 8 8 2 2" xfId="6938"/>
    <cellStyle name="Normal 8 8 2 2 2" xfId="10024"/>
    <cellStyle name="Normal 8 8 2 2 2 2" xfId="16217"/>
    <cellStyle name="Normal 8 8 2 2 2 3" xfId="22369"/>
    <cellStyle name="Normal 8 8 2 2 3" xfId="13151"/>
    <cellStyle name="Normal 8 8 2 2 4" xfId="19303"/>
    <cellStyle name="Normal 8 8 2 3" xfId="8489"/>
    <cellStyle name="Normal 8 8 2 3 2" xfId="14683"/>
    <cellStyle name="Normal 8 8 2 3 3" xfId="20835"/>
    <cellStyle name="Normal 8 8 2 4" xfId="11617"/>
    <cellStyle name="Normal 8 8 2 5" xfId="17769"/>
    <cellStyle name="Normal 8 8 3" xfId="6155"/>
    <cellStyle name="Normal 8 8 3 2" xfId="9255"/>
    <cellStyle name="Normal 8 8 3 2 2" xfId="15448"/>
    <cellStyle name="Normal 8 8 3 2 3" xfId="21600"/>
    <cellStyle name="Normal 8 8 3 3" xfId="12382"/>
    <cellStyle name="Normal 8 8 3 4" xfId="18534"/>
    <cellStyle name="Normal 8 8 4" xfId="7720"/>
    <cellStyle name="Normal 8 8 4 2" xfId="13914"/>
    <cellStyle name="Normal 8 8 4 3" xfId="20066"/>
    <cellStyle name="Normal 8 8 5" xfId="10848"/>
    <cellStyle name="Normal 8 8 6" xfId="17000"/>
    <cellStyle name="Normal 8 9" xfId="4139"/>
    <cellStyle name="Normal 8 9 2" xfId="5314"/>
    <cellStyle name="Normal 8 9 2 2" xfId="6939"/>
    <cellStyle name="Normal 8 9 2 2 2" xfId="10025"/>
    <cellStyle name="Normal 8 9 2 2 2 2" xfId="16218"/>
    <cellStyle name="Normal 8 9 2 2 2 3" xfId="22370"/>
    <cellStyle name="Normal 8 9 2 2 3" xfId="13152"/>
    <cellStyle name="Normal 8 9 2 2 4" xfId="19304"/>
    <cellStyle name="Normal 8 9 2 3" xfId="8490"/>
    <cellStyle name="Normal 8 9 2 3 2" xfId="14684"/>
    <cellStyle name="Normal 8 9 2 3 3" xfId="20836"/>
    <cellStyle name="Normal 8 9 2 4" xfId="11618"/>
    <cellStyle name="Normal 8 9 2 5" xfId="17770"/>
    <cellStyle name="Normal 8 9 3" xfId="6156"/>
    <cellStyle name="Normal 8 9 3 2" xfId="9256"/>
    <cellStyle name="Normal 8 9 3 2 2" xfId="15449"/>
    <cellStyle name="Normal 8 9 3 2 3" xfId="21601"/>
    <cellStyle name="Normal 8 9 3 3" xfId="12383"/>
    <cellStyle name="Normal 8 9 3 4" xfId="18535"/>
    <cellStyle name="Normal 8 9 4" xfId="7721"/>
    <cellStyle name="Normal 8 9 4 2" xfId="13915"/>
    <cellStyle name="Normal 8 9 4 3" xfId="20067"/>
    <cellStyle name="Normal 8 9 5" xfId="10849"/>
    <cellStyle name="Normal 8 9 6" xfId="17001"/>
    <cellStyle name="Normal 9" xfId="37"/>
    <cellStyle name="Normal 9 10" xfId="4141"/>
    <cellStyle name="Normal 9 10 2" xfId="5316"/>
    <cellStyle name="Normal 9 10 2 2" xfId="6941"/>
    <cellStyle name="Normal 9 10 2 2 2" xfId="10027"/>
    <cellStyle name="Normal 9 10 2 2 2 2" xfId="16220"/>
    <cellStyle name="Normal 9 10 2 2 2 3" xfId="22372"/>
    <cellStyle name="Normal 9 10 2 2 3" xfId="13154"/>
    <cellStyle name="Normal 9 10 2 2 4" xfId="19306"/>
    <cellStyle name="Normal 9 10 2 3" xfId="8492"/>
    <cellStyle name="Normal 9 10 2 3 2" xfId="14686"/>
    <cellStyle name="Normal 9 10 2 3 3" xfId="20838"/>
    <cellStyle name="Normal 9 10 2 4" xfId="11620"/>
    <cellStyle name="Normal 9 10 2 5" xfId="17772"/>
    <cellStyle name="Normal 9 10 3" xfId="6158"/>
    <cellStyle name="Normal 9 10 3 2" xfId="9258"/>
    <cellStyle name="Normal 9 10 3 2 2" xfId="15451"/>
    <cellStyle name="Normal 9 10 3 2 3" xfId="21603"/>
    <cellStyle name="Normal 9 10 3 3" xfId="12385"/>
    <cellStyle name="Normal 9 10 3 4" xfId="18537"/>
    <cellStyle name="Normal 9 10 4" xfId="7723"/>
    <cellStyle name="Normal 9 10 4 2" xfId="13917"/>
    <cellStyle name="Normal 9 10 4 3" xfId="20069"/>
    <cellStyle name="Normal 9 10 5" xfId="10851"/>
    <cellStyle name="Normal 9 10 6" xfId="17003"/>
    <cellStyle name="Normal 9 11" xfId="4142"/>
    <cellStyle name="Normal 9 11 2" xfId="5317"/>
    <cellStyle name="Normal 9 11 2 2" xfId="6942"/>
    <cellStyle name="Normal 9 11 2 2 2" xfId="10028"/>
    <cellStyle name="Normal 9 11 2 2 2 2" xfId="16221"/>
    <cellStyle name="Normal 9 11 2 2 2 3" xfId="22373"/>
    <cellStyle name="Normal 9 11 2 2 3" xfId="13155"/>
    <cellStyle name="Normal 9 11 2 2 4" xfId="19307"/>
    <cellStyle name="Normal 9 11 2 3" xfId="8493"/>
    <cellStyle name="Normal 9 11 2 3 2" xfId="14687"/>
    <cellStyle name="Normal 9 11 2 3 3" xfId="20839"/>
    <cellStyle name="Normal 9 11 2 4" xfId="11621"/>
    <cellStyle name="Normal 9 11 2 5" xfId="17773"/>
    <cellStyle name="Normal 9 11 3" xfId="6159"/>
    <cellStyle name="Normal 9 11 3 2" xfId="9259"/>
    <cellStyle name="Normal 9 11 3 2 2" xfId="15452"/>
    <cellStyle name="Normal 9 11 3 2 3" xfId="21604"/>
    <cellStyle name="Normal 9 11 3 3" xfId="12386"/>
    <cellStyle name="Normal 9 11 3 4" xfId="18538"/>
    <cellStyle name="Normal 9 11 4" xfId="7724"/>
    <cellStyle name="Normal 9 11 4 2" xfId="13918"/>
    <cellStyle name="Normal 9 11 4 3" xfId="20070"/>
    <cellStyle name="Normal 9 11 5" xfId="10852"/>
    <cellStyle name="Normal 9 11 6" xfId="17004"/>
    <cellStyle name="Normal 9 12" xfId="4143"/>
    <cellStyle name="Normal 9 12 2" xfId="5318"/>
    <cellStyle name="Normal 9 12 2 2" xfId="6943"/>
    <cellStyle name="Normal 9 12 2 2 2" xfId="10029"/>
    <cellStyle name="Normal 9 12 2 2 2 2" xfId="16222"/>
    <cellStyle name="Normal 9 12 2 2 2 3" xfId="22374"/>
    <cellStyle name="Normal 9 12 2 2 3" xfId="13156"/>
    <cellStyle name="Normal 9 12 2 2 4" xfId="19308"/>
    <cellStyle name="Normal 9 12 2 3" xfId="8494"/>
    <cellStyle name="Normal 9 12 2 3 2" xfId="14688"/>
    <cellStyle name="Normal 9 12 2 3 3" xfId="20840"/>
    <cellStyle name="Normal 9 12 2 4" xfId="11622"/>
    <cellStyle name="Normal 9 12 2 5" xfId="17774"/>
    <cellStyle name="Normal 9 12 3" xfId="6160"/>
    <cellStyle name="Normal 9 12 3 2" xfId="9260"/>
    <cellStyle name="Normal 9 12 3 2 2" xfId="15453"/>
    <cellStyle name="Normal 9 12 3 2 3" xfId="21605"/>
    <cellStyle name="Normal 9 12 3 3" xfId="12387"/>
    <cellStyle name="Normal 9 12 3 4" xfId="18539"/>
    <cellStyle name="Normal 9 12 4" xfId="7725"/>
    <cellStyle name="Normal 9 12 4 2" xfId="13919"/>
    <cellStyle name="Normal 9 12 4 3" xfId="20071"/>
    <cellStyle name="Normal 9 12 5" xfId="10853"/>
    <cellStyle name="Normal 9 12 6" xfId="17005"/>
    <cellStyle name="Normal 9 13" xfId="4144"/>
    <cellStyle name="Normal 9 13 2" xfId="5319"/>
    <cellStyle name="Normal 9 13 2 2" xfId="6944"/>
    <cellStyle name="Normal 9 13 2 2 2" xfId="10030"/>
    <cellStyle name="Normal 9 13 2 2 2 2" xfId="16223"/>
    <cellStyle name="Normal 9 13 2 2 2 3" xfId="22375"/>
    <cellStyle name="Normal 9 13 2 2 3" xfId="13157"/>
    <cellStyle name="Normal 9 13 2 2 4" xfId="19309"/>
    <cellStyle name="Normal 9 13 2 3" xfId="8495"/>
    <cellStyle name="Normal 9 13 2 3 2" xfId="14689"/>
    <cellStyle name="Normal 9 13 2 3 3" xfId="20841"/>
    <cellStyle name="Normal 9 13 2 4" xfId="11623"/>
    <cellStyle name="Normal 9 13 2 5" xfId="17775"/>
    <cellStyle name="Normal 9 13 3" xfId="6161"/>
    <cellStyle name="Normal 9 13 3 2" xfId="9261"/>
    <cellStyle name="Normal 9 13 3 2 2" xfId="15454"/>
    <cellStyle name="Normal 9 13 3 2 3" xfId="21606"/>
    <cellStyle name="Normal 9 13 3 3" xfId="12388"/>
    <cellStyle name="Normal 9 13 3 4" xfId="18540"/>
    <cellStyle name="Normal 9 13 4" xfId="7726"/>
    <cellStyle name="Normal 9 13 4 2" xfId="13920"/>
    <cellStyle name="Normal 9 13 4 3" xfId="20072"/>
    <cellStyle name="Normal 9 13 5" xfId="10854"/>
    <cellStyle name="Normal 9 13 6" xfId="17006"/>
    <cellStyle name="Normal 9 14" xfId="4145"/>
    <cellStyle name="Normal 9 14 2" xfId="5320"/>
    <cellStyle name="Normal 9 14 2 2" xfId="6945"/>
    <cellStyle name="Normal 9 14 2 2 2" xfId="10031"/>
    <cellStyle name="Normal 9 14 2 2 2 2" xfId="16224"/>
    <cellStyle name="Normal 9 14 2 2 2 3" xfId="22376"/>
    <cellStyle name="Normal 9 14 2 2 3" xfId="13158"/>
    <cellStyle name="Normal 9 14 2 2 4" xfId="19310"/>
    <cellStyle name="Normal 9 14 2 3" xfId="8496"/>
    <cellStyle name="Normal 9 14 2 3 2" xfId="14690"/>
    <cellStyle name="Normal 9 14 2 3 3" xfId="20842"/>
    <cellStyle name="Normal 9 14 2 4" xfId="11624"/>
    <cellStyle name="Normal 9 14 2 5" xfId="17776"/>
    <cellStyle name="Normal 9 14 3" xfId="6162"/>
    <cellStyle name="Normal 9 14 3 2" xfId="9262"/>
    <cellStyle name="Normal 9 14 3 2 2" xfId="15455"/>
    <cellStyle name="Normal 9 14 3 2 3" xfId="21607"/>
    <cellStyle name="Normal 9 14 3 3" xfId="12389"/>
    <cellStyle name="Normal 9 14 3 4" xfId="18541"/>
    <cellStyle name="Normal 9 14 4" xfId="7727"/>
    <cellStyle name="Normal 9 14 4 2" xfId="13921"/>
    <cellStyle name="Normal 9 14 4 3" xfId="20073"/>
    <cellStyle name="Normal 9 14 5" xfId="10855"/>
    <cellStyle name="Normal 9 14 6" xfId="17007"/>
    <cellStyle name="Normal 9 15" xfId="4146"/>
    <cellStyle name="Normal 9 15 2" xfId="5321"/>
    <cellStyle name="Normal 9 15 2 2" xfId="6946"/>
    <cellStyle name="Normal 9 15 2 2 2" xfId="10032"/>
    <cellStyle name="Normal 9 15 2 2 2 2" xfId="16225"/>
    <cellStyle name="Normal 9 15 2 2 2 3" xfId="22377"/>
    <cellStyle name="Normal 9 15 2 2 3" xfId="13159"/>
    <cellStyle name="Normal 9 15 2 2 4" xfId="19311"/>
    <cellStyle name="Normal 9 15 2 3" xfId="8497"/>
    <cellStyle name="Normal 9 15 2 3 2" xfId="14691"/>
    <cellStyle name="Normal 9 15 2 3 3" xfId="20843"/>
    <cellStyle name="Normal 9 15 2 4" xfId="11625"/>
    <cellStyle name="Normal 9 15 2 5" xfId="17777"/>
    <cellStyle name="Normal 9 15 3" xfId="6163"/>
    <cellStyle name="Normal 9 15 3 2" xfId="9263"/>
    <cellStyle name="Normal 9 15 3 2 2" xfId="15456"/>
    <cellStyle name="Normal 9 15 3 2 3" xfId="21608"/>
    <cellStyle name="Normal 9 15 3 3" xfId="12390"/>
    <cellStyle name="Normal 9 15 3 4" xfId="18542"/>
    <cellStyle name="Normal 9 15 4" xfId="7728"/>
    <cellStyle name="Normal 9 15 4 2" xfId="13922"/>
    <cellStyle name="Normal 9 15 4 3" xfId="20074"/>
    <cellStyle name="Normal 9 15 5" xfId="10856"/>
    <cellStyle name="Normal 9 15 6" xfId="17008"/>
    <cellStyle name="Normal 9 16" xfId="4147"/>
    <cellStyle name="Normal 9 16 2" xfId="5322"/>
    <cellStyle name="Normal 9 16 2 2" xfId="6947"/>
    <cellStyle name="Normal 9 16 2 2 2" xfId="10033"/>
    <cellStyle name="Normal 9 16 2 2 2 2" xfId="16226"/>
    <cellStyle name="Normal 9 16 2 2 2 3" xfId="22378"/>
    <cellStyle name="Normal 9 16 2 2 3" xfId="13160"/>
    <cellStyle name="Normal 9 16 2 2 4" xfId="19312"/>
    <cellStyle name="Normal 9 16 2 3" xfId="8498"/>
    <cellStyle name="Normal 9 16 2 3 2" xfId="14692"/>
    <cellStyle name="Normal 9 16 2 3 3" xfId="20844"/>
    <cellStyle name="Normal 9 16 2 4" xfId="11626"/>
    <cellStyle name="Normal 9 16 2 5" xfId="17778"/>
    <cellStyle name="Normal 9 16 3" xfId="6164"/>
    <cellStyle name="Normal 9 16 3 2" xfId="9264"/>
    <cellStyle name="Normal 9 16 3 2 2" xfId="15457"/>
    <cellStyle name="Normal 9 16 3 2 3" xfId="21609"/>
    <cellStyle name="Normal 9 16 3 3" xfId="12391"/>
    <cellStyle name="Normal 9 16 3 4" xfId="18543"/>
    <cellStyle name="Normal 9 16 4" xfId="7729"/>
    <cellStyle name="Normal 9 16 4 2" xfId="13923"/>
    <cellStyle name="Normal 9 16 4 3" xfId="20075"/>
    <cellStyle name="Normal 9 16 5" xfId="10857"/>
    <cellStyle name="Normal 9 16 6" xfId="17009"/>
    <cellStyle name="Normal 9 17" xfId="4148"/>
    <cellStyle name="Normal 9 17 2" xfId="5323"/>
    <cellStyle name="Normal 9 17 2 2" xfId="6948"/>
    <cellStyle name="Normal 9 17 2 2 2" xfId="10034"/>
    <cellStyle name="Normal 9 17 2 2 2 2" xfId="16227"/>
    <cellStyle name="Normal 9 17 2 2 2 3" xfId="22379"/>
    <cellStyle name="Normal 9 17 2 2 3" xfId="13161"/>
    <cellStyle name="Normal 9 17 2 2 4" xfId="19313"/>
    <cellStyle name="Normal 9 17 2 3" xfId="8499"/>
    <cellStyle name="Normal 9 17 2 3 2" xfId="14693"/>
    <cellStyle name="Normal 9 17 2 3 3" xfId="20845"/>
    <cellStyle name="Normal 9 17 2 4" xfId="11627"/>
    <cellStyle name="Normal 9 17 2 5" xfId="17779"/>
    <cellStyle name="Normal 9 17 3" xfId="6165"/>
    <cellStyle name="Normal 9 17 3 2" xfId="9265"/>
    <cellStyle name="Normal 9 17 3 2 2" xfId="15458"/>
    <cellStyle name="Normal 9 17 3 2 3" xfId="21610"/>
    <cellStyle name="Normal 9 17 3 3" xfId="12392"/>
    <cellStyle name="Normal 9 17 3 4" xfId="18544"/>
    <cellStyle name="Normal 9 17 4" xfId="7730"/>
    <cellStyle name="Normal 9 17 4 2" xfId="13924"/>
    <cellStyle name="Normal 9 17 4 3" xfId="20076"/>
    <cellStyle name="Normal 9 17 5" xfId="10858"/>
    <cellStyle name="Normal 9 17 6" xfId="17010"/>
    <cellStyle name="Normal 9 18" xfId="4149"/>
    <cellStyle name="Normal 9 18 2" xfId="5324"/>
    <cellStyle name="Normal 9 18 2 2" xfId="6949"/>
    <cellStyle name="Normal 9 18 2 2 2" xfId="10035"/>
    <cellStyle name="Normal 9 18 2 2 2 2" xfId="16228"/>
    <cellStyle name="Normal 9 18 2 2 2 3" xfId="22380"/>
    <cellStyle name="Normal 9 18 2 2 3" xfId="13162"/>
    <cellStyle name="Normal 9 18 2 2 4" xfId="19314"/>
    <cellStyle name="Normal 9 18 2 3" xfId="8500"/>
    <cellStyle name="Normal 9 18 2 3 2" xfId="14694"/>
    <cellStyle name="Normal 9 18 2 3 3" xfId="20846"/>
    <cellStyle name="Normal 9 18 2 4" xfId="11628"/>
    <cellStyle name="Normal 9 18 2 5" xfId="17780"/>
    <cellStyle name="Normal 9 18 3" xfId="6166"/>
    <cellStyle name="Normal 9 18 3 2" xfId="9266"/>
    <cellStyle name="Normal 9 18 3 2 2" xfId="15459"/>
    <cellStyle name="Normal 9 18 3 2 3" xfId="21611"/>
    <cellStyle name="Normal 9 18 3 3" xfId="12393"/>
    <cellStyle name="Normal 9 18 3 4" xfId="18545"/>
    <cellStyle name="Normal 9 18 4" xfId="7731"/>
    <cellStyle name="Normal 9 18 4 2" xfId="13925"/>
    <cellStyle name="Normal 9 18 4 3" xfId="20077"/>
    <cellStyle name="Normal 9 18 5" xfId="10859"/>
    <cellStyle name="Normal 9 18 6" xfId="17011"/>
    <cellStyle name="Normal 9 19" xfId="4150"/>
    <cellStyle name="Normal 9 19 2" xfId="5325"/>
    <cellStyle name="Normal 9 19 2 2" xfId="6950"/>
    <cellStyle name="Normal 9 19 2 2 2" xfId="10036"/>
    <cellStyle name="Normal 9 19 2 2 2 2" xfId="16229"/>
    <cellStyle name="Normal 9 19 2 2 2 3" xfId="22381"/>
    <cellStyle name="Normal 9 19 2 2 3" xfId="13163"/>
    <cellStyle name="Normal 9 19 2 2 4" xfId="19315"/>
    <cellStyle name="Normal 9 19 2 3" xfId="8501"/>
    <cellStyle name="Normal 9 19 2 3 2" xfId="14695"/>
    <cellStyle name="Normal 9 19 2 3 3" xfId="20847"/>
    <cellStyle name="Normal 9 19 2 4" xfId="11629"/>
    <cellStyle name="Normal 9 19 2 5" xfId="17781"/>
    <cellStyle name="Normal 9 19 3" xfId="6167"/>
    <cellStyle name="Normal 9 19 3 2" xfId="9267"/>
    <cellStyle name="Normal 9 19 3 2 2" xfId="15460"/>
    <cellStyle name="Normal 9 19 3 2 3" xfId="21612"/>
    <cellStyle name="Normal 9 19 3 3" xfId="12394"/>
    <cellStyle name="Normal 9 19 3 4" xfId="18546"/>
    <cellStyle name="Normal 9 19 4" xfId="7732"/>
    <cellStyle name="Normal 9 19 4 2" xfId="13926"/>
    <cellStyle name="Normal 9 19 4 3" xfId="20078"/>
    <cellStyle name="Normal 9 19 5" xfId="10860"/>
    <cellStyle name="Normal 9 19 6" xfId="17012"/>
    <cellStyle name="Normal 9 2" xfId="98"/>
    <cellStyle name="Normal 9 2 10" xfId="10861"/>
    <cellStyle name="Normal 9 2 11" xfId="17013"/>
    <cellStyle name="Normal 9 2 12" xfId="4151"/>
    <cellStyle name="Normal 9 2 13" xfId="23299"/>
    <cellStyle name="Normal 9 2 2" xfId="144"/>
    <cellStyle name="Normal 9 2 2 2" xfId="5327"/>
    <cellStyle name="Normal 9 2 2 2 2" xfId="6952"/>
    <cellStyle name="Normal 9 2 2 2 2 2" xfId="10038"/>
    <cellStyle name="Normal 9 2 2 2 2 2 2" xfId="16231"/>
    <cellStyle name="Normal 9 2 2 2 2 2 3" xfId="22383"/>
    <cellStyle name="Normal 9 2 2 2 2 3" xfId="13165"/>
    <cellStyle name="Normal 9 2 2 2 2 4" xfId="19317"/>
    <cellStyle name="Normal 9 2 2 2 3" xfId="8503"/>
    <cellStyle name="Normal 9 2 2 2 3 2" xfId="14697"/>
    <cellStyle name="Normal 9 2 2 2 3 3" xfId="20849"/>
    <cellStyle name="Normal 9 2 2 2 4" xfId="11631"/>
    <cellStyle name="Normal 9 2 2 2 5" xfId="17783"/>
    <cellStyle name="Normal 9 2 2 3" xfId="6169"/>
    <cellStyle name="Normal 9 2 2 3 2" xfId="9269"/>
    <cellStyle name="Normal 9 2 2 3 2 2" xfId="15462"/>
    <cellStyle name="Normal 9 2 2 3 2 3" xfId="21614"/>
    <cellStyle name="Normal 9 2 2 3 3" xfId="12396"/>
    <cellStyle name="Normal 9 2 2 3 4" xfId="18548"/>
    <cellStyle name="Normal 9 2 2 4" xfId="7734"/>
    <cellStyle name="Normal 9 2 2 4 2" xfId="13928"/>
    <cellStyle name="Normal 9 2 2 4 3" xfId="20080"/>
    <cellStyle name="Normal 9 2 2 5" xfId="10862"/>
    <cellStyle name="Normal 9 2 2 6" xfId="17014"/>
    <cellStyle name="Normal 9 2 2 7" xfId="4152"/>
    <cellStyle name="Normal 9 2 3" xfId="4153"/>
    <cellStyle name="Normal 9 2 3 2" xfId="5328"/>
    <cellStyle name="Normal 9 2 3 2 2" xfId="6953"/>
    <cellStyle name="Normal 9 2 3 2 2 2" xfId="10039"/>
    <cellStyle name="Normal 9 2 3 2 2 2 2" xfId="16232"/>
    <cellStyle name="Normal 9 2 3 2 2 2 3" xfId="22384"/>
    <cellStyle name="Normal 9 2 3 2 2 3" xfId="13166"/>
    <cellStyle name="Normal 9 2 3 2 2 4" xfId="19318"/>
    <cellStyle name="Normal 9 2 3 2 3" xfId="8504"/>
    <cellStyle name="Normal 9 2 3 2 3 2" xfId="14698"/>
    <cellStyle name="Normal 9 2 3 2 3 3" xfId="20850"/>
    <cellStyle name="Normal 9 2 3 2 4" xfId="11632"/>
    <cellStyle name="Normal 9 2 3 2 5" xfId="17784"/>
    <cellStyle name="Normal 9 2 3 3" xfId="6170"/>
    <cellStyle name="Normal 9 2 3 3 2" xfId="9270"/>
    <cellStyle name="Normal 9 2 3 3 2 2" xfId="15463"/>
    <cellStyle name="Normal 9 2 3 3 2 3" xfId="21615"/>
    <cellStyle name="Normal 9 2 3 3 3" xfId="12397"/>
    <cellStyle name="Normal 9 2 3 3 4" xfId="18549"/>
    <cellStyle name="Normal 9 2 3 4" xfId="7735"/>
    <cellStyle name="Normal 9 2 3 4 2" xfId="13929"/>
    <cellStyle name="Normal 9 2 3 4 3" xfId="20081"/>
    <cellStyle name="Normal 9 2 3 5" xfId="10863"/>
    <cellStyle name="Normal 9 2 3 6" xfId="17015"/>
    <cellStyle name="Normal 9 2 4" xfId="4154"/>
    <cellStyle name="Normal 9 2 4 2" xfId="5329"/>
    <cellStyle name="Normal 9 2 4 2 2" xfId="6954"/>
    <cellStyle name="Normal 9 2 4 2 2 2" xfId="10040"/>
    <cellStyle name="Normal 9 2 4 2 2 2 2" xfId="16233"/>
    <cellStyle name="Normal 9 2 4 2 2 2 3" xfId="22385"/>
    <cellStyle name="Normal 9 2 4 2 2 3" xfId="13167"/>
    <cellStyle name="Normal 9 2 4 2 2 4" xfId="19319"/>
    <cellStyle name="Normal 9 2 4 2 3" xfId="8505"/>
    <cellStyle name="Normal 9 2 4 2 3 2" xfId="14699"/>
    <cellStyle name="Normal 9 2 4 2 3 3" xfId="20851"/>
    <cellStyle name="Normal 9 2 4 2 4" xfId="11633"/>
    <cellStyle name="Normal 9 2 4 2 5" xfId="17785"/>
    <cellStyle name="Normal 9 2 4 3" xfId="6171"/>
    <cellStyle name="Normal 9 2 4 3 2" xfId="9271"/>
    <cellStyle name="Normal 9 2 4 3 2 2" xfId="15464"/>
    <cellStyle name="Normal 9 2 4 3 2 3" xfId="21616"/>
    <cellStyle name="Normal 9 2 4 3 3" xfId="12398"/>
    <cellStyle name="Normal 9 2 4 3 4" xfId="18550"/>
    <cellStyle name="Normal 9 2 4 4" xfId="7736"/>
    <cellStyle name="Normal 9 2 4 4 2" xfId="13930"/>
    <cellStyle name="Normal 9 2 4 4 3" xfId="20082"/>
    <cellStyle name="Normal 9 2 4 5" xfId="10864"/>
    <cellStyle name="Normal 9 2 4 6" xfId="17016"/>
    <cellStyle name="Normal 9 2 5" xfId="4155"/>
    <cellStyle name="Normal 9 2 5 2" xfId="5330"/>
    <cellStyle name="Normal 9 2 5 2 2" xfId="6955"/>
    <cellStyle name="Normal 9 2 5 2 2 2" xfId="10041"/>
    <cellStyle name="Normal 9 2 5 2 2 2 2" xfId="16234"/>
    <cellStyle name="Normal 9 2 5 2 2 2 3" xfId="22386"/>
    <cellStyle name="Normal 9 2 5 2 2 3" xfId="13168"/>
    <cellStyle name="Normal 9 2 5 2 2 4" xfId="19320"/>
    <cellStyle name="Normal 9 2 5 2 3" xfId="8506"/>
    <cellStyle name="Normal 9 2 5 2 3 2" xfId="14700"/>
    <cellStyle name="Normal 9 2 5 2 3 3" xfId="20852"/>
    <cellStyle name="Normal 9 2 5 2 4" xfId="11634"/>
    <cellStyle name="Normal 9 2 5 2 5" xfId="17786"/>
    <cellStyle name="Normal 9 2 5 3" xfId="6172"/>
    <cellStyle name="Normal 9 2 5 3 2" xfId="9272"/>
    <cellStyle name="Normal 9 2 5 3 2 2" xfId="15465"/>
    <cellStyle name="Normal 9 2 5 3 2 3" xfId="21617"/>
    <cellStyle name="Normal 9 2 5 3 3" xfId="12399"/>
    <cellStyle name="Normal 9 2 5 3 4" xfId="18551"/>
    <cellStyle name="Normal 9 2 5 4" xfId="7737"/>
    <cellStyle name="Normal 9 2 5 4 2" xfId="13931"/>
    <cellStyle name="Normal 9 2 5 4 3" xfId="20083"/>
    <cellStyle name="Normal 9 2 5 5" xfId="10865"/>
    <cellStyle name="Normal 9 2 5 6" xfId="17017"/>
    <cellStyle name="Normal 9 2 6" xfId="5326"/>
    <cellStyle name="Normal 9 2 6 2" xfId="6951"/>
    <cellStyle name="Normal 9 2 6 2 2" xfId="10037"/>
    <cellStyle name="Normal 9 2 6 2 2 2" xfId="16230"/>
    <cellStyle name="Normal 9 2 6 2 2 3" xfId="22382"/>
    <cellStyle name="Normal 9 2 6 2 3" xfId="13164"/>
    <cellStyle name="Normal 9 2 6 2 4" xfId="19316"/>
    <cellStyle name="Normal 9 2 6 3" xfId="8502"/>
    <cellStyle name="Normal 9 2 6 3 2" xfId="14696"/>
    <cellStyle name="Normal 9 2 6 3 3" xfId="20848"/>
    <cellStyle name="Normal 9 2 6 4" xfId="11630"/>
    <cellStyle name="Normal 9 2 6 5" xfId="17782"/>
    <cellStyle name="Normal 9 2 7" xfId="6168"/>
    <cellStyle name="Normal 9 2 7 2" xfId="9268"/>
    <cellStyle name="Normal 9 2 7 2 2" xfId="15461"/>
    <cellStyle name="Normal 9 2 7 2 3" xfId="21613"/>
    <cellStyle name="Normal 9 2 7 3" xfId="12395"/>
    <cellStyle name="Normal 9 2 7 4" xfId="18547"/>
    <cellStyle name="Normal 9 2 8" xfId="7733"/>
    <cellStyle name="Normal 9 2 8 2" xfId="13927"/>
    <cellStyle name="Normal 9 2 8 3" xfId="20079"/>
    <cellStyle name="Normal 9 2 9" xfId="10254"/>
    <cellStyle name="Normal 9 20" xfId="4156"/>
    <cellStyle name="Normal 9 20 2" xfId="5331"/>
    <cellStyle name="Normal 9 20 2 2" xfId="6956"/>
    <cellStyle name="Normal 9 20 2 2 2" xfId="10042"/>
    <cellStyle name="Normal 9 20 2 2 2 2" xfId="16235"/>
    <cellStyle name="Normal 9 20 2 2 2 3" xfId="22387"/>
    <cellStyle name="Normal 9 20 2 2 3" xfId="13169"/>
    <cellStyle name="Normal 9 20 2 2 4" xfId="19321"/>
    <cellStyle name="Normal 9 20 2 3" xfId="8507"/>
    <cellStyle name="Normal 9 20 2 3 2" xfId="14701"/>
    <cellStyle name="Normal 9 20 2 3 3" xfId="20853"/>
    <cellStyle name="Normal 9 20 2 4" xfId="11635"/>
    <cellStyle name="Normal 9 20 2 5" xfId="17787"/>
    <cellStyle name="Normal 9 20 3" xfId="6173"/>
    <cellStyle name="Normal 9 20 3 2" xfId="9273"/>
    <cellStyle name="Normal 9 20 3 2 2" xfId="15466"/>
    <cellStyle name="Normal 9 20 3 2 3" xfId="21618"/>
    <cellStyle name="Normal 9 20 3 3" xfId="12400"/>
    <cellStyle name="Normal 9 20 3 4" xfId="18552"/>
    <cellStyle name="Normal 9 20 4" xfId="7738"/>
    <cellStyle name="Normal 9 20 4 2" xfId="13932"/>
    <cellStyle name="Normal 9 20 4 3" xfId="20084"/>
    <cellStyle name="Normal 9 20 5" xfId="10866"/>
    <cellStyle name="Normal 9 20 6" xfId="17018"/>
    <cellStyle name="Normal 9 21" xfId="4157"/>
    <cellStyle name="Normal 9 22" xfId="4158"/>
    <cellStyle name="Normal 9 22 2" xfId="5332"/>
    <cellStyle name="Normal 9 22 2 2" xfId="6957"/>
    <cellStyle name="Normal 9 22 2 2 2" xfId="10043"/>
    <cellStyle name="Normal 9 22 2 2 2 2" xfId="16236"/>
    <cellStyle name="Normal 9 22 2 2 2 3" xfId="22388"/>
    <cellStyle name="Normal 9 22 2 2 3" xfId="13170"/>
    <cellStyle name="Normal 9 22 2 2 4" xfId="19322"/>
    <cellStyle name="Normal 9 22 2 3" xfId="8508"/>
    <cellStyle name="Normal 9 22 2 3 2" xfId="14702"/>
    <cellStyle name="Normal 9 22 2 3 3" xfId="20854"/>
    <cellStyle name="Normal 9 22 2 4" xfId="11636"/>
    <cellStyle name="Normal 9 22 2 5" xfId="17788"/>
    <cellStyle name="Normal 9 22 3" xfId="6174"/>
    <cellStyle name="Normal 9 22 3 2" xfId="9274"/>
    <cellStyle name="Normal 9 22 3 2 2" xfId="15467"/>
    <cellStyle name="Normal 9 22 3 2 3" xfId="21619"/>
    <cellStyle name="Normal 9 22 3 3" xfId="12401"/>
    <cellStyle name="Normal 9 22 3 4" xfId="18553"/>
    <cellStyle name="Normal 9 22 4" xfId="7739"/>
    <cellStyle name="Normal 9 22 4 2" xfId="13933"/>
    <cellStyle name="Normal 9 22 4 3" xfId="20085"/>
    <cellStyle name="Normal 9 22 5" xfId="10867"/>
    <cellStyle name="Normal 9 22 6" xfId="17019"/>
    <cellStyle name="Normal 9 23" xfId="4159"/>
    <cellStyle name="Normal 9 23 2" xfId="4160"/>
    <cellStyle name="Normal 9 24" xfId="4161"/>
    <cellStyle name="Normal 9 24 2" xfId="4162"/>
    <cellStyle name="Normal 9 25" xfId="4140"/>
    <cellStyle name="Normal 9 25 2" xfId="5315"/>
    <cellStyle name="Normal 9 25 2 2" xfId="6940"/>
    <cellStyle name="Normal 9 25 2 2 2" xfId="10026"/>
    <cellStyle name="Normal 9 25 2 2 2 2" xfId="16219"/>
    <cellStyle name="Normal 9 25 2 2 2 3" xfId="22371"/>
    <cellStyle name="Normal 9 25 2 2 3" xfId="13153"/>
    <cellStyle name="Normal 9 25 2 2 4" xfId="19305"/>
    <cellStyle name="Normal 9 25 2 3" xfId="8491"/>
    <cellStyle name="Normal 9 25 2 3 2" xfId="14685"/>
    <cellStyle name="Normal 9 25 2 3 3" xfId="20837"/>
    <cellStyle name="Normal 9 25 2 4" xfId="11619"/>
    <cellStyle name="Normal 9 25 2 5" xfId="17771"/>
    <cellStyle name="Normal 9 25 3" xfId="6157"/>
    <cellStyle name="Normal 9 25 3 2" xfId="9257"/>
    <cellStyle name="Normal 9 25 3 2 2" xfId="15450"/>
    <cellStyle name="Normal 9 25 3 2 3" xfId="21602"/>
    <cellStyle name="Normal 9 25 3 3" xfId="12384"/>
    <cellStyle name="Normal 9 25 3 4" xfId="18536"/>
    <cellStyle name="Normal 9 25 4" xfId="7722"/>
    <cellStyle name="Normal 9 25 4 2" xfId="13916"/>
    <cellStyle name="Normal 9 25 4 3" xfId="20068"/>
    <cellStyle name="Normal 9 25 5" xfId="10850"/>
    <cellStyle name="Normal 9 25 6" xfId="17002"/>
    <cellStyle name="Normal 9 26" xfId="1286"/>
    <cellStyle name="Normal 9 27" xfId="205"/>
    <cellStyle name="Normal 9 28" xfId="23298"/>
    <cellStyle name="Normal 9 3" xfId="128"/>
    <cellStyle name="Normal 9 3 10" xfId="17020"/>
    <cellStyle name="Normal 9 3 11" xfId="4163"/>
    <cellStyle name="Normal 9 3 12" xfId="23300"/>
    <cellStyle name="Normal 9 3 2" xfId="4164"/>
    <cellStyle name="Normal 9 3 2 2" xfId="5334"/>
    <cellStyle name="Normal 9 3 2 2 2" xfId="6959"/>
    <cellStyle name="Normal 9 3 2 2 2 2" xfId="10045"/>
    <cellStyle name="Normal 9 3 2 2 2 2 2" xfId="16238"/>
    <cellStyle name="Normal 9 3 2 2 2 2 3" xfId="22390"/>
    <cellStyle name="Normal 9 3 2 2 2 3" xfId="13172"/>
    <cellStyle name="Normal 9 3 2 2 2 4" xfId="19324"/>
    <cellStyle name="Normal 9 3 2 2 3" xfId="8510"/>
    <cellStyle name="Normal 9 3 2 2 3 2" xfId="14704"/>
    <cellStyle name="Normal 9 3 2 2 3 3" xfId="20856"/>
    <cellStyle name="Normal 9 3 2 2 4" xfId="11638"/>
    <cellStyle name="Normal 9 3 2 2 5" xfId="17790"/>
    <cellStyle name="Normal 9 3 2 3" xfId="6176"/>
    <cellStyle name="Normal 9 3 2 3 2" xfId="9276"/>
    <cellStyle name="Normal 9 3 2 3 2 2" xfId="15469"/>
    <cellStyle name="Normal 9 3 2 3 2 3" xfId="21621"/>
    <cellStyle name="Normal 9 3 2 3 3" xfId="12403"/>
    <cellStyle name="Normal 9 3 2 3 4" xfId="18555"/>
    <cellStyle name="Normal 9 3 2 4" xfId="7741"/>
    <cellStyle name="Normal 9 3 2 4 2" xfId="13935"/>
    <cellStyle name="Normal 9 3 2 4 3" xfId="20087"/>
    <cellStyle name="Normal 9 3 2 5" xfId="10869"/>
    <cellStyle name="Normal 9 3 2 6" xfId="17021"/>
    <cellStyle name="Normal 9 3 3" xfId="4165"/>
    <cellStyle name="Normal 9 3 3 2" xfId="5335"/>
    <cellStyle name="Normal 9 3 3 2 2" xfId="6960"/>
    <cellStyle name="Normal 9 3 3 2 2 2" xfId="10046"/>
    <cellStyle name="Normal 9 3 3 2 2 2 2" xfId="16239"/>
    <cellStyle name="Normal 9 3 3 2 2 2 3" xfId="22391"/>
    <cellStyle name="Normal 9 3 3 2 2 3" xfId="13173"/>
    <cellStyle name="Normal 9 3 3 2 2 4" xfId="19325"/>
    <cellStyle name="Normal 9 3 3 2 3" xfId="8511"/>
    <cellStyle name="Normal 9 3 3 2 3 2" xfId="14705"/>
    <cellStyle name="Normal 9 3 3 2 3 3" xfId="20857"/>
    <cellStyle name="Normal 9 3 3 2 4" xfId="11639"/>
    <cellStyle name="Normal 9 3 3 2 5" xfId="17791"/>
    <cellStyle name="Normal 9 3 3 3" xfId="6177"/>
    <cellStyle name="Normal 9 3 3 3 2" xfId="9277"/>
    <cellStyle name="Normal 9 3 3 3 2 2" xfId="15470"/>
    <cellStyle name="Normal 9 3 3 3 2 3" xfId="21622"/>
    <cellStyle name="Normal 9 3 3 3 3" xfId="12404"/>
    <cellStyle name="Normal 9 3 3 3 4" xfId="18556"/>
    <cellStyle name="Normal 9 3 3 4" xfId="7742"/>
    <cellStyle name="Normal 9 3 3 4 2" xfId="13936"/>
    <cellStyle name="Normal 9 3 3 4 3" xfId="20088"/>
    <cellStyle name="Normal 9 3 3 5" xfId="10870"/>
    <cellStyle name="Normal 9 3 3 6" xfId="17022"/>
    <cellStyle name="Normal 9 3 4" xfId="4166"/>
    <cellStyle name="Normal 9 3 4 2" xfId="5336"/>
    <cellStyle name="Normal 9 3 4 2 2" xfId="6961"/>
    <cellStyle name="Normal 9 3 4 2 2 2" xfId="10047"/>
    <cellStyle name="Normal 9 3 4 2 2 2 2" xfId="16240"/>
    <cellStyle name="Normal 9 3 4 2 2 2 3" xfId="22392"/>
    <cellStyle name="Normal 9 3 4 2 2 3" xfId="13174"/>
    <cellStyle name="Normal 9 3 4 2 2 4" xfId="19326"/>
    <cellStyle name="Normal 9 3 4 2 3" xfId="8512"/>
    <cellStyle name="Normal 9 3 4 2 3 2" xfId="14706"/>
    <cellStyle name="Normal 9 3 4 2 3 3" xfId="20858"/>
    <cellStyle name="Normal 9 3 4 2 4" xfId="11640"/>
    <cellStyle name="Normal 9 3 4 2 5" xfId="17792"/>
    <cellStyle name="Normal 9 3 4 3" xfId="6178"/>
    <cellStyle name="Normal 9 3 4 3 2" xfId="9278"/>
    <cellStyle name="Normal 9 3 4 3 2 2" xfId="15471"/>
    <cellStyle name="Normal 9 3 4 3 2 3" xfId="21623"/>
    <cellStyle name="Normal 9 3 4 3 3" xfId="12405"/>
    <cellStyle name="Normal 9 3 4 3 4" xfId="18557"/>
    <cellStyle name="Normal 9 3 4 4" xfId="7743"/>
    <cellStyle name="Normal 9 3 4 4 2" xfId="13937"/>
    <cellStyle name="Normal 9 3 4 4 3" xfId="20089"/>
    <cellStyle name="Normal 9 3 4 5" xfId="10871"/>
    <cellStyle name="Normal 9 3 4 6" xfId="17023"/>
    <cellStyle name="Normal 9 3 5" xfId="4167"/>
    <cellStyle name="Normal 9 3 5 2" xfId="5337"/>
    <cellStyle name="Normal 9 3 5 2 2" xfId="6962"/>
    <cellStyle name="Normal 9 3 5 2 2 2" xfId="10048"/>
    <cellStyle name="Normal 9 3 5 2 2 2 2" xfId="16241"/>
    <cellStyle name="Normal 9 3 5 2 2 2 3" xfId="22393"/>
    <cellStyle name="Normal 9 3 5 2 2 3" xfId="13175"/>
    <cellStyle name="Normal 9 3 5 2 2 4" xfId="19327"/>
    <cellStyle name="Normal 9 3 5 2 3" xfId="8513"/>
    <cellStyle name="Normal 9 3 5 2 3 2" xfId="14707"/>
    <cellStyle name="Normal 9 3 5 2 3 3" xfId="20859"/>
    <cellStyle name="Normal 9 3 5 2 4" xfId="11641"/>
    <cellStyle name="Normal 9 3 5 2 5" xfId="17793"/>
    <cellStyle name="Normal 9 3 5 3" xfId="6179"/>
    <cellStyle name="Normal 9 3 5 3 2" xfId="9279"/>
    <cellStyle name="Normal 9 3 5 3 2 2" xfId="15472"/>
    <cellStyle name="Normal 9 3 5 3 2 3" xfId="21624"/>
    <cellStyle name="Normal 9 3 5 3 3" xfId="12406"/>
    <cellStyle name="Normal 9 3 5 3 4" xfId="18558"/>
    <cellStyle name="Normal 9 3 5 4" xfId="7744"/>
    <cellStyle name="Normal 9 3 5 4 2" xfId="13938"/>
    <cellStyle name="Normal 9 3 5 4 3" xfId="20090"/>
    <cellStyle name="Normal 9 3 5 5" xfId="10872"/>
    <cellStyle name="Normal 9 3 5 6" xfId="17024"/>
    <cellStyle name="Normal 9 3 6" xfId="5333"/>
    <cellStyle name="Normal 9 3 6 2" xfId="6958"/>
    <cellStyle name="Normal 9 3 6 2 2" xfId="10044"/>
    <cellStyle name="Normal 9 3 6 2 2 2" xfId="16237"/>
    <cellStyle name="Normal 9 3 6 2 2 3" xfId="22389"/>
    <cellStyle name="Normal 9 3 6 2 3" xfId="13171"/>
    <cellStyle name="Normal 9 3 6 2 4" xfId="19323"/>
    <cellStyle name="Normal 9 3 6 3" xfId="8509"/>
    <cellStyle name="Normal 9 3 6 3 2" xfId="14703"/>
    <cellStyle name="Normal 9 3 6 3 3" xfId="20855"/>
    <cellStyle name="Normal 9 3 6 4" xfId="11637"/>
    <cellStyle name="Normal 9 3 6 5" xfId="17789"/>
    <cellStyle name="Normal 9 3 7" xfId="6175"/>
    <cellStyle name="Normal 9 3 7 2" xfId="9275"/>
    <cellStyle name="Normal 9 3 7 2 2" xfId="15468"/>
    <cellStyle name="Normal 9 3 7 2 3" xfId="21620"/>
    <cellStyle name="Normal 9 3 7 3" xfId="12402"/>
    <cellStyle name="Normal 9 3 7 4" xfId="18554"/>
    <cellStyle name="Normal 9 3 8" xfId="7740"/>
    <cellStyle name="Normal 9 3 8 2" xfId="13934"/>
    <cellStyle name="Normal 9 3 8 3" xfId="20086"/>
    <cellStyle name="Normal 9 3 9" xfId="10868"/>
    <cellStyle name="Normal 9 4" xfId="114"/>
    <cellStyle name="Normal 9 4 2" xfId="5338"/>
    <cellStyle name="Normal 9 4 2 2" xfId="6963"/>
    <cellStyle name="Normal 9 4 2 2 2" xfId="10049"/>
    <cellStyle name="Normal 9 4 2 2 2 2" xfId="16242"/>
    <cellStyle name="Normal 9 4 2 2 2 3" xfId="22394"/>
    <cellStyle name="Normal 9 4 2 2 3" xfId="13176"/>
    <cellStyle name="Normal 9 4 2 2 4" xfId="19328"/>
    <cellStyle name="Normal 9 4 2 3" xfId="8514"/>
    <cellStyle name="Normal 9 4 2 3 2" xfId="14708"/>
    <cellStyle name="Normal 9 4 2 3 3" xfId="20860"/>
    <cellStyle name="Normal 9 4 2 4" xfId="11642"/>
    <cellStyle name="Normal 9 4 2 5" xfId="17794"/>
    <cellStyle name="Normal 9 4 3" xfId="6180"/>
    <cellStyle name="Normal 9 4 3 2" xfId="9280"/>
    <cellStyle name="Normal 9 4 3 2 2" xfId="15473"/>
    <cellStyle name="Normal 9 4 3 2 3" xfId="21625"/>
    <cellStyle name="Normal 9 4 3 3" xfId="12407"/>
    <cellStyle name="Normal 9 4 3 4" xfId="18559"/>
    <cellStyle name="Normal 9 4 4" xfId="7745"/>
    <cellStyle name="Normal 9 4 4 2" xfId="13939"/>
    <cellStyle name="Normal 9 4 4 3" xfId="20091"/>
    <cellStyle name="Normal 9 4 5" xfId="10873"/>
    <cellStyle name="Normal 9 4 6" xfId="17025"/>
    <cellStyle name="Normal 9 4 7" xfId="4168"/>
    <cellStyle name="Normal 9 4 8" xfId="23301"/>
    <cellStyle name="Normal 9 5" xfId="4169"/>
    <cellStyle name="Normal 9 5 2" xfId="5339"/>
    <cellStyle name="Normal 9 5 2 2" xfId="6964"/>
    <cellStyle name="Normal 9 5 2 2 2" xfId="10050"/>
    <cellStyle name="Normal 9 5 2 2 2 2" xfId="16243"/>
    <cellStyle name="Normal 9 5 2 2 2 3" xfId="22395"/>
    <cellStyle name="Normal 9 5 2 2 3" xfId="13177"/>
    <cellStyle name="Normal 9 5 2 2 4" xfId="19329"/>
    <cellStyle name="Normal 9 5 2 3" xfId="8515"/>
    <cellStyle name="Normal 9 5 2 3 2" xfId="14709"/>
    <cellStyle name="Normal 9 5 2 3 3" xfId="20861"/>
    <cellStyle name="Normal 9 5 2 4" xfId="11643"/>
    <cellStyle name="Normal 9 5 2 5" xfId="17795"/>
    <cellStyle name="Normal 9 5 3" xfId="6181"/>
    <cellStyle name="Normal 9 5 3 2" xfId="9281"/>
    <cellStyle name="Normal 9 5 3 2 2" xfId="15474"/>
    <cellStyle name="Normal 9 5 3 2 3" xfId="21626"/>
    <cellStyle name="Normal 9 5 3 3" xfId="12408"/>
    <cellStyle name="Normal 9 5 3 4" xfId="18560"/>
    <cellStyle name="Normal 9 5 4" xfId="7746"/>
    <cellStyle name="Normal 9 5 4 2" xfId="13940"/>
    <cellStyle name="Normal 9 5 4 3" xfId="20092"/>
    <cellStyle name="Normal 9 5 5" xfId="10874"/>
    <cellStyle name="Normal 9 5 6" xfId="17026"/>
    <cellStyle name="Normal 9 5 7" xfId="23302"/>
    <cellStyle name="Normal 9 6" xfId="4170"/>
    <cellStyle name="Normal 9 6 2" xfId="5340"/>
    <cellStyle name="Normal 9 6 2 2" xfId="6965"/>
    <cellStyle name="Normal 9 6 2 2 2" xfId="10051"/>
    <cellStyle name="Normal 9 6 2 2 2 2" xfId="16244"/>
    <cellStyle name="Normal 9 6 2 2 2 3" xfId="22396"/>
    <cellStyle name="Normal 9 6 2 2 3" xfId="13178"/>
    <cellStyle name="Normal 9 6 2 2 4" xfId="19330"/>
    <cellStyle name="Normal 9 6 2 3" xfId="8516"/>
    <cellStyle name="Normal 9 6 2 3 2" xfId="14710"/>
    <cellStyle name="Normal 9 6 2 3 3" xfId="20862"/>
    <cellStyle name="Normal 9 6 2 4" xfId="11644"/>
    <cellStyle name="Normal 9 6 2 5" xfId="17796"/>
    <cellStyle name="Normal 9 6 3" xfId="6182"/>
    <cellStyle name="Normal 9 6 3 2" xfId="9282"/>
    <cellStyle name="Normal 9 6 3 2 2" xfId="15475"/>
    <cellStyle name="Normal 9 6 3 2 3" xfId="21627"/>
    <cellStyle name="Normal 9 6 3 3" xfId="12409"/>
    <cellStyle name="Normal 9 6 3 4" xfId="18561"/>
    <cellStyle name="Normal 9 6 4" xfId="7747"/>
    <cellStyle name="Normal 9 6 4 2" xfId="13941"/>
    <cellStyle name="Normal 9 6 4 3" xfId="20093"/>
    <cellStyle name="Normal 9 6 5" xfId="10875"/>
    <cellStyle name="Normal 9 6 6" xfId="17027"/>
    <cellStyle name="Normal 9 7" xfId="4171"/>
    <cellStyle name="Normal 9 7 2" xfId="5341"/>
    <cellStyle name="Normal 9 7 2 2" xfId="6966"/>
    <cellStyle name="Normal 9 7 2 2 2" xfId="10052"/>
    <cellStyle name="Normal 9 7 2 2 2 2" xfId="16245"/>
    <cellStyle name="Normal 9 7 2 2 2 3" xfId="22397"/>
    <cellStyle name="Normal 9 7 2 2 3" xfId="13179"/>
    <cellStyle name="Normal 9 7 2 2 4" xfId="19331"/>
    <cellStyle name="Normal 9 7 2 3" xfId="8517"/>
    <cellStyle name="Normal 9 7 2 3 2" xfId="14711"/>
    <cellStyle name="Normal 9 7 2 3 3" xfId="20863"/>
    <cellStyle name="Normal 9 7 2 4" xfId="11645"/>
    <cellStyle name="Normal 9 7 2 5" xfId="17797"/>
    <cellStyle name="Normal 9 7 3" xfId="6183"/>
    <cellStyle name="Normal 9 7 3 2" xfId="9283"/>
    <cellStyle name="Normal 9 7 3 2 2" xfId="15476"/>
    <cellStyle name="Normal 9 7 3 2 3" xfId="21628"/>
    <cellStyle name="Normal 9 7 3 3" xfId="12410"/>
    <cellStyle name="Normal 9 7 3 4" xfId="18562"/>
    <cellStyle name="Normal 9 7 4" xfId="7748"/>
    <cellStyle name="Normal 9 7 4 2" xfId="13942"/>
    <cellStyle name="Normal 9 7 4 3" xfId="20094"/>
    <cellStyle name="Normal 9 7 5" xfId="10876"/>
    <cellStyle name="Normal 9 7 6" xfId="17028"/>
    <cellStyle name="Normal 9 8" xfId="4172"/>
    <cellStyle name="Normal 9 8 2" xfId="5342"/>
    <cellStyle name="Normal 9 8 2 2" xfId="6967"/>
    <cellStyle name="Normal 9 8 2 2 2" xfId="10053"/>
    <cellStyle name="Normal 9 8 2 2 2 2" xfId="16246"/>
    <cellStyle name="Normal 9 8 2 2 2 3" xfId="22398"/>
    <cellStyle name="Normal 9 8 2 2 3" xfId="13180"/>
    <cellStyle name="Normal 9 8 2 2 4" xfId="19332"/>
    <cellStyle name="Normal 9 8 2 3" xfId="8518"/>
    <cellStyle name="Normal 9 8 2 3 2" xfId="14712"/>
    <cellStyle name="Normal 9 8 2 3 3" xfId="20864"/>
    <cellStyle name="Normal 9 8 2 4" xfId="11646"/>
    <cellStyle name="Normal 9 8 2 5" xfId="17798"/>
    <cellStyle name="Normal 9 8 3" xfId="6184"/>
    <cellStyle name="Normal 9 8 3 2" xfId="9284"/>
    <cellStyle name="Normal 9 8 3 2 2" xfId="15477"/>
    <cellStyle name="Normal 9 8 3 2 3" xfId="21629"/>
    <cellStyle name="Normal 9 8 3 3" xfId="12411"/>
    <cellStyle name="Normal 9 8 3 4" xfId="18563"/>
    <cellStyle name="Normal 9 8 4" xfId="7749"/>
    <cellStyle name="Normal 9 8 4 2" xfId="13943"/>
    <cellStyle name="Normal 9 8 4 3" xfId="20095"/>
    <cellStyle name="Normal 9 8 5" xfId="10877"/>
    <cellStyle name="Normal 9 8 6" xfId="17029"/>
    <cellStyle name="Normal 9 9" xfId="4173"/>
    <cellStyle name="Normal 9 9 2" xfId="5343"/>
    <cellStyle name="Normal 9 9 2 2" xfId="6968"/>
    <cellStyle name="Normal 9 9 2 2 2" xfId="10054"/>
    <cellStyle name="Normal 9 9 2 2 2 2" xfId="16247"/>
    <cellStyle name="Normal 9 9 2 2 2 3" xfId="22399"/>
    <cellStyle name="Normal 9 9 2 2 3" xfId="13181"/>
    <cellStyle name="Normal 9 9 2 2 4" xfId="19333"/>
    <cellStyle name="Normal 9 9 2 3" xfId="8519"/>
    <cellStyle name="Normal 9 9 2 3 2" xfId="14713"/>
    <cellStyle name="Normal 9 9 2 3 3" xfId="20865"/>
    <cellStyle name="Normal 9 9 2 4" xfId="11647"/>
    <cellStyle name="Normal 9 9 2 5" xfId="17799"/>
    <cellStyle name="Normal 9 9 3" xfId="6185"/>
    <cellStyle name="Normal 9 9 3 2" xfId="9285"/>
    <cellStyle name="Normal 9 9 3 2 2" xfId="15478"/>
    <cellStyle name="Normal 9 9 3 2 3" xfId="21630"/>
    <cellStyle name="Normal 9 9 3 3" xfId="12412"/>
    <cellStyle name="Normal 9 9 3 4" xfId="18564"/>
    <cellStyle name="Normal 9 9 4" xfId="7750"/>
    <cellStyle name="Normal 9 9 4 2" xfId="13944"/>
    <cellStyle name="Normal 9 9 4 3" xfId="20096"/>
    <cellStyle name="Normal 9 9 5" xfId="10878"/>
    <cellStyle name="Normal 9 9 6" xfId="17030"/>
    <cellStyle name="Normal_DFIT-WaEle_SUM" xfId="38"/>
    <cellStyle name="Normal_IDGas6_97" xfId="39"/>
    <cellStyle name="Normal_WAElec6_97" xfId="40"/>
    <cellStyle name="Normal_WAGas6_97 2" xfId="41"/>
    <cellStyle name="Note 2" xfId="297"/>
    <cellStyle name="Note 2 10" xfId="738"/>
    <cellStyle name="Note 2 10 2" xfId="1073"/>
    <cellStyle name="Note 2 10 3" xfId="22711"/>
    <cellStyle name="Note 2 10 4" xfId="23036"/>
    <cellStyle name="Note 2 11" xfId="764"/>
    <cellStyle name="Note 2 11 2" xfId="1089"/>
    <cellStyle name="Note 2 11 3" xfId="22728"/>
    <cellStyle name="Note 2 11 4" xfId="23052"/>
    <cellStyle name="Note 2 12" xfId="789"/>
    <cellStyle name="Note 2 12 2" xfId="1105"/>
    <cellStyle name="Note 2 12 3" xfId="22636"/>
    <cellStyle name="Note 2 12 4" xfId="23068"/>
    <cellStyle name="Note 2 13" xfId="813"/>
    <cellStyle name="Note 2 13 2" xfId="1121"/>
    <cellStyle name="Note 2 13 3" xfId="22694"/>
    <cellStyle name="Note 2 13 4" xfId="23084"/>
    <cellStyle name="Note 2 14" xfId="829"/>
    <cellStyle name="Note 2 14 2" xfId="1137"/>
    <cellStyle name="Note 2 14 3" xfId="22595"/>
    <cellStyle name="Note 2 14 4" xfId="23100"/>
    <cellStyle name="Note 2 15" xfId="845"/>
    <cellStyle name="Note 2 15 2" xfId="1153"/>
    <cellStyle name="Note 2 15 3" xfId="22800"/>
    <cellStyle name="Note 2 15 4" xfId="23116"/>
    <cellStyle name="Note 2 16" xfId="893"/>
    <cellStyle name="Note 2 17" xfId="4174"/>
    <cellStyle name="Note 2 18" xfId="22856"/>
    <cellStyle name="Note 2 2" xfId="511"/>
    <cellStyle name="Note 2 2 2" xfId="945"/>
    <cellStyle name="Note 2 2 2 2" xfId="10055"/>
    <cellStyle name="Note 2 2 2 2 2" xfId="16248"/>
    <cellStyle name="Note 2 2 2 2 3" xfId="22400"/>
    <cellStyle name="Note 2 2 2 3" xfId="13182"/>
    <cellStyle name="Note 2 2 2 4" xfId="19334"/>
    <cellStyle name="Note 2 2 2 5" xfId="6969"/>
    <cellStyle name="Note 2 2 3" xfId="8520"/>
    <cellStyle name="Note 2 2 3 2" xfId="14714"/>
    <cellStyle name="Note 2 2 3 3" xfId="20866"/>
    <cellStyle name="Note 2 2 4" xfId="11648"/>
    <cellStyle name="Note 2 2 5" xfId="17800"/>
    <cellStyle name="Note 2 2 6" xfId="5344"/>
    <cellStyle name="Note 2 2 7" xfId="22908"/>
    <cellStyle name="Note 2 3" xfId="541"/>
    <cellStyle name="Note 2 3 2" xfId="961"/>
    <cellStyle name="Note 2 3 2 2" xfId="15479"/>
    <cellStyle name="Note 2 3 2 3" xfId="21631"/>
    <cellStyle name="Note 2 3 2 4" xfId="9286"/>
    <cellStyle name="Note 2 3 3" xfId="12413"/>
    <cellStyle name="Note 2 3 4" xfId="18565"/>
    <cellStyle name="Note 2 3 5" xfId="6186"/>
    <cellStyle name="Note 2 3 6" xfId="22924"/>
    <cellStyle name="Note 2 4" xfId="568"/>
    <cellStyle name="Note 2 4 2" xfId="977"/>
    <cellStyle name="Note 2 4 2 2" xfId="13945"/>
    <cellStyle name="Note 2 4 3" xfId="20097"/>
    <cellStyle name="Note 2 4 4" xfId="7751"/>
    <cellStyle name="Note 2 4 5" xfId="22940"/>
    <cellStyle name="Note 2 5" xfId="594"/>
    <cellStyle name="Note 2 5 2" xfId="993"/>
    <cellStyle name="Note 2 5 3" xfId="10879"/>
    <cellStyle name="Note 2 5 4" xfId="22956"/>
    <cellStyle name="Note 2 6" xfId="620"/>
    <cellStyle name="Note 2 6 2" xfId="1009"/>
    <cellStyle name="Note 2 6 3" xfId="17031"/>
    <cellStyle name="Note 2 6 4" xfId="22972"/>
    <cellStyle name="Note 2 7" xfId="644"/>
    <cellStyle name="Note 2 7 2" xfId="1025"/>
    <cellStyle name="Note 2 7 3" xfId="22613"/>
    <cellStyle name="Note 2 7 4" xfId="22988"/>
    <cellStyle name="Note 2 8" xfId="670"/>
    <cellStyle name="Note 2 8 2" xfId="1041"/>
    <cellStyle name="Note 2 8 3" xfId="22735"/>
    <cellStyle name="Note 2 8 4" xfId="23004"/>
    <cellStyle name="Note 2 9" xfId="710"/>
    <cellStyle name="Note 2 9 2" xfId="1057"/>
    <cellStyle name="Note 2 9 3" xfId="22638"/>
    <cellStyle name="Note 2 9 4" xfId="23020"/>
    <cellStyle name="Note 3" xfId="4175"/>
    <cellStyle name="Note 3 2" xfId="5345"/>
    <cellStyle name="Note 3 2 2" xfId="6970"/>
    <cellStyle name="Note 3 2 2 2" xfId="10056"/>
    <cellStyle name="Note 3 2 2 2 2" xfId="16249"/>
    <cellStyle name="Note 3 2 2 2 3" xfId="22401"/>
    <cellStyle name="Note 3 2 2 3" xfId="13183"/>
    <cellStyle name="Note 3 2 2 4" xfId="19335"/>
    <cellStyle name="Note 3 2 3" xfId="8521"/>
    <cellStyle name="Note 3 2 3 2" xfId="14715"/>
    <cellStyle name="Note 3 2 3 3" xfId="20867"/>
    <cellStyle name="Note 3 2 4" xfId="11649"/>
    <cellStyle name="Note 3 2 5" xfId="17801"/>
    <cellStyle name="Note 3 3" xfId="6187"/>
    <cellStyle name="Note 3 3 2" xfId="9287"/>
    <cellStyle name="Note 3 3 2 2" xfId="15480"/>
    <cellStyle name="Note 3 3 2 3" xfId="21632"/>
    <cellStyle name="Note 3 3 3" xfId="12414"/>
    <cellStyle name="Note 3 3 4" xfId="18566"/>
    <cellStyle name="Note 3 4" xfId="7752"/>
    <cellStyle name="Note 3 4 2" xfId="13946"/>
    <cellStyle name="Note 3 4 3" xfId="20098"/>
    <cellStyle name="Note 3 5" xfId="10880"/>
    <cellStyle name="Note 3 6" xfId="17032"/>
    <cellStyle name="Note 4" xfId="4176"/>
    <cellStyle name="Note 4 2" xfId="5346"/>
    <cellStyle name="Note 4 2 2" xfId="6971"/>
    <cellStyle name="Note 4 2 2 2" xfId="10057"/>
    <cellStyle name="Note 4 2 2 2 2" xfId="16250"/>
    <cellStyle name="Note 4 2 2 2 3" xfId="22402"/>
    <cellStyle name="Note 4 2 2 3" xfId="13184"/>
    <cellStyle name="Note 4 2 2 4" xfId="19336"/>
    <cellStyle name="Note 4 2 3" xfId="8522"/>
    <cellStyle name="Note 4 2 3 2" xfId="14716"/>
    <cellStyle name="Note 4 2 3 3" xfId="20868"/>
    <cellStyle name="Note 4 2 4" xfId="11650"/>
    <cellStyle name="Note 4 2 5" xfId="17802"/>
    <cellStyle name="Note 4 3" xfId="6188"/>
    <cellStyle name="Note 4 3 2" xfId="9288"/>
    <cellStyle name="Note 4 3 2 2" xfId="15481"/>
    <cellStyle name="Note 4 3 2 3" xfId="21633"/>
    <cellStyle name="Note 4 3 3" xfId="12415"/>
    <cellStyle name="Note 4 3 4" xfId="18567"/>
    <cellStyle name="Note 4 4" xfId="7753"/>
    <cellStyle name="Note 4 4 2" xfId="13947"/>
    <cellStyle name="Note 4 4 3" xfId="20099"/>
    <cellStyle name="Note 4 5" xfId="10881"/>
    <cellStyle name="Note 4 6" xfId="17033"/>
    <cellStyle name="Note 5" xfId="4177"/>
    <cellStyle name="Note 6" xfId="4178"/>
    <cellStyle name="Note 6 2" xfId="5555"/>
    <cellStyle name="Note 6 2 2" xfId="6268"/>
    <cellStyle name="Note 6 3" xfId="5544"/>
    <cellStyle name="Note 6 3 2" xfId="6234"/>
    <cellStyle name="Note 6 4" xfId="5539"/>
    <cellStyle name="Note 6 4 2" xfId="6224"/>
    <cellStyle name="Note 6 5" xfId="5517"/>
    <cellStyle name="Note 6 5 2" xfId="6343"/>
    <cellStyle name="Note 6 6" xfId="5723"/>
    <cellStyle name="Note 7" xfId="4179"/>
    <cellStyle name="Note 7 2" xfId="5347"/>
    <cellStyle name="Note 7 2 2" xfId="6972"/>
    <cellStyle name="Note 7 2 2 2" xfId="10058"/>
    <cellStyle name="Note 7 2 2 2 2" xfId="16251"/>
    <cellStyle name="Note 7 2 2 2 3" xfId="22403"/>
    <cellStyle name="Note 7 2 2 3" xfId="13185"/>
    <cellStyle name="Note 7 2 2 4" xfId="19337"/>
    <cellStyle name="Note 7 2 3" xfId="8523"/>
    <cellStyle name="Note 7 2 3 2" xfId="14717"/>
    <cellStyle name="Note 7 2 3 3" xfId="20869"/>
    <cellStyle name="Note 7 2 4" xfId="11651"/>
    <cellStyle name="Note 7 2 5" xfId="17803"/>
    <cellStyle name="Note 7 3" xfId="6189"/>
    <cellStyle name="Note 7 3 2" xfId="9289"/>
    <cellStyle name="Note 7 3 2 2" xfId="15482"/>
    <cellStyle name="Note 7 3 2 3" xfId="21634"/>
    <cellStyle name="Note 7 3 3" xfId="12416"/>
    <cellStyle name="Note 7 3 4" xfId="18568"/>
    <cellStyle name="Note 7 4" xfId="7754"/>
    <cellStyle name="Note 7 4 2" xfId="13948"/>
    <cellStyle name="Note 7 4 3" xfId="20100"/>
    <cellStyle name="Note 7 5" xfId="10882"/>
    <cellStyle name="Note 7 6" xfId="17034"/>
    <cellStyle name="Output" xfId="161" builtinId="21" customBuiltin="1"/>
    <cellStyle name="Output 2" xfId="4180"/>
    <cellStyle name="Output 3" xfId="4181"/>
    <cellStyle name="Output 4" xfId="4182"/>
    <cellStyle name="Output 5" xfId="4183"/>
    <cellStyle name="Output 6" xfId="4184"/>
    <cellStyle name="Output 6 2" xfId="5556"/>
    <cellStyle name="Output 6 2 2" xfId="7131"/>
    <cellStyle name="Output 6 3" xfId="5545"/>
    <cellStyle name="Output 6 3 2" xfId="7134"/>
    <cellStyle name="Output 6 4" xfId="5508"/>
    <cellStyle name="Output 6 4 2" xfId="7138"/>
    <cellStyle name="Output 6 5" xfId="5559"/>
    <cellStyle name="Output 6 5 2" xfId="7130"/>
    <cellStyle name="Output 6 6" xfId="5724"/>
    <cellStyle name="Output Amounts" xfId="1244"/>
    <cellStyle name="OUTPUT AMOUNTS 2" xfId="23303"/>
    <cellStyle name="Output Column Headings" xfId="1188"/>
    <cellStyle name="Output highlight" xfId="4185"/>
    <cellStyle name="Output highlight 2" xfId="4186"/>
    <cellStyle name="Output Line Items" xfId="1189"/>
    <cellStyle name="OUTPUT LINE ITEMS 2" xfId="23304"/>
    <cellStyle name="Output Report Heading" xfId="1187"/>
    <cellStyle name="Output Report Title" xfId="1186"/>
    <cellStyle name="Percent" xfId="42" builtinId="5"/>
    <cellStyle name="Percent %" xfId="4187"/>
    <cellStyle name="Percent % Long Underline" xfId="4188"/>
    <cellStyle name="Percent 0.0%" xfId="4189"/>
    <cellStyle name="Percent 0.0% Long Underline" xfId="4190"/>
    <cellStyle name="Percent 0.00%" xfId="4191"/>
    <cellStyle name="Percent 0.00% Long Underline" xfId="4192"/>
    <cellStyle name="Percent 0.000%" xfId="4193"/>
    <cellStyle name="Percent 0.000% Long Underline" xfId="4194"/>
    <cellStyle name="Percent 0.0000%" xfId="4195"/>
    <cellStyle name="Percent 0.0000% Long Underline" xfId="4196"/>
    <cellStyle name="Percent 10" xfId="4197"/>
    <cellStyle name="Percent 10 2" xfId="4198"/>
    <cellStyle name="Percent 10 2 2" xfId="4199"/>
    <cellStyle name="Percent 10 2 3" xfId="4200"/>
    <cellStyle name="Percent 10 3" xfId="10267"/>
    <cellStyle name="Percent 100" xfId="4201"/>
    <cellStyle name="Percent 101" xfId="4202"/>
    <cellStyle name="Percent 102" xfId="4203"/>
    <cellStyle name="Percent 103" xfId="4204"/>
    <cellStyle name="Percent 104" xfId="4205"/>
    <cellStyle name="Percent 105" xfId="4206"/>
    <cellStyle name="Percent 106" xfId="4207"/>
    <cellStyle name="Percent 107" xfId="4208"/>
    <cellStyle name="Percent 108" xfId="4209"/>
    <cellStyle name="Percent 109" xfId="4210"/>
    <cellStyle name="Percent 11" xfId="4211"/>
    <cellStyle name="Percent 11 2" xfId="4212"/>
    <cellStyle name="Percent 11 2 2" xfId="4213"/>
    <cellStyle name="Percent 11 2 3" xfId="4214"/>
    <cellStyle name="Percent 110" xfId="4215"/>
    <cellStyle name="Percent 111" xfId="4216"/>
    <cellStyle name="Percent 112" xfId="4217"/>
    <cellStyle name="Percent 113" xfId="4218"/>
    <cellStyle name="Percent 114" xfId="4219"/>
    <cellStyle name="Percent 115" xfId="4220"/>
    <cellStyle name="Percent 116" xfId="4221"/>
    <cellStyle name="Percent 117" xfId="4222"/>
    <cellStyle name="Percent 118" xfId="4223"/>
    <cellStyle name="Percent 119" xfId="4224"/>
    <cellStyle name="Percent 12" xfId="4225"/>
    <cellStyle name="Percent 12 2" xfId="4226"/>
    <cellStyle name="Percent 12 2 2" xfId="4227"/>
    <cellStyle name="Percent 12 2 3" xfId="4228"/>
    <cellStyle name="Percent 120" xfId="4229"/>
    <cellStyle name="Percent 120 2" xfId="5348"/>
    <cellStyle name="Percent 120 2 2" xfId="6973"/>
    <cellStyle name="Percent 120 2 2 2" xfId="10059"/>
    <cellStyle name="Percent 120 2 2 2 2" xfId="16252"/>
    <cellStyle name="Percent 120 2 2 2 3" xfId="22404"/>
    <cellStyle name="Percent 120 2 2 3" xfId="13186"/>
    <cellStyle name="Percent 120 2 2 4" xfId="19338"/>
    <cellStyle name="Percent 120 2 3" xfId="8524"/>
    <cellStyle name="Percent 120 2 3 2" xfId="14718"/>
    <cellStyle name="Percent 120 2 3 3" xfId="20870"/>
    <cellStyle name="Percent 120 2 4" xfId="11652"/>
    <cellStyle name="Percent 120 2 5" xfId="17804"/>
    <cellStyle name="Percent 120 3" xfId="6190"/>
    <cellStyle name="Percent 120 3 2" xfId="9290"/>
    <cellStyle name="Percent 120 3 2 2" xfId="15483"/>
    <cellStyle name="Percent 120 3 2 3" xfId="21635"/>
    <cellStyle name="Percent 120 3 3" xfId="12417"/>
    <cellStyle name="Percent 120 3 4" xfId="18569"/>
    <cellStyle name="Percent 120 4" xfId="7755"/>
    <cellStyle name="Percent 120 4 2" xfId="13949"/>
    <cellStyle name="Percent 120 4 3" xfId="20101"/>
    <cellStyle name="Percent 120 5" xfId="10883"/>
    <cellStyle name="Percent 120 6" xfId="17035"/>
    <cellStyle name="Percent 121" xfId="4230"/>
    <cellStyle name="Percent 121 2" xfId="5349"/>
    <cellStyle name="Percent 121 2 2" xfId="6974"/>
    <cellStyle name="Percent 121 2 2 2" xfId="10060"/>
    <cellStyle name="Percent 121 2 2 2 2" xfId="16253"/>
    <cellStyle name="Percent 121 2 2 2 3" xfId="22405"/>
    <cellStyle name="Percent 121 2 2 3" xfId="13187"/>
    <cellStyle name="Percent 121 2 2 4" xfId="19339"/>
    <cellStyle name="Percent 121 2 3" xfId="8525"/>
    <cellStyle name="Percent 121 2 3 2" xfId="14719"/>
    <cellStyle name="Percent 121 2 3 3" xfId="20871"/>
    <cellStyle name="Percent 121 2 4" xfId="11653"/>
    <cellStyle name="Percent 121 2 5" xfId="17805"/>
    <cellStyle name="Percent 121 3" xfId="6191"/>
    <cellStyle name="Percent 121 3 2" xfId="9291"/>
    <cellStyle name="Percent 121 3 2 2" xfId="15484"/>
    <cellStyle name="Percent 121 3 2 3" xfId="21636"/>
    <cellStyle name="Percent 121 3 3" xfId="12418"/>
    <cellStyle name="Percent 121 3 4" xfId="18570"/>
    <cellStyle name="Percent 121 4" xfId="7756"/>
    <cellStyle name="Percent 121 4 2" xfId="13950"/>
    <cellStyle name="Percent 121 4 3" xfId="20102"/>
    <cellStyle name="Percent 121 5" xfId="10884"/>
    <cellStyle name="Percent 121 6" xfId="17036"/>
    <cellStyle name="Percent 122" xfId="4231"/>
    <cellStyle name="Percent 122 2" xfId="5350"/>
    <cellStyle name="Percent 122 2 2" xfId="6975"/>
    <cellStyle name="Percent 122 2 2 2" xfId="10061"/>
    <cellStyle name="Percent 122 2 2 2 2" xfId="16254"/>
    <cellStyle name="Percent 122 2 2 2 3" xfId="22406"/>
    <cellStyle name="Percent 122 2 2 3" xfId="13188"/>
    <cellStyle name="Percent 122 2 2 4" xfId="19340"/>
    <cellStyle name="Percent 122 2 3" xfId="8526"/>
    <cellStyle name="Percent 122 2 3 2" xfId="14720"/>
    <cellStyle name="Percent 122 2 3 3" xfId="20872"/>
    <cellStyle name="Percent 122 2 4" xfId="11654"/>
    <cellStyle name="Percent 122 2 5" xfId="17806"/>
    <cellStyle name="Percent 122 3" xfId="6192"/>
    <cellStyle name="Percent 122 3 2" xfId="9292"/>
    <cellStyle name="Percent 122 3 2 2" xfId="15485"/>
    <cellStyle name="Percent 122 3 2 3" xfId="21637"/>
    <cellStyle name="Percent 122 3 3" xfId="12419"/>
    <cellStyle name="Percent 122 3 4" xfId="18571"/>
    <cellStyle name="Percent 122 4" xfId="7757"/>
    <cellStyle name="Percent 122 4 2" xfId="13951"/>
    <cellStyle name="Percent 122 4 3" xfId="20103"/>
    <cellStyle name="Percent 122 5" xfId="10885"/>
    <cellStyle name="Percent 122 6" xfId="17037"/>
    <cellStyle name="Percent 123" xfId="4232"/>
    <cellStyle name="Percent 123 2" xfId="5351"/>
    <cellStyle name="Percent 123 2 2" xfId="6976"/>
    <cellStyle name="Percent 123 2 2 2" xfId="10062"/>
    <cellStyle name="Percent 123 2 2 2 2" xfId="16255"/>
    <cellStyle name="Percent 123 2 2 2 3" xfId="22407"/>
    <cellStyle name="Percent 123 2 2 3" xfId="13189"/>
    <cellStyle name="Percent 123 2 2 4" xfId="19341"/>
    <cellStyle name="Percent 123 2 3" xfId="8527"/>
    <cellStyle name="Percent 123 2 3 2" xfId="14721"/>
    <cellStyle name="Percent 123 2 3 3" xfId="20873"/>
    <cellStyle name="Percent 123 2 4" xfId="11655"/>
    <cellStyle name="Percent 123 2 5" xfId="17807"/>
    <cellStyle name="Percent 123 3" xfId="6193"/>
    <cellStyle name="Percent 123 3 2" xfId="9293"/>
    <cellStyle name="Percent 123 3 2 2" xfId="15486"/>
    <cellStyle name="Percent 123 3 2 3" xfId="21638"/>
    <cellStyle name="Percent 123 3 3" xfId="12420"/>
    <cellStyle name="Percent 123 3 4" xfId="18572"/>
    <cellStyle name="Percent 123 4" xfId="7758"/>
    <cellStyle name="Percent 123 4 2" xfId="13952"/>
    <cellStyle name="Percent 123 4 3" xfId="20104"/>
    <cellStyle name="Percent 123 5" xfId="10886"/>
    <cellStyle name="Percent 123 6" xfId="17038"/>
    <cellStyle name="Percent 124" xfId="4233"/>
    <cellStyle name="Percent 124 2" xfId="5352"/>
    <cellStyle name="Percent 124 2 2" xfId="6977"/>
    <cellStyle name="Percent 124 2 2 2" xfId="10063"/>
    <cellStyle name="Percent 124 2 2 2 2" xfId="16256"/>
    <cellStyle name="Percent 124 2 2 2 3" xfId="22408"/>
    <cellStyle name="Percent 124 2 2 3" xfId="13190"/>
    <cellStyle name="Percent 124 2 2 4" xfId="19342"/>
    <cellStyle name="Percent 124 2 3" xfId="8528"/>
    <cellStyle name="Percent 124 2 3 2" xfId="14722"/>
    <cellStyle name="Percent 124 2 3 3" xfId="20874"/>
    <cellStyle name="Percent 124 2 4" xfId="11656"/>
    <cellStyle name="Percent 124 2 5" xfId="17808"/>
    <cellStyle name="Percent 124 3" xfId="6194"/>
    <cellStyle name="Percent 124 3 2" xfId="9294"/>
    <cellStyle name="Percent 124 3 2 2" xfId="15487"/>
    <cellStyle name="Percent 124 3 2 3" xfId="21639"/>
    <cellStyle name="Percent 124 3 3" xfId="12421"/>
    <cellStyle name="Percent 124 3 4" xfId="18573"/>
    <cellStyle name="Percent 124 4" xfId="7759"/>
    <cellStyle name="Percent 124 4 2" xfId="13953"/>
    <cellStyle name="Percent 124 4 3" xfId="20105"/>
    <cellStyle name="Percent 124 5" xfId="10887"/>
    <cellStyle name="Percent 124 6" xfId="17039"/>
    <cellStyle name="Percent 125" xfId="4234"/>
    <cellStyle name="Percent 125 2" xfId="5353"/>
    <cellStyle name="Percent 125 2 2" xfId="6978"/>
    <cellStyle name="Percent 125 2 2 2" xfId="10064"/>
    <cellStyle name="Percent 125 2 2 2 2" xfId="16257"/>
    <cellStyle name="Percent 125 2 2 2 3" xfId="22409"/>
    <cellStyle name="Percent 125 2 2 3" xfId="13191"/>
    <cellStyle name="Percent 125 2 2 4" xfId="19343"/>
    <cellStyle name="Percent 125 2 3" xfId="8529"/>
    <cellStyle name="Percent 125 2 3 2" xfId="14723"/>
    <cellStyle name="Percent 125 2 3 3" xfId="20875"/>
    <cellStyle name="Percent 125 2 4" xfId="11657"/>
    <cellStyle name="Percent 125 2 5" xfId="17809"/>
    <cellStyle name="Percent 125 3" xfId="6195"/>
    <cellStyle name="Percent 125 3 2" xfId="9295"/>
    <cellStyle name="Percent 125 3 2 2" xfId="15488"/>
    <cellStyle name="Percent 125 3 2 3" xfId="21640"/>
    <cellStyle name="Percent 125 3 3" xfId="12422"/>
    <cellStyle name="Percent 125 3 4" xfId="18574"/>
    <cellStyle name="Percent 125 4" xfId="7760"/>
    <cellStyle name="Percent 125 4 2" xfId="13954"/>
    <cellStyle name="Percent 125 4 3" xfId="20106"/>
    <cellStyle name="Percent 125 5" xfId="10888"/>
    <cellStyle name="Percent 125 6" xfId="17040"/>
    <cellStyle name="Percent 126" xfId="4235"/>
    <cellStyle name="Percent 126 2" xfId="5354"/>
    <cellStyle name="Percent 126 2 2" xfId="6979"/>
    <cellStyle name="Percent 126 2 2 2" xfId="10065"/>
    <cellStyle name="Percent 126 2 2 2 2" xfId="16258"/>
    <cellStyle name="Percent 126 2 2 2 3" xfId="22410"/>
    <cellStyle name="Percent 126 2 2 3" xfId="13192"/>
    <cellStyle name="Percent 126 2 2 4" xfId="19344"/>
    <cellStyle name="Percent 126 2 3" xfId="8530"/>
    <cellStyle name="Percent 126 2 3 2" xfId="14724"/>
    <cellStyle name="Percent 126 2 3 3" xfId="20876"/>
    <cellStyle name="Percent 126 2 4" xfId="11658"/>
    <cellStyle name="Percent 126 2 5" xfId="17810"/>
    <cellStyle name="Percent 126 3" xfId="6196"/>
    <cellStyle name="Percent 126 3 2" xfId="9296"/>
    <cellStyle name="Percent 126 3 2 2" xfId="15489"/>
    <cellStyle name="Percent 126 3 2 3" xfId="21641"/>
    <cellStyle name="Percent 126 3 3" xfId="12423"/>
    <cellStyle name="Percent 126 3 4" xfId="18575"/>
    <cellStyle name="Percent 126 4" xfId="7761"/>
    <cellStyle name="Percent 126 4 2" xfId="13955"/>
    <cellStyle name="Percent 126 4 3" xfId="20107"/>
    <cellStyle name="Percent 126 5" xfId="10889"/>
    <cellStyle name="Percent 126 6" xfId="17041"/>
    <cellStyle name="Percent 127" xfId="4236"/>
    <cellStyle name="Percent 127 2" xfId="5355"/>
    <cellStyle name="Percent 127 2 2" xfId="6980"/>
    <cellStyle name="Percent 127 2 2 2" xfId="10066"/>
    <cellStyle name="Percent 127 2 2 2 2" xfId="16259"/>
    <cellStyle name="Percent 127 2 2 2 3" xfId="22411"/>
    <cellStyle name="Percent 127 2 2 3" xfId="13193"/>
    <cellStyle name="Percent 127 2 2 4" xfId="19345"/>
    <cellStyle name="Percent 127 2 3" xfId="8531"/>
    <cellStyle name="Percent 127 2 3 2" xfId="14725"/>
    <cellStyle name="Percent 127 2 3 3" xfId="20877"/>
    <cellStyle name="Percent 127 2 4" xfId="11659"/>
    <cellStyle name="Percent 127 2 5" xfId="17811"/>
    <cellStyle name="Percent 127 3" xfId="6197"/>
    <cellStyle name="Percent 127 3 2" xfId="9297"/>
    <cellStyle name="Percent 127 3 2 2" xfId="15490"/>
    <cellStyle name="Percent 127 3 2 3" xfId="21642"/>
    <cellStyle name="Percent 127 3 3" xfId="12424"/>
    <cellStyle name="Percent 127 3 4" xfId="18576"/>
    <cellStyle name="Percent 127 4" xfId="7762"/>
    <cellStyle name="Percent 127 4 2" xfId="13956"/>
    <cellStyle name="Percent 127 4 3" xfId="20108"/>
    <cellStyle name="Percent 127 5" xfId="10890"/>
    <cellStyle name="Percent 127 6" xfId="17042"/>
    <cellStyle name="Percent 128" xfId="4237"/>
    <cellStyle name="Percent 128 2" xfId="5356"/>
    <cellStyle name="Percent 128 2 2" xfId="6981"/>
    <cellStyle name="Percent 128 2 2 2" xfId="10067"/>
    <cellStyle name="Percent 128 2 2 2 2" xfId="16260"/>
    <cellStyle name="Percent 128 2 2 2 3" xfId="22412"/>
    <cellStyle name="Percent 128 2 2 3" xfId="13194"/>
    <cellStyle name="Percent 128 2 2 4" xfId="19346"/>
    <cellStyle name="Percent 128 2 3" xfId="8532"/>
    <cellStyle name="Percent 128 2 3 2" xfId="14726"/>
    <cellStyle name="Percent 128 2 3 3" xfId="20878"/>
    <cellStyle name="Percent 128 2 4" xfId="11660"/>
    <cellStyle name="Percent 128 2 5" xfId="17812"/>
    <cellStyle name="Percent 128 3" xfId="6198"/>
    <cellStyle name="Percent 128 3 2" xfId="9298"/>
    <cellStyle name="Percent 128 3 2 2" xfId="15491"/>
    <cellStyle name="Percent 128 3 2 3" xfId="21643"/>
    <cellStyle name="Percent 128 3 3" xfId="12425"/>
    <cellStyle name="Percent 128 3 4" xfId="18577"/>
    <cellStyle name="Percent 128 4" xfId="7763"/>
    <cellStyle name="Percent 128 4 2" xfId="13957"/>
    <cellStyle name="Percent 128 4 3" xfId="20109"/>
    <cellStyle name="Percent 128 5" xfId="10891"/>
    <cellStyle name="Percent 128 6" xfId="17043"/>
    <cellStyle name="Percent 129" xfId="4238"/>
    <cellStyle name="Percent 129 2" xfId="5357"/>
    <cellStyle name="Percent 129 2 2" xfId="6982"/>
    <cellStyle name="Percent 129 2 2 2" xfId="10068"/>
    <cellStyle name="Percent 129 2 2 2 2" xfId="16261"/>
    <cellStyle name="Percent 129 2 2 2 3" xfId="22413"/>
    <cellStyle name="Percent 129 2 2 3" xfId="13195"/>
    <cellStyle name="Percent 129 2 2 4" xfId="19347"/>
    <cellStyle name="Percent 129 2 3" xfId="8533"/>
    <cellStyle name="Percent 129 2 3 2" xfId="14727"/>
    <cellStyle name="Percent 129 2 3 3" xfId="20879"/>
    <cellStyle name="Percent 129 2 4" xfId="11661"/>
    <cellStyle name="Percent 129 2 5" xfId="17813"/>
    <cellStyle name="Percent 129 3" xfId="6199"/>
    <cellStyle name="Percent 129 3 2" xfId="9299"/>
    <cellStyle name="Percent 129 3 2 2" xfId="15492"/>
    <cellStyle name="Percent 129 3 2 3" xfId="21644"/>
    <cellStyle name="Percent 129 3 3" xfId="12426"/>
    <cellStyle name="Percent 129 3 4" xfId="18578"/>
    <cellStyle name="Percent 129 4" xfId="7764"/>
    <cellStyle name="Percent 129 4 2" xfId="13958"/>
    <cellStyle name="Percent 129 4 3" xfId="20110"/>
    <cellStyle name="Percent 129 5" xfId="10892"/>
    <cellStyle name="Percent 129 6" xfId="17044"/>
    <cellStyle name="Percent 13" xfId="4239"/>
    <cellStyle name="Percent 130" xfId="4240"/>
    <cellStyle name="Percent 130 2" xfId="5358"/>
    <cellStyle name="Percent 130 2 2" xfId="6983"/>
    <cellStyle name="Percent 130 2 2 2" xfId="10069"/>
    <cellStyle name="Percent 130 2 2 2 2" xfId="16262"/>
    <cellStyle name="Percent 130 2 2 2 3" xfId="22414"/>
    <cellStyle name="Percent 130 2 2 3" xfId="13196"/>
    <cellStyle name="Percent 130 2 2 4" xfId="19348"/>
    <cellStyle name="Percent 130 2 3" xfId="8534"/>
    <cellStyle name="Percent 130 2 3 2" xfId="14728"/>
    <cellStyle name="Percent 130 2 3 3" xfId="20880"/>
    <cellStyle name="Percent 130 2 4" xfId="11662"/>
    <cellStyle name="Percent 130 2 5" xfId="17814"/>
    <cellStyle name="Percent 130 3" xfId="6200"/>
    <cellStyle name="Percent 130 3 2" xfId="9300"/>
    <cellStyle name="Percent 130 3 2 2" xfId="15493"/>
    <cellStyle name="Percent 130 3 2 3" xfId="21645"/>
    <cellStyle name="Percent 130 3 3" xfId="12427"/>
    <cellStyle name="Percent 130 3 4" xfId="18579"/>
    <cellStyle name="Percent 130 4" xfId="7765"/>
    <cellStyle name="Percent 130 4 2" xfId="13959"/>
    <cellStyle name="Percent 130 4 3" xfId="20111"/>
    <cellStyle name="Percent 130 5" xfId="10893"/>
    <cellStyle name="Percent 130 6" xfId="17045"/>
    <cellStyle name="Percent 131" xfId="4241"/>
    <cellStyle name="Percent 132" xfId="4242"/>
    <cellStyle name="Percent 133" xfId="4243"/>
    <cellStyle name="Percent 134" xfId="4244"/>
    <cellStyle name="Percent 135" xfId="4245"/>
    <cellStyle name="Percent 136" xfId="4246"/>
    <cellStyle name="Percent 137" xfId="4247"/>
    <cellStyle name="Percent 138" xfId="4248"/>
    <cellStyle name="Percent 139" xfId="4249"/>
    <cellStyle name="Percent 14" xfId="4250"/>
    <cellStyle name="Percent 140" xfId="4251"/>
    <cellStyle name="Percent 141" xfId="4252"/>
    <cellStyle name="Percent 142" xfId="4253"/>
    <cellStyle name="Percent 143" xfId="4254"/>
    <cellStyle name="Percent 144" xfId="4255"/>
    <cellStyle name="Percent 145" xfId="4256"/>
    <cellStyle name="Percent 146" xfId="4257"/>
    <cellStyle name="Percent 147" xfId="4258"/>
    <cellStyle name="Percent 148" xfId="4259"/>
    <cellStyle name="Percent 149" xfId="4260"/>
    <cellStyle name="Percent 15" xfId="4261"/>
    <cellStyle name="Percent 150" xfId="4262"/>
    <cellStyle name="Percent 151" xfId="4263"/>
    <cellStyle name="Percent 152" xfId="4264"/>
    <cellStyle name="Percent 153" xfId="4265"/>
    <cellStyle name="Percent 154" xfId="4266"/>
    <cellStyle name="Percent 155" xfId="4267"/>
    <cellStyle name="Percent 156" xfId="4268"/>
    <cellStyle name="Percent 157" xfId="4269"/>
    <cellStyle name="Percent 158" xfId="4270"/>
    <cellStyle name="Percent 159" xfId="4271"/>
    <cellStyle name="Percent 159 2" xfId="5359"/>
    <cellStyle name="Percent 159 2 2" xfId="6984"/>
    <cellStyle name="Percent 159 2 2 2" xfId="10070"/>
    <cellStyle name="Percent 159 2 2 2 2" xfId="16263"/>
    <cellStyle name="Percent 159 2 2 2 3" xfId="22415"/>
    <cellStyle name="Percent 159 2 2 3" xfId="13197"/>
    <cellStyle name="Percent 159 2 2 4" xfId="19349"/>
    <cellStyle name="Percent 159 2 3" xfId="8535"/>
    <cellStyle name="Percent 159 2 3 2" xfId="14729"/>
    <cellStyle name="Percent 159 2 3 3" xfId="20881"/>
    <cellStyle name="Percent 159 2 4" xfId="11663"/>
    <cellStyle name="Percent 159 2 5" xfId="17815"/>
    <cellStyle name="Percent 159 3" xfId="6201"/>
    <cellStyle name="Percent 159 3 2" xfId="9301"/>
    <cellStyle name="Percent 159 3 2 2" xfId="15494"/>
    <cellStyle name="Percent 159 3 2 3" xfId="21646"/>
    <cellStyle name="Percent 159 3 3" xfId="12428"/>
    <cellStyle name="Percent 159 3 4" xfId="18580"/>
    <cellStyle name="Percent 159 4" xfId="7766"/>
    <cellStyle name="Percent 159 4 2" xfId="13960"/>
    <cellStyle name="Percent 159 4 3" xfId="20112"/>
    <cellStyle name="Percent 159 5" xfId="10894"/>
    <cellStyle name="Percent 159 6" xfId="17046"/>
    <cellStyle name="Percent 16" xfId="4272"/>
    <cellStyle name="Percent 160" xfId="1325"/>
    <cellStyle name="Percent 161" xfId="4623"/>
    <cellStyle name="Percent 162" xfId="1319"/>
    <cellStyle name="Percent 162 2" xfId="4766"/>
    <cellStyle name="Percent 162 2 2" xfId="6391"/>
    <cellStyle name="Percent 162 2 2 2" xfId="9477"/>
    <cellStyle name="Percent 162 2 2 2 2" xfId="15670"/>
    <cellStyle name="Percent 162 2 2 2 3" xfId="21822"/>
    <cellStyle name="Percent 162 2 2 3" xfId="12604"/>
    <cellStyle name="Percent 162 2 2 4" xfId="18756"/>
    <cellStyle name="Percent 162 2 3" xfId="7942"/>
    <cellStyle name="Percent 162 2 3 2" xfId="14136"/>
    <cellStyle name="Percent 162 2 3 3" xfId="20288"/>
    <cellStyle name="Percent 162 2 4" xfId="11070"/>
    <cellStyle name="Percent 162 2 5" xfId="17222"/>
    <cellStyle name="Percent 162 3" xfId="5605"/>
    <cellStyle name="Percent 162 3 2" xfId="8708"/>
    <cellStyle name="Percent 162 3 2 2" xfId="14901"/>
    <cellStyle name="Percent 162 3 2 3" xfId="21053"/>
    <cellStyle name="Percent 162 3 3" xfId="11835"/>
    <cellStyle name="Percent 162 3 4" xfId="17987"/>
    <cellStyle name="Percent 162 4" xfId="7173"/>
    <cellStyle name="Percent 162 4 2" xfId="13367"/>
    <cellStyle name="Percent 162 4 3" xfId="19519"/>
    <cellStyle name="Percent 162 5" xfId="10301"/>
    <cellStyle name="Percent 162 6" xfId="16453"/>
    <cellStyle name="Percent 163" xfId="4730"/>
    <cellStyle name="Percent 163 2" xfId="4737"/>
    <cellStyle name="Percent 163 3" xfId="6362"/>
    <cellStyle name="Percent 163 3 2" xfId="9448"/>
    <cellStyle name="Percent 163 3 2 2" xfId="15641"/>
    <cellStyle name="Percent 163 3 2 3" xfId="21793"/>
    <cellStyle name="Percent 163 3 3" xfId="12575"/>
    <cellStyle name="Percent 163 3 4" xfId="18727"/>
    <cellStyle name="Percent 163 4" xfId="7913"/>
    <cellStyle name="Percent 163 4 2" xfId="14107"/>
    <cellStyle name="Percent 163 4 3" xfId="20259"/>
    <cellStyle name="Percent 163 5" xfId="11041"/>
    <cellStyle name="Percent 163 6" xfId="17193"/>
    <cellStyle name="Percent 164" xfId="5504"/>
    <cellStyle name="Percent 165" xfId="5574"/>
    <cellStyle name="Percent 166" xfId="5512"/>
    <cellStyle name="Percent 167" xfId="5565"/>
    <cellStyle name="Percent 168" xfId="5523"/>
    <cellStyle name="Percent 169" xfId="5554"/>
    <cellStyle name="Percent 17" xfId="4273"/>
    <cellStyle name="Percent 170" xfId="5526"/>
    <cellStyle name="Percent 171" xfId="5551"/>
    <cellStyle name="Percent 172" xfId="5518"/>
    <cellStyle name="Percent 173" xfId="5568"/>
    <cellStyle name="Percent 174" xfId="5511"/>
    <cellStyle name="Percent 175" xfId="5543"/>
    <cellStyle name="Percent 176" xfId="5521"/>
    <cellStyle name="Percent 177" xfId="5567"/>
    <cellStyle name="Percent 178" xfId="5535"/>
    <cellStyle name="Percent 179" xfId="5558"/>
    <cellStyle name="Percent 18" xfId="4274"/>
    <cellStyle name="Percent 180" xfId="4741"/>
    <cellStyle name="Percent 180 2" xfId="6366"/>
    <cellStyle name="Percent 180 2 2" xfId="9452"/>
    <cellStyle name="Percent 180 2 2 2" xfId="15645"/>
    <cellStyle name="Percent 180 2 2 3" xfId="21797"/>
    <cellStyle name="Percent 180 2 3" xfId="12579"/>
    <cellStyle name="Percent 180 2 4" xfId="18731"/>
    <cellStyle name="Percent 180 3" xfId="7917"/>
    <cellStyle name="Percent 180 3 2" xfId="14111"/>
    <cellStyle name="Percent 180 3 3" xfId="20263"/>
    <cellStyle name="Percent 180 4" xfId="11045"/>
    <cellStyle name="Percent 180 5" xfId="17197"/>
    <cellStyle name="Percent 181" xfId="7144"/>
    <cellStyle name="Percent 182" xfId="10215"/>
    <cellStyle name="Percent 183" xfId="10221"/>
    <cellStyle name="Percent 184" xfId="10272"/>
    <cellStyle name="Percent 185" xfId="1181"/>
    <cellStyle name="Percent 186" xfId="1218"/>
    <cellStyle name="Percent 187" xfId="22587"/>
    <cellStyle name="Percent 188" xfId="22582"/>
    <cellStyle name="Percent 189" xfId="22584"/>
    <cellStyle name="Percent 19" xfId="4275"/>
    <cellStyle name="Percent 190" xfId="1159"/>
    <cellStyle name="Percent 191" xfId="1164"/>
    <cellStyle name="Percent 192" xfId="22628"/>
    <cellStyle name="Percent 193" xfId="22657"/>
    <cellStyle name="Percent 194" xfId="22775"/>
    <cellStyle name="Percent 195" xfId="22592"/>
    <cellStyle name="Percent 196" xfId="22803"/>
    <cellStyle name="Percent 197" xfId="22632"/>
    <cellStyle name="Percent 2" xfId="43"/>
    <cellStyle name="Percent 2 10" xfId="317"/>
    <cellStyle name="Percent 2 10 2" xfId="4681"/>
    <cellStyle name="Percent 2 10 3" xfId="4277"/>
    <cellStyle name="Percent 2 10 4" xfId="1245"/>
    <cellStyle name="Percent 2 11" xfId="347"/>
    <cellStyle name="Percent 2 11 2" xfId="4682"/>
    <cellStyle name="Percent 2 11 3" xfId="4278"/>
    <cellStyle name="Percent 2 11 4" xfId="1246"/>
    <cellStyle name="Percent 2 12" xfId="339"/>
    <cellStyle name="Percent 2 12 2" xfId="4683"/>
    <cellStyle name="Percent 2 12 3" xfId="4279"/>
    <cellStyle name="Percent 2 12 4" xfId="1247"/>
    <cellStyle name="Percent 2 13" xfId="358"/>
    <cellStyle name="Percent 2 13 2" xfId="4684"/>
    <cellStyle name="Percent 2 13 3" xfId="4280"/>
    <cellStyle name="Percent 2 13 4" xfId="1248"/>
    <cellStyle name="Percent 2 14" xfId="373"/>
    <cellStyle name="Percent 2 14 2" xfId="4685"/>
    <cellStyle name="Percent 2 14 3" xfId="4281"/>
    <cellStyle name="Percent 2 14 4" xfId="1249"/>
    <cellStyle name="Percent 2 15" xfId="389"/>
    <cellStyle name="Percent 2 15 2" xfId="4686"/>
    <cellStyle name="Percent 2 15 3" xfId="4282"/>
    <cellStyle name="Percent 2 15 4" xfId="1250"/>
    <cellStyle name="Percent 2 16" xfId="403"/>
    <cellStyle name="Percent 2 16 2" xfId="4687"/>
    <cellStyle name="Percent 2 16 3" xfId="4283"/>
    <cellStyle name="Percent 2 16 4" xfId="1251"/>
    <cellStyle name="Percent 2 17" xfId="425"/>
    <cellStyle name="Percent 2 17 2" xfId="4688"/>
    <cellStyle name="Percent 2 17 3" xfId="4284"/>
    <cellStyle name="Percent 2 17 4" xfId="1252"/>
    <cellStyle name="Percent 2 18" xfId="453"/>
    <cellStyle name="Percent 2 18 2" xfId="4689"/>
    <cellStyle name="Percent 2 18 3" xfId="4285"/>
    <cellStyle name="Percent 2 18 4" xfId="1253"/>
    <cellStyle name="Percent 2 19" xfId="478"/>
    <cellStyle name="Percent 2 19 2" xfId="4690"/>
    <cellStyle name="Percent 2 19 3" xfId="4286"/>
    <cellStyle name="Percent 2 19 4" xfId="1254"/>
    <cellStyle name="Percent 2 2" xfId="44"/>
    <cellStyle name="Percent 2 2 10" xfId="268"/>
    <cellStyle name="Percent 2 2 11" xfId="301"/>
    <cellStyle name="Percent 2 2 12" xfId="346"/>
    <cellStyle name="Percent 2 2 13" xfId="325"/>
    <cellStyle name="Percent 2 2 14" xfId="427"/>
    <cellStyle name="Percent 2 2 15" xfId="457"/>
    <cellStyle name="Percent 2 2 16" xfId="474"/>
    <cellStyle name="Percent 2 2 17" xfId="497"/>
    <cellStyle name="Percent 2 2 18" xfId="539"/>
    <cellStyle name="Percent 2 2 19" xfId="566"/>
    <cellStyle name="Percent 2 2 2" xfId="248"/>
    <cellStyle name="Percent 2 2 2 2" xfId="4288"/>
    <cellStyle name="Percent 2 2 2 2 2" xfId="4289"/>
    <cellStyle name="Percent 2 2 2 3" xfId="4290"/>
    <cellStyle name="Percent 2 2 2 4" xfId="23307"/>
    <cellStyle name="Percent 2 2 20" xfId="592"/>
    <cellStyle name="Percent 2 2 21" xfId="571"/>
    <cellStyle name="Percent 2 2 22" xfId="523"/>
    <cellStyle name="Percent 2 2 23" xfId="640"/>
    <cellStyle name="Percent 2 2 24" xfId="704"/>
    <cellStyle name="Percent 2 2 25" xfId="736"/>
    <cellStyle name="Percent 2 2 26" xfId="762"/>
    <cellStyle name="Percent 2 2 27" xfId="787"/>
    <cellStyle name="Percent 2 2 28" xfId="811"/>
    <cellStyle name="Percent 2 2 29" xfId="199"/>
    <cellStyle name="Percent 2 2 3" xfId="264"/>
    <cellStyle name="Percent 2 2 3 2" xfId="4291"/>
    <cellStyle name="Percent 2 2 3 3" xfId="23308"/>
    <cellStyle name="Percent 2 2 30" xfId="23306"/>
    <cellStyle name="Percent 2 2 4" xfId="283"/>
    <cellStyle name="Percent 2 2 4 2" xfId="4292"/>
    <cellStyle name="Percent 2 2 5" xfId="310"/>
    <cellStyle name="Percent 2 2 5 2" xfId="4691"/>
    <cellStyle name="Percent 2 2 6" xfId="300"/>
    <cellStyle name="Percent 2 2 6 2" xfId="4287"/>
    <cellStyle name="Percent 2 2 7" xfId="307"/>
    <cellStyle name="Percent 2 2 7 2" xfId="1255"/>
    <cellStyle name="Percent 2 2 8" xfId="286"/>
    <cellStyle name="Percent 2 2 9" xfId="308"/>
    <cellStyle name="Percent 2 20" xfId="475"/>
    <cellStyle name="Percent 2 20 2" xfId="4293"/>
    <cellStyle name="Percent 2 21" xfId="481"/>
    <cellStyle name="Percent 2 21 2" xfId="4294"/>
    <cellStyle name="Percent 2 22" xfId="469"/>
    <cellStyle name="Percent 2 22 2" xfId="5360"/>
    <cellStyle name="Percent 2 22 2 2" xfId="6985"/>
    <cellStyle name="Percent 2 22 2 2 2" xfId="10071"/>
    <cellStyle name="Percent 2 22 2 2 2 2" xfId="16264"/>
    <cellStyle name="Percent 2 22 2 2 2 3" xfId="22416"/>
    <cellStyle name="Percent 2 22 2 2 3" xfId="13198"/>
    <cellStyle name="Percent 2 22 2 2 4" xfId="19350"/>
    <cellStyle name="Percent 2 22 2 3" xfId="8536"/>
    <cellStyle name="Percent 2 22 2 3 2" xfId="14730"/>
    <cellStyle name="Percent 2 22 2 3 3" xfId="20882"/>
    <cellStyle name="Percent 2 22 2 4" xfId="11664"/>
    <cellStyle name="Percent 2 22 2 5" xfId="17816"/>
    <cellStyle name="Percent 2 22 3" xfId="6202"/>
    <cellStyle name="Percent 2 22 3 2" xfId="9302"/>
    <cellStyle name="Percent 2 22 3 2 2" xfId="15495"/>
    <cellStyle name="Percent 2 22 3 2 3" xfId="21647"/>
    <cellStyle name="Percent 2 22 3 3" xfId="12429"/>
    <cellStyle name="Percent 2 22 3 4" xfId="18581"/>
    <cellStyle name="Percent 2 22 4" xfId="7767"/>
    <cellStyle name="Percent 2 22 4 2" xfId="13961"/>
    <cellStyle name="Percent 2 22 4 3" xfId="20113"/>
    <cellStyle name="Percent 2 22 5" xfId="10895"/>
    <cellStyle name="Percent 2 22 6" xfId="17047"/>
    <cellStyle name="Percent 2 22 7" xfId="4276"/>
    <cellStyle name="Percent 2 23" xfId="516"/>
    <cellStyle name="Percent 2 24" xfId="531"/>
    <cellStyle name="Percent 2 25" xfId="464"/>
    <cellStyle name="Percent 2 26" xfId="602"/>
    <cellStyle name="Percent 2 27" xfId="679"/>
    <cellStyle name="Percent 2 28" xfId="657"/>
    <cellStyle name="Percent 2 29" xfId="647"/>
    <cellStyle name="Percent 2 3" xfId="211"/>
    <cellStyle name="Percent 2 3 2" xfId="870"/>
    <cellStyle name="Percent 2 3 2 2" xfId="4296"/>
    <cellStyle name="Percent 2 3 3" xfId="4297"/>
    <cellStyle name="Percent 2 3 4" xfId="4295"/>
    <cellStyle name="Percent 2 3 5" xfId="10259"/>
    <cellStyle name="Percent 2 3 6" xfId="1256"/>
    <cellStyle name="Percent 2 3 7" xfId="22624"/>
    <cellStyle name="Percent 2 3 8" xfId="22833"/>
    <cellStyle name="Percent 2 3 9" xfId="23309"/>
    <cellStyle name="Percent 2 30" xfId="713"/>
    <cellStyle name="Percent 2 31" xfId="741"/>
    <cellStyle name="Percent 2 32" xfId="194"/>
    <cellStyle name="Percent 2 33" xfId="23305"/>
    <cellStyle name="Percent 2 4" xfId="220"/>
    <cellStyle name="Percent 2 4 2" xfId="4299"/>
    <cellStyle name="Percent 2 4 3" xfId="4692"/>
    <cellStyle name="Percent 2 4 4" xfId="4298"/>
    <cellStyle name="Percent 2 4 5" xfId="23310"/>
    <cellStyle name="Percent 2 5" xfId="244"/>
    <cellStyle name="Percent 2 5 2" xfId="4693"/>
    <cellStyle name="Percent 2 5 3" xfId="4300"/>
    <cellStyle name="Percent 2 5 4" xfId="1257"/>
    <cellStyle name="Percent 2 5 5" xfId="23311"/>
    <cellStyle name="Percent 2 6" xfId="269"/>
    <cellStyle name="Percent 2 6 2" xfId="4694"/>
    <cellStyle name="Percent 2 6 3" xfId="4301"/>
    <cellStyle name="Percent 2 6 4" xfId="1258"/>
    <cellStyle name="Percent 2 6 5" xfId="23312"/>
    <cellStyle name="Percent 2 7" xfId="263"/>
    <cellStyle name="Percent 2 7 2" xfId="4695"/>
    <cellStyle name="Percent 2 7 3" xfId="4302"/>
    <cellStyle name="Percent 2 7 4" xfId="1259"/>
    <cellStyle name="Percent 2 8" xfId="335"/>
    <cellStyle name="Percent 2 8 2" xfId="4696"/>
    <cellStyle name="Percent 2 8 3" xfId="4303"/>
    <cellStyle name="Percent 2 8 4" xfId="1260"/>
    <cellStyle name="Percent 2 9" xfId="302"/>
    <cellStyle name="Percent 2 9 2" xfId="4697"/>
    <cellStyle name="Percent 2 9 3" xfId="4304"/>
    <cellStyle name="Percent 2 9 4" xfId="1261"/>
    <cellStyle name="Percent 20" xfId="4305"/>
    <cellStyle name="Percent 21" xfId="4306"/>
    <cellStyle name="Percent 22" xfId="4307"/>
    <cellStyle name="Percent 23" xfId="4308"/>
    <cellStyle name="Percent 24" xfId="4309"/>
    <cellStyle name="Percent 25" xfId="4310"/>
    <cellStyle name="Percent 25 2" xfId="4311"/>
    <cellStyle name="Percent 25 2 2" xfId="4312"/>
    <cellStyle name="Percent 25 2 2 2" xfId="5362"/>
    <cellStyle name="Percent 25 2 2 2 2" xfId="6987"/>
    <cellStyle name="Percent 25 2 2 2 2 2" xfId="10073"/>
    <cellStyle name="Percent 25 2 2 2 2 2 2" xfId="16266"/>
    <cellStyle name="Percent 25 2 2 2 2 2 3" xfId="22418"/>
    <cellStyle name="Percent 25 2 2 2 2 3" xfId="13200"/>
    <cellStyle name="Percent 25 2 2 2 2 4" xfId="19352"/>
    <cellStyle name="Percent 25 2 2 2 3" xfId="8538"/>
    <cellStyle name="Percent 25 2 2 2 3 2" xfId="14732"/>
    <cellStyle name="Percent 25 2 2 2 3 3" xfId="20884"/>
    <cellStyle name="Percent 25 2 2 2 4" xfId="11666"/>
    <cellStyle name="Percent 25 2 2 2 5" xfId="17818"/>
    <cellStyle name="Percent 25 2 2 3" xfId="6208"/>
    <cellStyle name="Percent 25 2 2 3 2" xfId="9304"/>
    <cellStyle name="Percent 25 2 2 3 2 2" xfId="15497"/>
    <cellStyle name="Percent 25 2 2 3 2 3" xfId="21649"/>
    <cellStyle name="Percent 25 2 2 3 3" xfId="12431"/>
    <cellStyle name="Percent 25 2 2 3 4" xfId="18583"/>
    <cellStyle name="Percent 25 2 2 4" xfId="7769"/>
    <cellStyle name="Percent 25 2 2 4 2" xfId="13963"/>
    <cellStyle name="Percent 25 2 2 4 3" xfId="20115"/>
    <cellStyle name="Percent 25 2 2 5" xfId="10897"/>
    <cellStyle name="Percent 25 2 2 6" xfId="17049"/>
    <cellStyle name="Percent 25 2 3" xfId="5361"/>
    <cellStyle name="Percent 25 2 3 2" xfId="6986"/>
    <cellStyle name="Percent 25 2 3 2 2" xfId="10072"/>
    <cellStyle name="Percent 25 2 3 2 2 2" xfId="16265"/>
    <cellStyle name="Percent 25 2 3 2 2 3" xfId="22417"/>
    <cellStyle name="Percent 25 2 3 2 3" xfId="13199"/>
    <cellStyle name="Percent 25 2 3 2 4" xfId="19351"/>
    <cellStyle name="Percent 25 2 3 3" xfId="8537"/>
    <cellStyle name="Percent 25 2 3 3 2" xfId="14731"/>
    <cellStyle name="Percent 25 2 3 3 3" xfId="20883"/>
    <cellStyle name="Percent 25 2 3 4" xfId="11665"/>
    <cellStyle name="Percent 25 2 3 5" xfId="17817"/>
    <cellStyle name="Percent 25 2 4" xfId="6207"/>
    <cellStyle name="Percent 25 2 4 2" xfId="9303"/>
    <cellStyle name="Percent 25 2 4 2 2" xfId="15496"/>
    <cellStyle name="Percent 25 2 4 2 3" xfId="21648"/>
    <cellStyle name="Percent 25 2 4 3" xfId="12430"/>
    <cellStyle name="Percent 25 2 4 4" xfId="18582"/>
    <cellStyle name="Percent 25 2 5" xfId="7768"/>
    <cellStyle name="Percent 25 2 5 2" xfId="13962"/>
    <cellStyle name="Percent 25 2 5 3" xfId="20114"/>
    <cellStyle name="Percent 25 2 6" xfId="10896"/>
    <cellStyle name="Percent 25 2 7" xfId="17048"/>
    <cellStyle name="Percent 25 3" xfId="4313"/>
    <cellStyle name="Percent 25 3 2" xfId="4314"/>
    <cellStyle name="Percent 25 3 2 2" xfId="5364"/>
    <cellStyle name="Percent 25 3 2 2 2" xfId="6989"/>
    <cellStyle name="Percent 25 3 2 2 2 2" xfId="10075"/>
    <cellStyle name="Percent 25 3 2 2 2 2 2" xfId="16268"/>
    <cellStyle name="Percent 25 3 2 2 2 2 3" xfId="22420"/>
    <cellStyle name="Percent 25 3 2 2 2 3" xfId="13202"/>
    <cellStyle name="Percent 25 3 2 2 2 4" xfId="19354"/>
    <cellStyle name="Percent 25 3 2 2 3" xfId="8540"/>
    <cellStyle name="Percent 25 3 2 2 3 2" xfId="14734"/>
    <cellStyle name="Percent 25 3 2 2 3 3" xfId="20886"/>
    <cellStyle name="Percent 25 3 2 2 4" xfId="11668"/>
    <cellStyle name="Percent 25 3 2 2 5" xfId="17820"/>
    <cellStyle name="Percent 25 3 2 3" xfId="6210"/>
    <cellStyle name="Percent 25 3 2 3 2" xfId="9306"/>
    <cellStyle name="Percent 25 3 2 3 2 2" xfId="15499"/>
    <cellStyle name="Percent 25 3 2 3 2 3" xfId="21651"/>
    <cellStyle name="Percent 25 3 2 3 3" xfId="12433"/>
    <cellStyle name="Percent 25 3 2 3 4" xfId="18585"/>
    <cellStyle name="Percent 25 3 2 4" xfId="7771"/>
    <cellStyle name="Percent 25 3 2 4 2" xfId="13965"/>
    <cellStyle name="Percent 25 3 2 4 3" xfId="20117"/>
    <cellStyle name="Percent 25 3 2 5" xfId="10899"/>
    <cellStyle name="Percent 25 3 2 6" xfId="17051"/>
    <cellStyle name="Percent 25 3 3" xfId="5363"/>
    <cellStyle name="Percent 25 3 3 2" xfId="6988"/>
    <cellStyle name="Percent 25 3 3 2 2" xfId="10074"/>
    <cellStyle name="Percent 25 3 3 2 2 2" xfId="16267"/>
    <cellStyle name="Percent 25 3 3 2 2 3" xfId="22419"/>
    <cellStyle name="Percent 25 3 3 2 3" xfId="13201"/>
    <cellStyle name="Percent 25 3 3 2 4" xfId="19353"/>
    <cellStyle name="Percent 25 3 3 3" xfId="8539"/>
    <cellStyle name="Percent 25 3 3 3 2" xfId="14733"/>
    <cellStyle name="Percent 25 3 3 3 3" xfId="20885"/>
    <cellStyle name="Percent 25 3 3 4" xfId="11667"/>
    <cellStyle name="Percent 25 3 3 5" xfId="17819"/>
    <cellStyle name="Percent 25 3 4" xfId="6209"/>
    <cellStyle name="Percent 25 3 4 2" xfId="9305"/>
    <cellStyle name="Percent 25 3 4 2 2" xfId="15498"/>
    <cellStyle name="Percent 25 3 4 2 3" xfId="21650"/>
    <cellStyle name="Percent 25 3 4 3" xfId="12432"/>
    <cellStyle name="Percent 25 3 4 4" xfId="18584"/>
    <cellStyle name="Percent 25 3 5" xfId="7770"/>
    <cellStyle name="Percent 25 3 5 2" xfId="13964"/>
    <cellStyle name="Percent 25 3 5 3" xfId="20116"/>
    <cellStyle name="Percent 25 3 6" xfId="10898"/>
    <cellStyle name="Percent 25 3 7" xfId="17050"/>
    <cellStyle name="Percent 25 4" xfId="4315"/>
    <cellStyle name="Percent 25 4 2" xfId="4316"/>
    <cellStyle name="Percent 25 4 2 2" xfId="5365"/>
    <cellStyle name="Percent 25 4 2 2 2" xfId="6990"/>
    <cellStyle name="Percent 25 4 2 2 2 2" xfId="10076"/>
    <cellStyle name="Percent 25 4 2 2 2 2 2" xfId="16269"/>
    <cellStyle name="Percent 25 4 2 2 2 2 3" xfId="22421"/>
    <cellStyle name="Percent 25 4 2 2 2 3" xfId="13203"/>
    <cellStyle name="Percent 25 4 2 2 2 4" xfId="19355"/>
    <cellStyle name="Percent 25 4 2 2 3" xfId="8541"/>
    <cellStyle name="Percent 25 4 2 2 3 2" xfId="14735"/>
    <cellStyle name="Percent 25 4 2 2 3 3" xfId="20887"/>
    <cellStyle name="Percent 25 4 2 2 4" xfId="11669"/>
    <cellStyle name="Percent 25 4 2 2 5" xfId="17821"/>
    <cellStyle name="Percent 25 4 2 3" xfId="6211"/>
    <cellStyle name="Percent 25 4 2 3 2" xfId="9307"/>
    <cellStyle name="Percent 25 4 2 3 2 2" xfId="15500"/>
    <cellStyle name="Percent 25 4 2 3 2 3" xfId="21652"/>
    <cellStyle name="Percent 25 4 2 3 3" xfId="12434"/>
    <cellStyle name="Percent 25 4 2 3 4" xfId="18586"/>
    <cellStyle name="Percent 25 4 2 4" xfId="7772"/>
    <cellStyle name="Percent 25 4 2 4 2" xfId="13966"/>
    <cellStyle name="Percent 25 4 2 4 3" xfId="20118"/>
    <cellStyle name="Percent 25 4 2 5" xfId="10900"/>
    <cellStyle name="Percent 25 4 2 6" xfId="17052"/>
    <cellStyle name="Percent 25 5" xfId="4317"/>
    <cellStyle name="Percent 25 5 2" xfId="5366"/>
    <cellStyle name="Percent 25 5 2 2" xfId="6991"/>
    <cellStyle name="Percent 25 5 2 2 2" xfId="10077"/>
    <cellStyle name="Percent 25 5 2 2 2 2" xfId="16270"/>
    <cellStyle name="Percent 25 5 2 2 2 3" xfId="22422"/>
    <cellStyle name="Percent 25 5 2 2 3" xfId="13204"/>
    <cellStyle name="Percent 25 5 2 2 4" xfId="19356"/>
    <cellStyle name="Percent 25 5 2 3" xfId="8542"/>
    <cellStyle name="Percent 25 5 2 3 2" xfId="14736"/>
    <cellStyle name="Percent 25 5 2 3 3" xfId="20888"/>
    <cellStyle name="Percent 25 5 2 4" xfId="11670"/>
    <cellStyle name="Percent 25 5 2 5" xfId="17822"/>
    <cellStyle name="Percent 25 5 3" xfId="6212"/>
    <cellStyle name="Percent 25 5 3 2" xfId="9308"/>
    <cellStyle name="Percent 25 5 3 2 2" xfId="15501"/>
    <cellStyle name="Percent 25 5 3 2 3" xfId="21653"/>
    <cellStyle name="Percent 25 5 3 3" xfId="12435"/>
    <cellStyle name="Percent 25 5 3 4" xfId="18587"/>
    <cellStyle name="Percent 25 5 4" xfId="7773"/>
    <cellStyle name="Percent 25 5 4 2" xfId="13967"/>
    <cellStyle name="Percent 25 5 4 3" xfId="20119"/>
    <cellStyle name="Percent 25 5 5" xfId="10901"/>
    <cellStyle name="Percent 25 5 6" xfId="17053"/>
    <cellStyle name="Percent 26" xfId="4318"/>
    <cellStyle name="Percent 26 2" xfId="4319"/>
    <cellStyle name="Percent 26 2 2" xfId="4320"/>
    <cellStyle name="Percent 26 2 2 2" xfId="5368"/>
    <cellStyle name="Percent 26 2 2 2 2" xfId="6993"/>
    <cellStyle name="Percent 26 2 2 2 2 2" xfId="10079"/>
    <cellStyle name="Percent 26 2 2 2 2 2 2" xfId="16272"/>
    <cellStyle name="Percent 26 2 2 2 2 2 3" xfId="22424"/>
    <cellStyle name="Percent 26 2 2 2 2 3" xfId="13206"/>
    <cellStyle name="Percent 26 2 2 2 2 4" xfId="19358"/>
    <cellStyle name="Percent 26 2 2 2 3" xfId="8544"/>
    <cellStyle name="Percent 26 2 2 2 3 2" xfId="14738"/>
    <cellStyle name="Percent 26 2 2 2 3 3" xfId="20890"/>
    <cellStyle name="Percent 26 2 2 2 4" xfId="11672"/>
    <cellStyle name="Percent 26 2 2 2 5" xfId="17824"/>
    <cellStyle name="Percent 26 2 2 3" xfId="6214"/>
    <cellStyle name="Percent 26 2 2 3 2" xfId="9310"/>
    <cellStyle name="Percent 26 2 2 3 2 2" xfId="15503"/>
    <cellStyle name="Percent 26 2 2 3 2 3" xfId="21655"/>
    <cellStyle name="Percent 26 2 2 3 3" xfId="12437"/>
    <cellStyle name="Percent 26 2 2 3 4" xfId="18589"/>
    <cellStyle name="Percent 26 2 2 4" xfId="7775"/>
    <cellStyle name="Percent 26 2 2 4 2" xfId="13969"/>
    <cellStyle name="Percent 26 2 2 4 3" xfId="20121"/>
    <cellStyle name="Percent 26 2 2 5" xfId="10903"/>
    <cellStyle name="Percent 26 2 2 6" xfId="17055"/>
    <cellStyle name="Percent 26 2 3" xfId="5367"/>
    <cellStyle name="Percent 26 2 3 2" xfId="6992"/>
    <cellStyle name="Percent 26 2 3 2 2" xfId="10078"/>
    <cellStyle name="Percent 26 2 3 2 2 2" xfId="16271"/>
    <cellStyle name="Percent 26 2 3 2 2 3" xfId="22423"/>
    <cellStyle name="Percent 26 2 3 2 3" xfId="13205"/>
    <cellStyle name="Percent 26 2 3 2 4" xfId="19357"/>
    <cellStyle name="Percent 26 2 3 3" xfId="8543"/>
    <cellStyle name="Percent 26 2 3 3 2" xfId="14737"/>
    <cellStyle name="Percent 26 2 3 3 3" xfId="20889"/>
    <cellStyle name="Percent 26 2 3 4" xfId="11671"/>
    <cellStyle name="Percent 26 2 3 5" xfId="17823"/>
    <cellStyle name="Percent 26 2 4" xfId="6213"/>
    <cellStyle name="Percent 26 2 4 2" xfId="9309"/>
    <cellStyle name="Percent 26 2 4 2 2" xfId="15502"/>
    <cellStyle name="Percent 26 2 4 2 3" xfId="21654"/>
    <cellStyle name="Percent 26 2 4 3" xfId="12436"/>
    <cellStyle name="Percent 26 2 4 4" xfId="18588"/>
    <cellStyle name="Percent 26 2 5" xfId="7774"/>
    <cellStyle name="Percent 26 2 5 2" xfId="13968"/>
    <cellStyle name="Percent 26 2 5 3" xfId="20120"/>
    <cellStyle name="Percent 26 2 6" xfId="10902"/>
    <cellStyle name="Percent 26 2 7" xfId="17054"/>
    <cellStyle name="Percent 26 3" xfId="4321"/>
    <cellStyle name="Percent 26 3 2" xfId="4322"/>
    <cellStyle name="Percent 26 3 2 2" xfId="5370"/>
    <cellStyle name="Percent 26 3 2 2 2" xfId="6995"/>
    <cellStyle name="Percent 26 3 2 2 2 2" xfId="10081"/>
    <cellStyle name="Percent 26 3 2 2 2 2 2" xfId="16274"/>
    <cellStyle name="Percent 26 3 2 2 2 2 3" xfId="22426"/>
    <cellStyle name="Percent 26 3 2 2 2 3" xfId="13208"/>
    <cellStyle name="Percent 26 3 2 2 2 4" xfId="19360"/>
    <cellStyle name="Percent 26 3 2 2 3" xfId="8546"/>
    <cellStyle name="Percent 26 3 2 2 3 2" xfId="14740"/>
    <cellStyle name="Percent 26 3 2 2 3 3" xfId="20892"/>
    <cellStyle name="Percent 26 3 2 2 4" xfId="11674"/>
    <cellStyle name="Percent 26 3 2 2 5" xfId="17826"/>
    <cellStyle name="Percent 26 3 2 3" xfId="6216"/>
    <cellStyle name="Percent 26 3 2 3 2" xfId="9312"/>
    <cellStyle name="Percent 26 3 2 3 2 2" xfId="15505"/>
    <cellStyle name="Percent 26 3 2 3 2 3" xfId="21657"/>
    <cellStyle name="Percent 26 3 2 3 3" xfId="12439"/>
    <cellStyle name="Percent 26 3 2 3 4" xfId="18591"/>
    <cellStyle name="Percent 26 3 2 4" xfId="7777"/>
    <cellStyle name="Percent 26 3 2 4 2" xfId="13971"/>
    <cellStyle name="Percent 26 3 2 4 3" xfId="20123"/>
    <cellStyle name="Percent 26 3 2 5" xfId="10905"/>
    <cellStyle name="Percent 26 3 2 6" xfId="17057"/>
    <cellStyle name="Percent 26 3 3" xfId="5369"/>
    <cellStyle name="Percent 26 3 3 2" xfId="6994"/>
    <cellStyle name="Percent 26 3 3 2 2" xfId="10080"/>
    <cellStyle name="Percent 26 3 3 2 2 2" xfId="16273"/>
    <cellStyle name="Percent 26 3 3 2 2 3" xfId="22425"/>
    <cellStyle name="Percent 26 3 3 2 3" xfId="13207"/>
    <cellStyle name="Percent 26 3 3 2 4" xfId="19359"/>
    <cellStyle name="Percent 26 3 3 3" xfId="8545"/>
    <cellStyle name="Percent 26 3 3 3 2" xfId="14739"/>
    <cellStyle name="Percent 26 3 3 3 3" xfId="20891"/>
    <cellStyle name="Percent 26 3 3 4" xfId="11673"/>
    <cellStyle name="Percent 26 3 3 5" xfId="17825"/>
    <cellStyle name="Percent 26 3 4" xfId="6215"/>
    <cellStyle name="Percent 26 3 4 2" xfId="9311"/>
    <cellStyle name="Percent 26 3 4 2 2" xfId="15504"/>
    <cellStyle name="Percent 26 3 4 2 3" xfId="21656"/>
    <cellStyle name="Percent 26 3 4 3" xfId="12438"/>
    <cellStyle name="Percent 26 3 4 4" xfId="18590"/>
    <cellStyle name="Percent 26 3 5" xfId="7776"/>
    <cellStyle name="Percent 26 3 5 2" xfId="13970"/>
    <cellStyle name="Percent 26 3 5 3" xfId="20122"/>
    <cellStyle name="Percent 26 3 6" xfId="10904"/>
    <cellStyle name="Percent 26 3 7" xfId="17056"/>
    <cellStyle name="Percent 26 4" xfId="4323"/>
    <cellStyle name="Percent 26 4 2" xfId="4324"/>
    <cellStyle name="Percent 26 4 2 2" xfId="5371"/>
    <cellStyle name="Percent 26 4 2 2 2" xfId="6996"/>
    <cellStyle name="Percent 26 4 2 2 2 2" xfId="10082"/>
    <cellStyle name="Percent 26 4 2 2 2 2 2" xfId="16275"/>
    <cellStyle name="Percent 26 4 2 2 2 2 3" xfId="22427"/>
    <cellStyle name="Percent 26 4 2 2 2 3" xfId="13209"/>
    <cellStyle name="Percent 26 4 2 2 2 4" xfId="19361"/>
    <cellStyle name="Percent 26 4 2 2 3" xfId="8547"/>
    <cellStyle name="Percent 26 4 2 2 3 2" xfId="14741"/>
    <cellStyle name="Percent 26 4 2 2 3 3" xfId="20893"/>
    <cellStyle name="Percent 26 4 2 2 4" xfId="11675"/>
    <cellStyle name="Percent 26 4 2 2 5" xfId="17827"/>
    <cellStyle name="Percent 26 4 2 3" xfId="6217"/>
    <cellStyle name="Percent 26 4 2 3 2" xfId="9313"/>
    <cellStyle name="Percent 26 4 2 3 2 2" xfId="15506"/>
    <cellStyle name="Percent 26 4 2 3 2 3" xfId="21658"/>
    <cellStyle name="Percent 26 4 2 3 3" xfId="12440"/>
    <cellStyle name="Percent 26 4 2 3 4" xfId="18592"/>
    <cellStyle name="Percent 26 4 2 4" xfId="7778"/>
    <cellStyle name="Percent 26 4 2 4 2" xfId="13972"/>
    <cellStyle name="Percent 26 4 2 4 3" xfId="20124"/>
    <cellStyle name="Percent 26 4 2 5" xfId="10906"/>
    <cellStyle name="Percent 26 4 2 6" xfId="17058"/>
    <cellStyle name="Percent 26 5" xfId="4325"/>
    <cellStyle name="Percent 26 5 2" xfId="5372"/>
    <cellStyle name="Percent 26 5 2 2" xfId="6997"/>
    <cellStyle name="Percent 26 5 2 2 2" xfId="10083"/>
    <cellStyle name="Percent 26 5 2 2 2 2" xfId="16276"/>
    <cellStyle name="Percent 26 5 2 2 2 3" xfId="22428"/>
    <cellStyle name="Percent 26 5 2 2 3" xfId="13210"/>
    <cellStyle name="Percent 26 5 2 2 4" xfId="19362"/>
    <cellStyle name="Percent 26 5 2 3" xfId="8548"/>
    <cellStyle name="Percent 26 5 2 3 2" xfId="14742"/>
    <cellStyle name="Percent 26 5 2 3 3" xfId="20894"/>
    <cellStyle name="Percent 26 5 2 4" xfId="11676"/>
    <cellStyle name="Percent 26 5 2 5" xfId="17828"/>
    <cellStyle name="Percent 26 5 3" xfId="6218"/>
    <cellStyle name="Percent 26 5 3 2" xfId="9314"/>
    <cellStyle name="Percent 26 5 3 2 2" xfId="15507"/>
    <cellStyle name="Percent 26 5 3 2 3" xfId="21659"/>
    <cellStyle name="Percent 26 5 3 3" xfId="12441"/>
    <cellStyle name="Percent 26 5 3 4" xfId="18593"/>
    <cellStyle name="Percent 26 5 4" xfId="7779"/>
    <cellStyle name="Percent 26 5 4 2" xfId="13973"/>
    <cellStyle name="Percent 26 5 4 3" xfId="20125"/>
    <cellStyle name="Percent 26 5 5" xfId="10907"/>
    <cellStyle name="Percent 26 5 6" xfId="17059"/>
    <cellStyle name="Percent 27" xfId="4326"/>
    <cellStyle name="Percent 27 2" xfId="4327"/>
    <cellStyle name="Percent 27 2 2" xfId="4328"/>
    <cellStyle name="Percent 27 2 2 2" xfId="5374"/>
    <cellStyle name="Percent 27 2 2 2 2" xfId="6999"/>
    <cellStyle name="Percent 27 2 2 2 2 2" xfId="10085"/>
    <cellStyle name="Percent 27 2 2 2 2 2 2" xfId="16278"/>
    <cellStyle name="Percent 27 2 2 2 2 2 3" xfId="22430"/>
    <cellStyle name="Percent 27 2 2 2 2 3" xfId="13212"/>
    <cellStyle name="Percent 27 2 2 2 2 4" xfId="19364"/>
    <cellStyle name="Percent 27 2 2 2 3" xfId="8550"/>
    <cellStyle name="Percent 27 2 2 2 3 2" xfId="14744"/>
    <cellStyle name="Percent 27 2 2 2 3 3" xfId="20896"/>
    <cellStyle name="Percent 27 2 2 2 4" xfId="11678"/>
    <cellStyle name="Percent 27 2 2 2 5" xfId="17830"/>
    <cellStyle name="Percent 27 2 2 3" xfId="6221"/>
    <cellStyle name="Percent 27 2 2 3 2" xfId="9316"/>
    <cellStyle name="Percent 27 2 2 3 2 2" xfId="15509"/>
    <cellStyle name="Percent 27 2 2 3 2 3" xfId="21661"/>
    <cellStyle name="Percent 27 2 2 3 3" xfId="12443"/>
    <cellStyle name="Percent 27 2 2 3 4" xfId="18595"/>
    <cellStyle name="Percent 27 2 2 4" xfId="7781"/>
    <cellStyle name="Percent 27 2 2 4 2" xfId="13975"/>
    <cellStyle name="Percent 27 2 2 4 3" xfId="20127"/>
    <cellStyle name="Percent 27 2 2 5" xfId="10909"/>
    <cellStyle name="Percent 27 2 2 6" xfId="17061"/>
    <cellStyle name="Percent 27 2 3" xfId="5373"/>
    <cellStyle name="Percent 27 2 3 2" xfId="6998"/>
    <cellStyle name="Percent 27 2 3 2 2" xfId="10084"/>
    <cellStyle name="Percent 27 2 3 2 2 2" xfId="16277"/>
    <cellStyle name="Percent 27 2 3 2 2 3" xfId="22429"/>
    <cellStyle name="Percent 27 2 3 2 3" xfId="13211"/>
    <cellStyle name="Percent 27 2 3 2 4" xfId="19363"/>
    <cellStyle name="Percent 27 2 3 3" xfId="8549"/>
    <cellStyle name="Percent 27 2 3 3 2" xfId="14743"/>
    <cellStyle name="Percent 27 2 3 3 3" xfId="20895"/>
    <cellStyle name="Percent 27 2 3 4" xfId="11677"/>
    <cellStyle name="Percent 27 2 3 5" xfId="17829"/>
    <cellStyle name="Percent 27 2 4" xfId="6220"/>
    <cellStyle name="Percent 27 2 4 2" xfId="9315"/>
    <cellStyle name="Percent 27 2 4 2 2" xfId="15508"/>
    <cellStyle name="Percent 27 2 4 2 3" xfId="21660"/>
    <cellStyle name="Percent 27 2 4 3" xfId="12442"/>
    <cellStyle name="Percent 27 2 4 4" xfId="18594"/>
    <cellStyle name="Percent 27 2 5" xfId="7780"/>
    <cellStyle name="Percent 27 2 5 2" xfId="13974"/>
    <cellStyle name="Percent 27 2 5 3" xfId="20126"/>
    <cellStyle name="Percent 27 2 6" xfId="10908"/>
    <cellStyle name="Percent 27 2 7" xfId="17060"/>
    <cellStyle name="Percent 27 3" xfId="4329"/>
    <cellStyle name="Percent 27 3 2" xfId="4330"/>
    <cellStyle name="Percent 27 3 2 2" xfId="5376"/>
    <cellStyle name="Percent 27 3 2 2 2" xfId="7001"/>
    <cellStyle name="Percent 27 3 2 2 2 2" xfId="10087"/>
    <cellStyle name="Percent 27 3 2 2 2 2 2" xfId="16280"/>
    <cellStyle name="Percent 27 3 2 2 2 2 3" xfId="22432"/>
    <cellStyle name="Percent 27 3 2 2 2 3" xfId="13214"/>
    <cellStyle name="Percent 27 3 2 2 2 4" xfId="19366"/>
    <cellStyle name="Percent 27 3 2 2 3" xfId="8552"/>
    <cellStyle name="Percent 27 3 2 2 3 2" xfId="14746"/>
    <cellStyle name="Percent 27 3 2 2 3 3" xfId="20898"/>
    <cellStyle name="Percent 27 3 2 2 4" xfId="11680"/>
    <cellStyle name="Percent 27 3 2 2 5" xfId="17832"/>
    <cellStyle name="Percent 27 3 2 3" xfId="6223"/>
    <cellStyle name="Percent 27 3 2 3 2" xfId="9318"/>
    <cellStyle name="Percent 27 3 2 3 2 2" xfId="15511"/>
    <cellStyle name="Percent 27 3 2 3 2 3" xfId="21663"/>
    <cellStyle name="Percent 27 3 2 3 3" xfId="12445"/>
    <cellStyle name="Percent 27 3 2 3 4" xfId="18597"/>
    <cellStyle name="Percent 27 3 2 4" xfId="7783"/>
    <cellStyle name="Percent 27 3 2 4 2" xfId="13977"/>
    <cellStyle name="Percent 27 3 2 4 3" xfId="20129"/>
    <cellStyle name="Percent 27 3 2 5" xfId="10911"/>
    <cellStyle name="Percent 27 3 2 6" xfId="17063"/>
    <cellStyle name="Percent 27 3 3" xfId="5375"/>
    <cellStyle name="Percent 27 3 3 2" xfId="7000"/>
    <cellStyle name="Percent 27 3 3 2 2" xfId="10086"/>
    <cellStyle name="Percent 27 3 3 2 2 2" xfId="16279"/>
    <cellStyle name="Percent 27 3 3 2 2 3" xfId="22431"/>
    <cellStyle name="Percent 27 3 3 2 3" xfId="13213"/>
    <cellStyle name="Percent 27 3 3 2 4" xfId="19365"/>
    <cellStyle name="Percent 27 3 3 3" xfId="8551"/>
    <cellStyle name="Percent 27 3 3 3 2" xfId="14745"/>
    <cellStyle name="Percent 27 3 3 3 3" xfId="20897"/>
    <cellStyle name="Percent 27 3 3 4" xfId="11679"/>
    <cellStyle name="Percent 27 3 3 5" xfId="17831"/>
    <cellStyle name="Percent 27 3 4" xfId="6222"/>
    <cellStyle name="Percent 27 3 4 2" xfId="9317"/>
    <cellStyle name="Percent 27 3 4 2 2" xfId="15510"/>
    <cellStyle name="Percent 27 3 4 2 3" xfId="21662"/>
    <cellStyle name="Percent 27 3 4 3" xfId="12444"/>
    <cellStyle name="Percent 27 3 4 4" xfId="18596"/>
    <cellStyle name="Percent 27 3 5" xfId="7782"/>
    <cellStyle name="Percent 27 3 5 2" xfId="13976"/>
    <cellStyle name="Percent 27 3 5 3" xfId="20128"/>
    <cellStyle name="Percent 27 3 6" xfId="10910"/>
    <cellStyle name="Percent 27 3 7" xfId="17062"/>
    <cellStyle name="Percent 27 4" xfId="4331"/>
    <cellStyle name="Percent 27 4 2" xfId="4332"/>
    <cellStyle name="Percent 27 4 2 2" xfId="5377"/>
    <cellStyle name="Percent 27 4 2 2 2" xfId="7002"/>
    <cellStyle name="Percent 27 4 2 2 2 2" xfId="10088"/>
    <cellStyle name="Percent 27 4 2 2 2 2 2" xfId="16281"/>
    <cellStyle name="Percent 27 4 2 2 2 2 3" xfId="22433"/>
    <cellStyle name="Percent 27 4 2 2 2 3" xfId="13215"/>
    <cellStyle name="Percent 27 4 2 2 2 4" xfId="19367"/>
    <cellStyle name="Percent 27 4 2 2 3" xfId="8553"/>
    <cellStyle name="Percent 27 4 2 2 3 2" xfId="14747"/>
    <cellStyle name="Percent 27 4 2 2 3 3" xfId="20899"/>
    <cellStyle name="Percent 27 4 2 2 4" xfId="11681"/>
    <cellStyle name="Percent 27 4 2 2 5" xfId="17833"/>
    <cellStyle name="Percent 27 4 2 3" xfId="6225"/>
    <cellStyle name="Percent 27 4 2 3 2" xfId="9319"/>
    <cellStyle name="Percent 27 4 2 3 2 2" xfId="15512"/>
    <cellStyle name="Percent 27 4 2 3 2 3" xfId="21664"/>
    <cellStyle name="Percent 27 4 2 3 3" xfId="12446"/>
    <cellStyle name="Percent 27 4 2 3 4" xfId="18598"/>
    <cellStyle name="Percent 27 4 2 4" xfId="7784"/>
    <cellStyle name="Percent 27 4 2 4 2" xfId="13978"/>
    <cellStyle name="Percent 27 4 2 4 3" xfId="20130"/>
    <cellStyle name="Percent 27 4 2 5" xfId="10912"/>
    <cellStyle name="Percent 27 4 2 6" xfId="17064"/>
    <cellStyle name="Percent 27 5" xfId="4333"/>
    <cellStyle name="Percent 27 5 2" xfId="5378"/>
    <cellStyle name="Percent 27 5 2 2" xfId="7003"/>
    <cellStyle name="Percent 27 5 2 2 2" xfId="10089"/>
    <cellStyle name="Percent 27 5 2 2 2 2" xfId="16282"/>
    <cellStyle name="Percent 27 5 2 2 2 3" xfId="22434"/>
    <cellStyle name="Percent 27 5 2 2 3" xfId="13216"/>
    <cellStyle name="Percent 27 5 2 2 4" xfId="19368"/>
    <cellStyle name="Percent 27 5 2 3" xfId="8554"/>
    <cellStyle name="Percent 27 5 2 3 2" xfId="14748"/>
    <cellStyle name="Percent 27 5 2 3 3" xfId="20900"/>
    <cellStyle name="Percent 27 5 2 4" xfId="11682"/>
    <cellStyle name="Percent 27 5 2 5" xfId="17834"/>
    <cellStyle name="Percent 27 5 3" xfId="6226"/>
    <cellStyle name="Percent 27 5 3 2" xfId="9320"/>
    <cellStyle name="Percent 27 5 3 2 2" xfId="15513"/>
    <cellStyle name="Percent 27 5 3 2 3" xfId="21665"/>
    <cellStyle name="Percent 27 5 3 3" xfId="12447"/>
    <cellStyle name="Percent 27 5 3 4" xfId="18599"/>
    <cellStyle name="Percent 27 5 4" xfId="7785"/>
    <cellStyle name="Percent 27 5 4 2" xfId="13979"/>
    <cellStyle name="Percent 27 5 4 3" xfId="20131"/>
    <cellStyle name="Percent 27 5 5" xfId="10913"/>
    <cellStyle name="Percent 27 5 6" xfId="17065"/>
    <cellStyle name="Percent 28" xfId="4334"/>
    <cellStyle name="Percent 28 2" xfId="4335"/>
    <cellStyle name="Percent 28 2 2" xfId="4336"/>
    <cellStyle name="Percent 28 2 2 2" xfId="5380"/>
    <cellStyle name="Percent 28 2 2 2 2" xfId="7005"/>
    <cellStyle name="Percent 28 2 2 2 2 2" xfId="10091"/>
    <cellStyle name="Percent 28 2 2 2 2 2 2" xfId="16284"/>
    <cellStyle name="Percent 28 2 2 2 2 2 3" xfId="22436"/>
    <cellStyle name="Percent 28 2 2 2 2 3" xfId="13218"/>
    <cellStyle name="Percent 28 2 2 2 2 4" xfId="19370"/>
    <cellStyle name="Percent 28 2 2 2 3" xfId="8556"/>
    <cellStyle name="Percent 28 2 2 2 3 2" xfId="14750"/>
    <cellStyle name="Percent 28 2 2 2 3 3" xfId="20902"/>
    <cellStyle name="Percent 28 2 2 2 4" xfId="11684"/>
    <cellStyle name="Percent 28 2 2 2 5" xfId="17836"/>
    <cellStyle name="Percent 28 2 2 3" xfId="6229"/>
    <cellStyle name="Percent 28 2 2 3 2" xfId="9322"/>
    <cellStyle name="Percent 28 2 2 3 2 2" xfId="15515"/>
    <cellStyle name="Percent 28 2 2 3 2 3" xfId="21667"/>
    <cellStyle name="Percent 28 2 2 3 3" xfId="12449"/>
    <cellStyle name="Percent 28 2 2 3 4" xfId="18601"/>
    <cellStyle name="Percent 28 2 2 4" xfId="7787"/>
    <cellStyle name="Percent 28 2 2 4 2" xfId="13981"/>
    <cellStyle name="Percent 28 2 2 4 3" xfId="20133"/>
    <cellStyle name="Percent 28 2 2 5" xfId="10915"/>
    <cellStyle name="Percent 28 2 2 6" xfId="17067"/>
    <cellStyle name="Percent 28 2 3" xfId="5379"/>
    <cellStyle name="Percent 28 2 3 2" xfId="7004"/>
    <cellStyle name="Percent 28 2 3 2 2" xfId="10090"/>
    <cellStyle name="Percent 28 2 3 2 2 2" xfId="16283"/>
    <cellStyle name="Percent 28 2 3 2 2 3" xfId="22435"/>
    <cellStyle name="Percent 28 2 3 2 3" xfId="13217"/>
    <cellStyle name="Percent 28 2 3 2 4" xfId="19369"/>
    <cellStyle name="Percent 28 2 3 3" xfId="8555"/>
    <cellStyle name="Percent 28 2 3 3 2" xfId="14749"/>
    <cellStyle name="Percent 28 2 3 3 3" xfId="20901"/>
    <cellStyle name="Percent 28 2 3 4" xfId="11683"/>
    <cellStyle name="Percent 28 2 3 5" xfId="17835"/>
    <cellStyle name="Percent 28 2 4" xfId="6228"/>
    <cellStyle name="Percent 28 2 4 2" xfId="9321"/>
    <cellStyle name="Percent 28 2 4 2 2" xfId="15514"/>
    <cellStyle name="Percent 28 2 4 2 3" xfId="21666"/>
    <cellStyle name="Percent 28 2 4 3" xfId="12448"/>
    <cellStyle name="Percent 28 2 4 4" xfId="18600"/>
    <cellStyle name="Percent 28 2 5" xfId="7786"/>
    <cellStyle name="Percent 28 2 5 2" xfId="13980"/>
    <cellStyle name="Percent 28 2 5 3" xfId="20132"/>
    <cellStyle name="Percent 28 2 6" xfId="10914"/>
    <cellStyle name="Percent 28 2 7" xfId="17066"/>
    <cellStyle name="Percent 28 3" xfId="4337"/>
    <cellStyle name="Percent 28 3 2" xfId="4338"/>
    <cellStyle name="Percent 28 3 2 2" xfId="5382"/>
    <cellStyle name="Percent 28 3 2 2 2" xfId="7007"/>
    <cellStyle name="Percent 28 3 2 2 2 2" xfId="10093"/>
    <cellStyle name="Percent 28 3 2 2 2 2 2" xfId="16286"/>
    <cellStyle name="Percent 28 3 2 2 2 2 3" xfId="22438"/>
    <cellStyle name="Percent 28 3 2 2 2 3" xfId="13220"/>
    <cellStyle name="Percent 28 3 2 2 2 4" xfId="19372"/>
    <cellStyle name="Percent 28 3 2 2 3" xfId="8558"/>
    <cellStyle name="Percent 28 3 2 2 3 2" xfId="14752"/>
    <cellStyle name="Percent 28 3 2 2 3 3" xfId="20904"/>
    <cellStyle name="Percent 28 3 2 2 4" xfId="11686"/>
    <cellStyle name="Percent 28 3 2 2 5" xfId="17838"/>
    <cellStyle name="Percent 28 3 2 3" xfId="6231"/>
    <cellStyle name="Percent 28 3 2 3 2" xfId="9324"/>
    <cellStyle name="Percent 28 3 2 3 2 2" xfId="15517"/>
    <cellStyle name="Percent 28 3 2 3 2 3" xfId="21669"/>
    <cellStyle name="Percent 28 3 2 3 3" xfId="12451"/>
    <cellStyle name="Percent 28 3 2 3 4" xfId="18603"/>
    <cellStyle name="Percent 28 3 2 4" xfId="7789"/>
    <cellStyle name="Percent 28 3 2 4 2" xfId="13983"/>
    <cellStyle name="Percent 28 3 2 4 3" xfId="20135"/>
    <cellStyle name="Percent 28 3 2 5" xfId="10917"/>
    <cellStyle name="Percent 28 3 2 6" xfId="17069"/>
    <cellStyle name="Percent 28 3 3" xfId="5381"/>
    <cellStyle name="Percent 28 3 3 2" xfId="7006"/>
    <cellStyle name="Percent 28 3 3 2 2" xfId="10092"/>
    <cellStyle name="Percent 28 3 3 2 2 2" xfId="16285"/>
    <cellStyle name="Percent 28 3 3 2 2 3" xfId="22437"/>
    <cellStyle name="Percent 28 3 3 2 3" xfId="13219"/>
    <cellStyle name="Percent 28 3 3 2 4" xfId="19371"/>
    <cellStyle name="Percent 28 3 3 3" xfId="8557"/>
    <cellStyle name="Percent 28 3 3 3 2" xfId="14751"/>
    <cellStyle name="Percent 28 3 3 3 3" xfId="20903"/>
    <cellStyle name="Percent 28 3 3 4" xfId="11685"/>
    <cellStyle name="Percent 28 3 3 5" xfId="17837"/>
    <cellStyle name="Percent 28 3 4" xfId="6230"/>
    <cellStyle name="Percent 28 3 4 2" xfId="9323"/>
    <cellStyle name="Percent 28 3 4 2 2" xfId="15516"/>
    <cellStyle name="Percent 28 3 4 2 3" xfId="21668"/>
    <cellStyle name="Percent 28 3 4 3" xfId="12450"/>
    <cellStyle name="Percent 28 3 4 4" xfId="18602"/>
    <cellStyle name="Percent 28 3 5" xfId="7788"/>
    <cellStyle name="Percent 28 3 5 2" xfId="13982"/>
    <cellStyle name="Percent 28 3 5 3" xfId="20134"/>
    <cellStyle name="Percent 28 3 6" xfId="10916"/>
    <cellStyle name="Percent 28 3 7" xfId="17068"/>
    <cellStyle name="Percent 28 4" xfId="4339"/>
    <cellStyle name="Percent 28 4 2" xfId="4340"/>
    <cellStyle name="Percent 28 4 2 2" xfId="5383"/>
    <cellStyle name="Percent 28 4 2 2 2" xfId="7008"/>
    <cellStyle name="Percent 28 4 2 2 2 2" xfId="10094"/>
    <cellStyle name="Percent 28 4 2 2 2 2 2" xfId="16287"/>
    <cellStyle name="Percent 28 4 2 2 2 2 3" xfId="22439"/>
    <cellStyle name="Percent 28 4 2 2 2 3" xfId="13221"/>
    <cellStyle name="Percent 28 4 2 2 2 4" xfId="19373"/>
    <cellStyle name="Percent 28 4 2 2 3" xfId="8559"/>
    <cellStyle name="Percent 28 4 2 2 3 2" xfId="14753"/>
    <cellStyle name="Percent 28 4 2 2 3 3" xfId="20905"/>
    <cellStyle name="Percent 28 4 2 2 4" xfId="11687"/>
    <cellStyle name="Percent 28 4 2 2 5" xfId="17839"/>
    <cellStyle name="Percent 28 4 2 3" xfId="6232"/>
    <cellStyle name="Percent 28 4 2 3 2" xfId="9325"/>
    <cellStyle name="Percent 28 4 2 3 2 2" xfId="15518"/>
    <cellStyle name="Percent 28 4 2 3 2 3" xfId="21670"/>
    <cellStyle name="Percent 28 4 2 3 3" xfId="12452"/>
    <cellStyle name="Percent 28 4 2 3 4" xfId="18604"/>
    <cellStyle name="Percent 28 4 2 4" xfId="7790"/>
    <cellStyle name="Percent 28 4 2 4 2" xfId="13984"/>
    <cellStyle name="Percent 28 4 2 4 3" xfId="20136"/>
    <cellStyle name="Percent 28 4 2 5" xfId="10918"/>
    <cellStyle name="Percent 28 4 2 6" xfId="17070"/>
    <cellStyle name="Percent 28 5" xfId="4341"/>
    <cellStyle name="Percent 28 5 2" xfId="5384"/>
    <cellStyle name="Percent 28 5 2 2" xfId="7009"/>
    <cellStyle name="Percent 28 5 2 2 2" xfId="10095"/>
    <cellStyle name="Percent 28 5 2 2 2 2" xfId="16288"/>
    <cellStyle name="Percent 28 5 2 2 2 3" xfId="22440"/>
    <cellStyle name="Percent 28 5 2 2 3" xfId="13222"/>
    <cellStyle name="Percent 28 5 2 2 4" xfId="19374"/>
    <cellStyle name="Percent 28 5 2 3" xfId="8560"/>
    <cellStyle name="Percent 28 5 2 3 2" xfId="14754"/>
    <cellStyle name="Percent 28 5 2 3 3" xfId="20906"/>
    <cellStyle name="Percent 28 5 2 4" xfId="11688"/>
    <cellStyle name="Percent 28 5 2 5" xfId="17840"/>
    <cellStyle name="Percent 28 5 3" xfId="6233"/>
    <cellStyle name="Percent 28 5 3 2" xfId="9326"/>
    <cellStyle name="Percent 28 5 3 2 2" xfId="15519"/>
    <cellStyle name="Percent 28 5 3 2 3" xfId="21671"/>
    <cellStyle name="Percent 28 5 3 3" xfId="12453"/>
    <cellStyle name="Percent 28 5 3 4" xfId="18605"/>
    <cellStyle name="Percent 28 5 4" xfId="7791"/>
    <cellStyle name="Percent 28 5 4 2" xfId="13985"/>
    <cellStyle name="Percent 28 5 4 3" xfId="20137"/>
    <cellStyle name="Percent 28 5 5" xfId="10919"/>
    <cellStyle name="Percent 28 5 6" xfId="17071"/>
    <cellStyle name="Percent 29" xfId="4342"/>
    <cellStyle name="Percent 29 2" xfId="4343"/>
    <cellStyle name="Percent 29 2 2" xfId="4344"/>
    <cellStyle name="Percent 29 2 2 2" xfId="5386"/>
    <cellStyle name="Percent 29 2 2 2 2" xfId="7011"/>
    <cellStyle name="Percent 29 2 2 2 2 2" xfId="10097"/>
    <cellStyle name="Percent 29 2 2 2 2 2 2" xfId="16290"/>
    <cellStyle name="Percent 29 2 2 2 2 2 3" xfId="22442"/>
    <cellStyle name="Percent 29 2 2 2 2 3" xfId="13224"/>
    <cellStyle name="Percent 29 2 2 2 2 4" xfId="19376"/>
    <cellStyle name="Percent 29 2 2 2 3" xfId="8562"/>
    <cellStyle name="Percent 29 2 2 2 3 2" xfId="14756"/>
    <cellStyle name="Percent 29 2 2 2 3 3" xfId="20908"/>
    <cellStyle name="Percent 29 2 2 2 4" xfId="11690"/>
    <cellStyle name="Percent 29 2 2 2 5" xfId="17842"/>
    <cellStyle name="Percent 29 2 2 3" xfId="6236"/>
    <cellStyle name="Percent 29 2 2 3 2" xfId="9328"/>
    <cellStyle name="Percent 29 2 2 3 2 2" xfId="15521"/>
    <cellStyle name="Percent 29 2 2 3 2 3" xfId="21673"/>
    <cellStyle name="Percent 29 2 2 3 3" xfId="12455"/>
    <cellStyle name="Percent 29 2 2 3 4" xfId="18607"/>
    <cellStyle name="Percent 29 2 2 4" xfId="7793"/>
    <cellStyle name="Percent 29 2 2 4 2" xfId="13987"/>
    <cellStyle name="Percent 29 2 2 4 3" xfId="20139"/>
    <cellStyle name="Percent 29 2 2 5" xfId="10921"/>
    <cellStyle name="Percent 29 2 2 6" xfId="17073"/>
    <cellStyle name="Percent 29 2 3" xfId="5385"/>
    <cellStyle name="Percent 29 2 3 2" xfId="7010"/>
    <cellStyle name="Percent 29 2 3 2 2" xfId="10096"/>
    <cellStyle name="Percent 29 2 3 2 2 2" xfId="16289"/>
    <cellStyle name="Percent 29 2 3 2 2 3" xfId="22441"/>
    <cellStyle name="Percent 29 2 3 2 3" xfId="13223"/>
    <cellStyle name="Percent 29 2 3 2 4" xfId="19375"/>
    <cellStyle name="Percent 29 2 3 3" xfId="8561"/>
    <cellStyle name="Percent 29 2 3 3 2" xfId="14755"/>
    <cellStyle name="Percent 29 2 3 3 3" xfId="20907"/>
    <cellStyle name="Percent 29 2 3 4" xfId="11689"/>
    <cellStyle name="Percent 29 2 3 5" xfId="17841"/>
    <cellStyle name="Percent 29 2 4" xfId="6235"/>
    <cellStyle name="Percent 29 2 4 2" xfId="9327"/>
    <cellStyle name="Percent 29 2 4 2 2" xfId="15520"/>
    <cellStyle name="Percent 29 2 4 2 3" xfId="21672"/>
    <cellStyle name="Percent 29 2 4 3" xfId="12454"/>
    <cellStyle name="Percent 29 2 4 4" xfId="18606"/>
    <cellStyle name="Percent 29 2 5" xfId="7792"/>
    <cellStyle name="Percent 29 2 5 2" xfId="13986"/>
    <cellStyle name="Percent 29 2 5 3" xfId="20138"/>
    <cellStyle name="Percent 29 2 6" xfId="10920"/>
    <cellStyle name="Percent 29 2 7" xfId="17072"/>
    <cellStyle name="Percent 29 3" xfId="4345"/>
    <cellStyle name="Percent 29 3 2" xfId="4346"/>
    <cellStyle name="Percent 29 3 2 2" xfId="5388"/>
    <cellStyle name="Percent 29 3 2 2 2" xfId="7013"/>
    <cellStyle name="Percent 29 3 2 2 2 2" xfId="10099"/>
    <cellStyle name="Percent 29 3 2 2 2 2 2" xfId="16292"/>
    <cellStyle name="Percent 29 3 2 2 2 2 3" xfId="22444"/>
    <cellStyle name="Percent 29 3 2 2 2 3" xfId="13226"/>
    <cellStyle name="Percent 29 3 2 2 2 4" xfId="19378"/>
    <cellStyle name="Percent 29 3 2 2 3" xfId="8564"/>
    <cellStyle name="Percent 29 3 2 2 3 2" xfId="14758"/>
    <cellStyle name="Percent 29 3 2 2 3 3" xfId="20910"/>
    <cellStyle name="Percent 29 3 2 2 4" xfId="11692"/>
    <cellStyle name="Percent 29 3 2 2 5" xfId="17844"/>
    <cellStyle name="Percent 29 3 2 3" xfId="6238"/>
    <cellStyle name="Percent 29 3 2 3 2" xfId="9330"/>
    <cellStyle name="Percent 29 3 2 3 2 2" xfId="15523"/>
    <cellStyle name="Percent 29 3 2 3 2 3" xfId="21675"/>
    <cellStyle name="Percent 29 3 2 3 3" xfId="12457"/>
    <cellStyle name="Percent 29 3 2 3 4" xfId="18609"/>
    <cellStyle name="Percent 29 3 2 4" xfId="7795"/>
    <cellStyle name="Percent 29 3 2 4 2" xfId="13989"/>
    <cellStyle name="Percent 29 3 2 4 3" xfId="20141"/>
    <cellStyle name="Percent 29 3 2 5" xfId="10923"/>
    <cellStyle name="Percent 29 3 2 6" xfId="17075"/>
    <cellStyle name="Percent 29 3 3" xfId="5387"/>
    <cellStyle name="Percent 29 3 3 2" xfId="7012"/>
    <cellStyle name="Percent 29 3 3 2 2" xfId="10098"/>
    <cellStyle name="Percent 29 3 3 2 2 2" xfId="16291"/>
    <cellStyle name="Percent 29 3 3 2 2 3" xfId="22443"/>
    <cellStyle name="Percent 29 3 3 2 3" xfId="13225"/>
    <cellStyle name="Percent 29 3 3 2 4" xfId="19377"/>
    <cellStyle name="Percent 29 3 3 3" xfId="8563"/>
    <cellStyle name="Percent 29 3 3 3 2" xfId="14757"/>
    <cellStyle name="Percent 29 3 3 3 3" xfId="20909"/>
    <cellStyle name="Percent 29 3 3 4" xfId="11691"/>
    <cellStyle name="Percent 29 3 3 5" xfId="17843"/>
    <cellStyle name="Percent 29 3 4" xfId="6237"/>
    <cellStyle name="Percent 29 3 4 2" xfId="9329"/>
    <cellStyle name="Percent 29 3 4 2 2" xfId="15522"/>
    <cellStyle name="Percent 29 3 4 2 3" xfId="21674"/>
    <cellStyle name="Percent 29 3 4 3" xfId="12456"/>
    <cellStyle name="Percent 29 3 4 4" xfId="18608"/>
    <cellStyle name="Percent 29 3 5" xfId="7794"/>
    <cellStyle name="Percent 29 3 5 2" xfId="13988"/>
    <cellStyle name="Percent 29 3 5 3" xfId="20140"/>
    <cellStyle name="Percent 29 3 6" xfId="10922"/>
    <cellStyle name="Percent 29 3 7" xfId="17074"/>
    <cellStyle name="Percent 29 4" xfId="4347"/>
    <cellStyle name="Percent 29 4 2" xfId="4348"/>
    <cellStyle name="Percent 29 4 2 2" xfId="5389"/>
    <cellStyle name="Percent 29 4 2 2 2" xfId="7014"/>
    <cellStyle name="Percent 29 4 2 2 2 2" xfId="10100"/>
    <cellStyle name="Percent 29 4 2 2 2 2 2" xfId="16293"/>
    <cellStyle name="Percent 29 4 2 2 2 2 3" xfId="22445"/>
    <cellStyle name="Percent 29 4 2 2 2 3" xfId="13227"/>
    <cellStyle name="Percent 29 4 2 2 2 4" xfId="19379"/>
    <cellStyle name="Percent 29 4 2 2 3" xfId="8565"/>
    <cellStyle name="Percent 29 4 2 2 3 2" xfId="14759"/>
    <cellStyle name="Percent 29 4 2 2 3 3" xfId="20911"/>
    <cellStyle name="Percent 29 4 2 2 4" xfId="11693"/>
    <cellStyle name="Percent 29 4 2 2 5" xfId="17845"/>
    <cellStyle name="Percent 29 4 2 3" xfId="6239"/>
    <cellStyle name="Percent 29 4 2 3 2" xfId="9331"/>
    <cellStyle name="Percent 29 4 2 3 2 2" xfId="15524"/>
    <cellStyle name="Percent 29 4 2 3 2 3" xfId="21676"/>
    <cellStyle name="Percent 29 4 2 3 3" xfId="12458"/>
    <cellStyle name="Percent 29 4 2 3 4" xfId="18610"/>
    <cellStyle name="Percent 29 4 2 4" xfId="7796"/>
    <cellStyle name="Percent 29 4 2 4 2" xfId="13990"/>
    <cellStyle name="Percent 29 4 2 4 3" xfId="20142"/>
    <cellStyle name="Percent 29 4 2 5" xfId="10924"/>
    <cellStyle name="Percent 29 4 2 6" xfId="17076"/>
    <cellStyle name="Percent 29 5" xfId="4349"/>
    <cellStyle name="Percent 29 5 2" xfId="5390"/>
    <cellStyle name="Percent 29 5 2 2" xfId="7015"/>
    <cellStyle name="Percent 29 5 2 2 2" xfId="10101"/>
    <cellStyle name="Percent 29 5 2 2 2 2" xfId="16294"/>
    <cellStyle name="Percent 29 5 2 2 2 3" xfId="22446"/>
    <cellStyle name="Percent 29 5 2 2 3" xfId="13228"/>
    <cellStyle name="Percent 29 5 2 2 4" xfId="19380"/>
    <cellStyle name="Percent 29 5 2 3" xfId="8566"/>
    <cellStyle name="Percent 29 5 2 3 2" xfId="14760"/>
    <cellStyle name="Percent 29 5 2 3 3" xfId="20912"/>
    <cellStyle name="Percent 29 5 2 4" xfId="11694"/>
    <cellStyle name="Percent 29 5 2 5" xfId="17846"/>
    <cellStyle name="Percent 29 5 3" xfId="6240"/>
    <cellStyle name="Percent 29 5 3 2" xfId="9332"/>
    <cellStyle name="Percent 29 5 3 2 2" xfId="15525"/>
    <cellStyle name="Percent 29 5 3 2 3" xfId="21677"/>
    <cellStyle name="Percent 29 5 3 3" xfId="12459"/>
    <cellStyle name="Percent 29 5 3 4" xfId="18611"/>
    <cellStyle name="Percent 29 5 4" xfId="7797"/>
    <cellStyle name="Percent 29 5 4 2" xfId="13991"/>
    <cellStyle name="Percent 29 5 4 3" xfId="20143"/>
    <cellStyle name="Percent 29 5 5" xfId="10925"/>
    <cellStyle name="Percent 29 5 6" xfId="17077"/>
    <cellStyle name="Percent 3" xfId="45"/>
    <cellStyle name="Percent 3 10" xfId="343"/>
    <cellStyle name="Percent 3 10 2" xfId="5391"/>
    <cellStyle name="Percent 3 10 2 2" xfId="7016"/>
    <cellStyle name="Percent 3 10 2 2 2" xfId="10102"/>
    <cellStyle name="Percent 3 10 2 2 2 2" xfId="16295"/>
    <cellStyle name="Percent 3 10 2 2 2 3" xfId="22447"/>
    <cellStyle name="Percent 3 10 2 2 3" xfId="13229"/>
    <cellStyle name="Percent 3 10 2 2 4" xfId="19381"/>
    <cellStyle name="Percent 3 10 2 3" xfId="8567"/>
    <cellStyle name="Percent 3 10 2 3 2" xfId="14761"/>
    <cellStyle name="Percent 3 10 2 3 3" xfId="20913"/>
    <cellStyle name="Percent 3 10 2 4" xfId="11695"/>
    <cellStyle name="Percent 3 10 2 5" xfId="17847"/>
    <cellStyle name="Percent 3 10 3" xfId="6241"/>
    <cellStyle name="Percent 3 10 3 2" xfId="9333"/>
    <cellStyle name="Percent 3 10 3 2 2" xfId="15526"/>
    <cellStyle name="Percent 3 10 3 2 3" xfId="21678"/>
    <cellStyle name="Percent 3 10 3 3" xfId="12460"/>
    <cellStyle name="Percent 3 10 3 4" xfId="18612"/>
    <cellStyle name="Percent 3 10 4" xfId="7798"/>
    <cellStyle name="Percent 3 10 4 2" xfId="13992"/>
    <cellStyle name="Percent 3 10 4 3" xfId="20144"/>
    <cellStyle name="Percent 3 10 5" xfId="10926"/>
    <cellStyle name="Percent 3 10 6" xfId="17078"/>
    <cellStyle name="Percent 3 10 7" xfId="4350"/>
    <cellStyle name="Percent 3 11" xfId="363"/>
    <cellStyle name="Percent 3 11 2" xfId="5392"/>
    <cellStyle name="Percent 3 11 2 2" xfId="7017"/>
    <cellStyle name="Percent 3 11 2 2 2" xfId="10103"/>
    <cellStyle name="Percent 3 11 2 2 2 2" xfId="16296"/>
    <cellStyle name="Percent 3 11 2 2 2 3" xfId="22448"/>
    <cellStyle name="Percent 3 11 2 2 3" xfId="13230"/>
    <cellStyle name="Percent 3 11 2 2 4" xfId="19382"/>
    <cellStyle name="Percent 3 11 2 3" xfId="8568"/>
    <cellStyle name="Percent 3 11 2 3 2" xfId="14762"/>
    <cellStyle name="Percent 3 11 2 3 3" xfId="20914"/>
    <cellStyle name="Percent 3 11 2 4" xfId="11696"/>
    <cellStyle name="Percent 3 11 2 5" xfId="17848"/>
    <cellStyle name="Percent 3 11 3" xfId="6242"/>
    <cellStyle name="Percent 3 11 3 2" xfId="9334"/>
    <cellStyle name="Percent 3 11 3 2 2" xfId="15527"/>
    <cellStyle name="Percent 3 11 3 2 3" xfId="21679"/>
    <cellStyle name="Percent 3 11 3 3" xfId="12461"/>
    <cellStyle name="Percent 3 11 3 4" xfId="18613"/>
    <cellStyle name="Percent 3 11 4" xfId="7799"/>
    <cellStyle name="Percent 3 11 4 2" xfId="13993"/>
    <cellStyle name="Percent 3 11 4 3" xfId="20145"/>
    <cellStyle name="Percent 3 11 5" xfId="10927"/>
    <cellStyle name="Percent 3 11 6" xfId="17079"/>
    <cellStyle name="Percent 3 11 7" xfId="4351"/>
    <cellStyle name="Percent 3 12" xfId="378"/>
    <cellStyle name="Percent 3 12 2" xfId="5393"/>
    <cellStyle name="Percent 3 12 2 2" xfId="7018"/>
    <cellStyle name="Percent 3 12 2 2 2" xfId="10104"/>
    <cellStyle name="Percent 3 12 2 2 2 2" xfId="16297"/>
    <cellStyle name="Percent 3 12 2 2 2 3" xfId="22449"/>
    <cellStyle name="Percent 3 12 2 2 3" xfId="13231"/>
    <cellStyle name="Percent 3 12 2 2 4" xfId="19383"/>
    <cellStyle name="Percent 3 12 2 3" xfId="8569"/>
    <cellStyle name="Percent 3 12 2 3 2" xfId="14763"/>
    <cellStyle name="Percent 3 12 2 3 3" xfId="20915"/>
    <cellStyle name="Percent 3 12 2 4" xfId="11697"/>
    <cellStyle name="Percent 3 12 2 5" xfId="17849"/>
    <cellStyle name="Percent 3 12 3" xfId="6243"/>
    <cellStyle name="Percent 3 12 3 2" xfId="9335"/>
    <cellStyle name="Percent 3 12 3 2 2" xfId="15528"/>
    <cellStyle name="Percent 3 12 3 2 3" xfId="21680"/>
    <cellStyle name="Percent 3 12 3 3" xfId="12462"/>
    <cellStyle name="Percent 3 12 3 4" xfId="18614"/>
    <cellStyle name="Percent 3 12 4" xfId="7800"/>
    <cellStyle name="Percent 3 12 4 2" xfId="13994"/>
    <cellStyle name="Percent 3 12 4 3" xfId="20146"/>
    <cellStyle name="Percent 3 12 5" xfId="10928"/>
    <cellStyle name="Percent 3 12 6" xfId="17080"/>
    <cellStyle name="Percent 3 12 7" xfId="4352"/>
    <cellStyle name="Percent 3 13" xfId="394"/>
    <cellStyle name="Percent 3 13 2" xfId="5394"/>
    <cellStyle name="Percent 3 13 2 2" xfId="7019"/>
    <cellStyle name="Percent 3 13 2 2 2" xfId="10105"/>
    <cellStyle name="Percent 3 13 2 2 2 2" xfId="16298"/>
    <cellStyle name="Percent 3 13 2 2 2 3" xfId="22450"/>
    <cellStyle name="Percent 3 13 2 2 3" xfId="13232"/>
    <cellStyle name="Percent 3 13 2 2 4" xfId="19384"/>
    <cellStyle name="Percent 3 13 2 3" xfId="8570"/>
    <cellStyle name="Percent 3 13 2 3 2" xfId="14764"/>
    <cellStyle name="Percent 3 13 2 3 3" xfId="20916"/>
    <cellStyle name="Percent 3 13 2 4" xfId="11698"/>
    <cellStyle name="Percent 3 13 2 5" xfId="17850"/>
    <cellStyle name="Percent 3 13 3" xfId="6244"/>
    <cellStyle name="Percent 3 13 3 2" xfId="9336"/>
    <cellStyle name="Percent 3 13 3 2 2" xfId="15529"/>
    <cellStyle name="Percent 3 13 3 2 3" xfId="21681"/>
    <cellStyle name="Percent 3 13 3 3" xfId="12463"/>
    <cellStyle name="Percent 3 13 3 4" xfId="18615"/>
    <cellStyle name="Percent 3 13 4" xfId="7801"/>
    <cellStyle name="Percent 3 13 4 2" xfId="13995"/>
    <cellStyle name="Percent 3 13 4 3" xfId="20147"/>
    <cellStyle name="Percent 3 13 5" xfId="10929"/>
    <cellStyle name="Percent 3 13 6" xfId="17081"/>
    <cellStyle name="Percent 3 13 7" xfId="4353"/>
    <cellStyle name="Percent 3 14" xfId="407"/>
    <cellStyle name="Percent 3 14 2" xfId="5395"/>
    <cellStyle name="Percent 3 14 2 2" xfId="7020"/>
    <cellStyle name="Percent 3 14 2 2 2" xfId="10106"/>
    <cellStyle name="Percent 3 14 2 2 2 2" xfId="16299"/>
    <cellStyle name="Percent 3 14 2 2 2 3" xfId="22451"/>
    <cellStyle name="Percent 3 14 2 2 3" xfId="13233"/>
    <cellStyle name="Percent 3 14 2 2 4" xfId="19385"/>
    <cellStyle name="Percent 3 14 2 3" xfId="8571"/>
    <cellStyle name="Percent 3 14 2 3 2" xfId="14765"/>
    <cellStyle name="Percent 3 14 2 3 3" xfId="20917"/>
    <cellStyle name="Percent 3 14 2 4" xfId="11699"/>
    <cellStyle name="Percent 3 14 2 5" xfId="17851"/>
    <cellStyle name="Percent 3 14 3" xfId="6245"/>
    <cellStyle name="Percent 3 14 3 2" xfId="9337"/>
    <cellStyle name="Percent 3 14 3 2 2" xfId="15530"/>
    <cellStyle name="Percent 3 14 3 2 3" xfId="21682"/>
    <cellStyle name="Percent 3 14 3 3" xfId="12464"/>
    <cellStyle name="Percent 3 14 3 4" xfId="18616"/>
    <cellStyle name="Percent 3 14 4" xfId="7802"/>
    <cellStyle name="Percent 3 14 4 2" xfId="13996"/>
    <cellStyle name="Percent 3 14 4 3" xfId="20148"/>
    <cellStyle name="Percent 3 14 5" xfId="10930"/>
    <cellStyle name="Percent 3 14 6" xfId="17082"/>
    <cellStyle name="Percent 3 14 7" xfId="4354"/>
    <cellStyle name="Percent 3 15" xfId="385"/>
    <cellStyle name="Percent 3 15 2" xfId="5396"/>
    <cellStyle name="Percent 3 15 2 2" xfId="7021"/>
    <cellStyle name="Percent 3 15 2 2 2" xfId="10107"/>
    <cellStyle name="Percent 3 15 2 2 2 2" xfId="16300"/>
    <cellStyle name="Percent 3 15 2 2 2 3" xfId="22452"/>
    <cellStyle name="Percent 3 15 2 2 3" xfId="13234"/>
    <cellStyle name="Percent 3 15 2 2 4" xfId="19386"/>
    <cellStyle name="Percent 3 15 2 3" xfId="8572"/>
    <cellStyle name="Percent 3 15 2 3 2" xfId="14766"/>
    <cellStyle name="Percent 3 15 2 3 3" xfId="20918"/>
    <cellStyle name="Percent 3 15 2 4" xfId="11700"/>
    <cellStyle name="Percent 3 15 2 5" xfId="17852"/>
    <cellStyle name="Percent 3 15 3" xfId="6246"/>
    <cellStyle name="Percent 3 15 3 2" xfId="9338"/>
    <cellStyle name="Percent 3 15 3 2 2" xfId="15531"/>
    <cellStyle name="Percent 3 15 3 2 3" xfId="21683"/>
    <cellStyle name="Percent 3 15 3 3" xfId="12465"/>
    <cellStyle name="Percent 3 15 3 4" xfId="18617"/>
    <cellStyle name="Percent 3 15 4" xfId="7803"/>
    <cellStyle name="Percent 3 15 4 2" xfId="13997"/>
    <cellStyle name="Percent 3 15 4 3" xfId="20149"/>
    <cellStyle name="Percent 3 15 5" xfId="10931"/>
    <cellStyle name="Percent 3 15 6" xfId="17083"/>
    <cellStyle name="Percent 3 15 7" xfId="4355"/>
    <cellStyle name="Percent 3 16" xfId="455"/>
    <cellStyle name="Percent 3 16 2" xfId="5397"/>
    <cellStyle name="Percent 3 16 2 2" xfId="7022"/>
    <cellStyle name="Percent 3 16 2 2 2" xfId="10108"/>
    <cellStyle name="Percent 3 16 2 2 2 2" xfId="16301"/>
    <cellStyle name="Percent 3 16 2 2 2 3" xfId="22453"/>
    <cellStyle name="Percent 3 16 2 2 3" xfId="13235"/>
    <cellStyle name="Percent 3 16 2 2 4" xfId="19387"/>
    <cellStyle name="Percent 3 16 2 3" xfId="8573"/>
    <cellStyle name="Percent 3 16 2 3 2" xfId="14767"/>
    <cellStyle name="Percent 3 16 2 3 3" xfId="20919"/>
    <cellStyle name="Percent 3 16 2 4" xfId="11701"/>
    <cellStyle name="Percent 3 16 2 5" xfId="17853"/>
    <cellStyle name="Percent 3 16 3" xfId="6247"/>
    <cellStyle name="Percent 3 16 3 2" xfId="9339"/>
    <cellStyle name="Percent 3 16 3 2 2" xfId="15532"/>
    <cellStyle name="Percent 3 16 3 2 3" xfId="21684"/>
    <cellStyle name="Percent 3 16 3 3" xfId="12466"/>
    <cellStyle name="Percent 3 16 3 4" xfId="18618"/>
    <cellStyle name="Percent 3 16 4" xfId="7804"/>
    <cellStyle name="Percent 3 16 4 2" xfId="13998"/>
    <cellStyle name="Percent 3 16 4 3" xfId="20150"/>
    <cellStyle name="Percent 3 16 5" xfId="10932"/>
    <cellStyle name="Percent 3 16 6" xfId="17084"/>
    <cellStyle name="Percent 3 16 7" xfId="4356"/>
    <cellStyle name="Percent 3 17" xfId="468"/>
    <cellStyle name="Percent 3 17 2" xfId="5398"/>
    <cellStyle name="Percent 3 17 2 2" xfId="7023"/>
    <cellStyle name="Percent 3 17 2 2 2" xfId="10109"/>
    <cellStyle name="Percent 3 17 2 2 2 2" xfId="16302"/>
    <cellStyle name="Percent 3 17 2 2 2 3" xfId="22454"/>
    <cellStyle name="Percent 3 17 2 2 3" xfId="13236"/>
    <cellStyle name="Percent 3 17 2 2 4" xfId="19388"/>
    <cellStyle name="Percent 3 17 2 3" xfId="8574"/>
    <cellStyle name="Percent 3 17 2 3 2" xfId="14768"/>
    <cellStyle name="Percent 3 17 2 3 3" xfId="20920"/>
    <cellStyle name="Percent 3 17 2 4" xfId="11702"/>
    <cellStyle name="Percent 3 17 2 5" xfId="17854"/>
    <cellStyle name="Percent 3 17 3" xfId="6248"/>
    <cellStyle name="Percent 3 17 3 2" xfId="9340"/>
    <cellStyle name="Percent 3 17 3 2 2" xfId="15533"/>
    <cellStyle name="Percent 3 17 3 2 3" xfId="21685"/>
    <cellStyle name="Percent 3 17 3 3" xfId="12467"/>
    <cellStyle name="Percent 3 17 3 4" xfId="18619"/>
    <cellStyle name="Percent 3 17 4" xfId="7805"/>
    <cellStyle name="Percent 3 17 4 2" xfId="13999"/>
    <cellStyle name="Percent 3 17 4 3" xfId="20151"/>
    <cellStyle name="Percent 3 17 5" xfId="10933"/>
    <cellStyle name="Percent 3 17 6" xfId="17085"/>
    <cellStyle name="Percent 3 17 7" xfId="4357"/>
    <cellStyle name="Percent 3 18" xfId="501"/>
    <cellStyle name="Percent 3 18 2" xfId="5399"/>
    <cellStyle name="Percent 3 18 2 2" xfId="7024"/>
    <cellStyle name="Percent 3 18 2 2 2" xfId="10110"/>
    <cellStyle name="Percent 3 18 2 2 2 2" xfId="16303"/>
    <cellStyle name="Percent 3 18 2 2 2 3" xfId="22455"/>
    <cellStyle name="Percent 3 18 2 2 3" xfId="13237"/>
    <cellStyle name="Percent 3 18 2 2 4" xfId="19389"/>
    <cellStyle name="Percent 3 18 2 3" xfId="8575"/>
    <cellStyle name="Percent 3 18 2 3 2" xfId="14769"/>
    <cellStyle name="Percent 3 18 2 3 3" xfId="20921"/>
    <cellStyle name="Percent 3 18 2 4" xfId="11703"/>
    <cellStyle name="Percent 3 18 2 5" xfId="17855"/>
    <cellStyle name="Percent 3 18 3" xfId="6249"/>
    <cellStyle name="Percent 3 18 3 2" xfId="9341"/>
    <cellStyle name="Percent 3 18 3 2 2" xfId="15534"/>
    <cellStyle name="Percent 3 18 3 2 3" xfId="21686"/>
    <cellStyle name="Percent 3 18 3 3" xfId="12468"/>
    <cellStyle name="Percent 3 18 3 4" xfId="18620"/>
    <cellStyle name="Percent 3 18 4" xfId="7806"/>
    <cellStyle name="Percent 3 18 4 2" xfId="14000"/>
    <cellStyle name="Percent 3 18 4 3" xfId="20152"/>
    <cellStyle name="Percent 3 18 5" xfId="10934"/>
    <cellStyle name="Percent 3 18 6" xfId="17086"/>
    <cellStyle name="Percent 3 18 7" xfId="4358"/>
    <cellStyle name="Percent 3 19" xfId="517"/>
    <cellStyle name="Percent 3 19 2" xfId="5400"/>
    <cellStyle name="Percent 3 19 2 2" xfId="7025"/>
    <cellStyle name="Percent 3 19 2 2 2" xfId="10111"/>
    <cellStyle name="Percent 3 19 2 2 2 2" xfId="16304"/>
    <cellStyle name="Percent 3 19 2 2 2 3" xfId="22456"/>
    <cellStyle name="Percent 3 19 2 2 3" xfId="13238"/>
    <cellStyle name="Percent 3 19 2 2 4" xfId="19390"/>
    <cellStyle name="Percent 3 19 2 3" xfId="8576"/>
    <cellStyle name="Percent 3 19 2 3 2" xfId="14770"/>
    <cellStyle name="Percent 3 19 2 3 3" xfId="20922"/>
    <cellStyle name="Percent 3 19 2 4" xfId="11704"/>
    <cellStyle name="Percent 3 19 2 5" xfId="17856"/>
    <cellStyle name="Percent 3 19 3" xfId="6250"/>
    <cellStyle name="Percent 3 19 3 2" xfId="9342"/>
    <cellStyle name="Percent 3 19 3 2 2" xfId="15535"/>
    <cellStyle name="Percent 3 19 3 2 3" xfId="21687"/>
    <cellStyle name="Percent 3 19 3 3" xfId="12469"/>
    <cellStyle name="Percent 3 19 3 4" xfId="18621"/>
    <cellStyle name="Percent 3 19 4" xfId="7807"/>
    <cellStyle name="Percent 3 19 4 2" xfId="14001"/>
    <cellStyle name="Percent 3 19 4 3" xfId="20153"/>
    <cellStyle name="Percent 3 19 5" xfId="10935"/>
    <cellStyle name="Percent 3 19 6" xfId="17087"/>
    <cellStyle name="Percent 3 19 7" xfId="4359"/>
    <cellStyle name="Percent 3 2" xfId="61"/>
    <cellStyle name="Percent 3 2 10" xfId="4361"/>
    <cellStyle name="Percent 3 2 10 2" xfId="5402"/>
    <cellStyle name="Percent 3 2 10 2 2" xfId="7027"/>
    <cellStyle name="Percent 3 2 10 2 2 2" xfId="10113"/>
    <cellStyle name="Percent 3 2 10 2 2 2 2" xfId="16306"/>
    <cellStyle name="Percent 3 2 10 2 2 2 3" xfId="22458"/>
    <cellStyle name="Percent 3 2 10 2 2 3" xfId="13240"/>
    <cellStyle name="Percent 3 2 10 2 2 4" xfId="19392"/>
    <cellStyle name="Percent 3 2 10 2 3" xfId="8578"/>
    <cellStyle name="Percent 3 2 10 2 3 2" xfId="14772"/>
    <cellStyle name="Percent 3 2 10 2 3 3" xfId="20924"/>
    <cellStyle name="Percent 3 2 10 2 4" xfId="11706"/>
    <cellStyle name="Percent 3 2 10 2 5" xfId="17858"/>
    <cellStyle name="Percent 3 2 10 3" xfId="6252"/>
    <cellStyle name="Percent 3 2 10 3 2" xfId="9344"/>
    <cellStyle name="Percent 3 2 10 3 2 2" xfId="15537"/>
    <cellStyle name="Percent 3 2 10 3 2 3" xfId="21689"/>
    <cellStyle name="Percent 3 2 10 3 3" xfId="12471"/>
    <cellStyle name="Percent 3 2 10 3 4" xfId="18623"/>
    <cellStyle name="Percent 3 2 10 4" xfId="7809"/>
    <cellStyle name="Percent 3 2 10 4 2" xfId="14003"/>
    <cellStyle name="Percent 3 2 10 4 3" xfId="20155"/>
    <cellStyle name="Percent 3 2 10 5" xfId="10937"/>
    <cellStyle name="Percent 3 2 10 6" xfId="17089"/>
    <cellStyle name="Percent 3 2 11" xfId="4362"/>
    <cellStyle name="Percent 3 2 11 2" xfId="5403"/>
    <cellStyle name="Percent 3 2 11 2 2" xfId="7028"/>
    <cellStyle name="Percent 3 2 11 2 2 2" xfId="10114"/>
    <cellStyle name="Percent 3 2 11 2 2 2 2" xfId="16307"/>
    <cellStyle name="Percent 3 2 11 2 2 2 3" xfId="22459"/>
    <cellStyle name="Percent 3 2 11 2 2 3" xfId="13241"/>
    <cellStyle name="Percent 3 2 11 2 2 4" xfId="19393"/>
    <cellStyle name="Percent 3 2 11 2 3" xfId="8579"/>
    <cellStyle name="Percent 3 2 11 2 3 2" xfId="14773"/>
    <cellStyle name="Percent 3 2 11 2 3 3" xfId="20925"/>
    <cellStyle name="Percent 3 2 11 2 4" xfId="11707"/>
    <cellStyle name="Percent 3 2 11 2 5" xfId="17859"/>
    <cellStyle name="Percent 3 2 11 3" xfId="6253"/>
    <cellStyle name="Percent 3 2 11 3 2" xfId="9345"/>
    <cellStyle name="Percent 3 2 11 3 2 2" xfId="15538"/>
    <cellStyle name="Percent 3 2 11 3 2 3" xfId="21690"/>
    <cellStyle name="Percent 3 2 11 3 3" xfId="12472"/>
    <cellStyle name="Percent 3 2 11 3 4" xfId="18624"/>
    <cellStyle name="Percent 3 2 11 4" xfId="7810"/>
    <cellStyle name="Percent 3 2 11 4 2" xfId="14004"/>
    <cellStyle name="Percent 3 2 11 4 3" xfId="20156"/>
    <cellStyle name="Percent 3 2 11 5" xfId="10938"/>
    <cellStyle name="Percent 3 2 11 6" xfId="17090"/>
    <cellStyle name="Percent 3 2 12" xfId="4363"/>
    <cellStyle name="Percent 3 2 12 2" xfId="5404"/>
    <cellStyle name="Percent 3 2 12 2 2" xfId="7029"/>
    <cellStyle name="Percent 3 2 12 2 2 2" xfId="10115"/>
    <cellStyle name="Percent 3 2 12 2 2 2 2" xfId="16308"/>
    <cellStyle name="Percent 3 2 12 2 2 2 3" xfId="22460"/>
    <cellStyle name="Percent 3 2 12 2 2 3" xfId="13242"/>
    <cellStyle name="Percent 3 2 12 2 2 4" xfId="19394"/>
    <cellStyle name="Percent 3 2 12 2 3" xfId="8580"/>
    <cellStyle name="Percent 3 2 12 2 3 2" xfId="14774"/>
    <cellStyle name="Percent 3 2 12 2 3 3" xfId="20926"/>
    <cellStyle name="Percent 3 2 12 2 4" xfId="11708"/>
    <cellStyle name="Percent 3 2 12 2 5" xfId="17860"/>
    <cellStyle name="Percent 3 2 12 3" xfId="6254"/>
    <cellStyle name="Percent 3 2 12 3 2" xfId="9346"/>
    <cellStyle name="Percent 3 2 12 3 2 2" xfId="15539"/>
    <cellStyle name="Percent 3 2 12 3 2 3" xfId="21691"/>
    <cellStyle name="Percent 3 2 12 3 3" xfId="12473"/>
    <cellStyle name="Percent 3 2 12 3 4" xfId="18625"/>
    <cellStyle name="Percent 3 2 12 4" xfId="7811"/>
    <cellStyle name="Percent 3 2 12 4 2" xfId="14005"/>
    <cellStyle name="Percent 3 2 12 4 3" xfId="20157"/>
    <cellStyle name="Percent 3 2 12 5" xfId="10939"/>
    <cellStyle name="Percent 3 2 12 6" xfId="17091"/>
    <cellStyle name="Percent 3 2 13" xfId="4364"/>
    <cellStyle name="Percent 3 2 13 2" xfId="5405"/>
    <cellStyle name="Percent 3 2 13 2 2" xfId="7030"/>
    <cellStyle name="Percent 3 2 13 2 2 2" xfId="10116"/>
    <cellStyle name="Percent 3 2 13 2 2 2 2" xfId="16309"/>
    <cellStyle name="Percent 3 2 13 2 2 2 3" xfId="22461"/>
    <cellStyle name="Percent 3 2 13 2 2 3" xfId="13243"/>
    <cellStyle name="Percent 3 2 13 2 2 4" xfId="19395"/>
    <cellStyle name="Percent 3 2 13 2 3" xfId="8581"/>
    <cellStyle name="Percent 3 2 13 2 3 2" xfId="14775"/>
    <cellStyle name="Percent 3 2 13 2 3 3" xfId="20927"/>
    <cellStyle name="Percent 3 2 13 2 4" xfId="11709"/>
    <cellStyle name="Percent 3 2 13 2 5" xfId="17861"/>
    <cellStyle name="Percent 3 2 13 3" xfId="6255"/>
    <cellStyle name="Percent 3 2 13 3 2" xfId="9347"/>
    <cellStyle name="Percent 3 2 13 3 2 2" xfId="15540"/>
    <cellStyle name="Percent 3 2 13 3 2 3" xfId="21692"/>
    <cellStyle name="Percent 3 2 13 3 3" xfId="12474"/>
    <cellStyle name="Percent 3 2 13 3 4" xfId="18626"/>
    <cellStyle name="Percent 3 2 13 4" xfId="7812"/>
    <cellStyle name="Percent 3 2 13 4 2" xfId="14006"/>
    <cellStyle name="Percent 3 2 13 4 3" xfId="20158"/>
    <cellStyle name="Percent 3 2 13 5" xfId="10940"/>
    <cellStyle name="Percent 3 2 13 6" xfId="17092"/>
    <cellStyle name="Percent 3 2 14" xfId="4365"/>
    <cellStyle name="Percent 3 2 14 2" xfId="5406"/>
    <cellStyle name="Percent 3 2 14 2 2" xfId="7031"/>
    <cellStyle name="Percent 3 2 14 2 2 2" xfId="10117"/>
    <cellStyle name="Percent 3 2 14 2 2 2 2" xfId="16310"/>
    <cellStyle name="Percent 3 2 14 2 2 2 3" xfId="22462"/>
    <cellStyle name="Percent 3 2 14 2 2 3" xfId="13244"/>
    <cellStyle name="Percent 3 2 14 2 2 4" xfId="19396"/>
    <cellStyle name="Percent 3 2 14 2 3" xfId="8582"/>
    <cellStyle name="Percent 3 2 14 2 3 2" xfId="14776"/>
    <cellStyle name="Percent 3 2 14 2 3 3" xfId="20928"/>
    <cellStyle name="Percent 3 2 14 2 4" xfId="11710"/>
    <cellStyle name="Percent 3 2 14 2 5" xfId="17862"/>
    <cellStyle name="Percent 3 2 14 3" xfId="6256"/>
    <cellStyle name="Percent 3 2 14 3 2" xfId="9348"/>
    <cellStyle name="Percent 3 2 14 3 2 2" xfId="15541"/>
    <cellStyle name="Percent 3 2 14 3 2 3" xfId="21693"/>
    <cellStyle name="Percent 3 2 14 3 3" xfId="12475"/>
    <cellStyle name="Percent 3 2 14 3 4" xfId="18627"/>
    <cellStyle name="Percent 3 2 14 4" xfId="7813"/>
    <cellStyle name="Percent 3 2 14 4 2" xfId="14007"/>
    <cellStyle name="Percent 3 2 14 4 3" xfId="20159"/>
    <cellStyle name="Percent 3 2 14 5" xfId="10941"/>
    <cellStyle name="Percent 3 2 14 6" xfId="17093"/>
    <cellStyle name="Percent 3 2 15" xfId="4366"/>
    <cellStyle name="Percent 3 2 15 2" xfId="5407"/>
    <cellStyle name="Percent 3 2 15 2 2" xfId="7032"/>
    <cellStyle name="Percent 3 2 15 2 2 2" xfId="10118"/>
    <cellStyle name="Percent 3 2 15 2 2 2 2" xfId="16311"/>
    <cellStyle name="Percent 3 2 15 2 2 2 3" xfId="22463"/>
    <cellStyle name="Percent 3 2 15 2 2 3" xfId="13245"/>
    <cellStyle name="Percent 3 2 15 2 2 4" xfId="19397"/>
    <cellStyle name="Percent 3 2 15 2 3" xfId="8583"/>
    <cellStyle name="Percent 3 2 15 2 3 2" xfId="14777"/>
    <cellStyle name="Percent 3 2 15 2 3 3" xfId="20929"/>
    <cellStyle name="Percent 3 2 15 2 4" xfId="11711"/>
    <cellStyle name="Percent 3 2 15 2 5" xfId="17863"/>
    <cellStyle name="Percent 3 2 15 3" xfId="6257"/>
    <cellStyle name="Percent 3 2 15 3 2" xfId="9349"/>
    <cellStyle name="Percent 3 2 15 3 2 2" xfId="15542"/>
    <cellStyle name="Percent 3 2 15 3 2 3" xfId="21694"/>
    <cellStyle name="Percent 3 2 15 3 3" xfId="12476"/>
    <cellStyle name="Percent 3 2 15 3 4" xfId="18628"/>
    <cellStyle name="Percent 3 2 15 4" xfId="7814"/>
    <cellStyle name="Percent 3 2 15 4 2" xfId="14008"/>
    <cellStyle name="Percent 3 2 15 4 3" xfId="20160"/>
    <cellStyle name="Percent 3 2 15 5" xfId="10942"/>
    <cellStyle name="Percent 3 2 15 6" xfId="17094"/>
    <cellStyle name="Percent 3 2 16" xfId="4367"/>
    <cellStyle name="Percent 3 2 16 2" xfId="5408"/>
    <cellStyle name="Percent 3 2 16 2 2" xfId="7033"/>
    <cellStyle name="Percent 3 2 16 2 2 2" xfId="10119"/>
    <cellStyle name="Percent 3 2 16 2 2 2 2" xfId="16312"/>
    <cellStyle name="Percent 3 2 16 2 2 2 3" xfId="22464"/>
    <cellStyle name="Percent 3 2 16 2 2 3" xfId="13246"/>
    <cellStyle name="Percent 3 2 16 2 2 4" xfId="19398"/>
    <cellStyle name="Percent 3 2 16 2 3" xfId="8584"/>
    <cellStyle name="Percent 3 2 16 2 3 2" xfId="14778"/>
    <cellStyle name="Percent 3 2 16 2 3 3" xfId="20930"/>
    <cellStyle name="Percent 3 2 16 2 4" xfId="11712"/>
    <cellStyle name="Percent 3 2 16 2 5" xfId="17864"/>
    <cellStyle name="Percent 3 2 16 3" xfId="6258"/>
    <cellStyle name="Percent 3 2 16 3 2" xfId="9350"/>
    <cellStyle name="Percent 3 2 16 3 2 2" xfId="15543"/>
    <cellStyle name="Percent 3 2 16 3 2 3" xfId="21695"/>
    <cellStyle name="Percent 3 2 16 3 3" xfId="12477"/>
    <cellStyle name="Percent 3 2 16 3 4" xfId="18629"/>
    <cellStyle name="Percent 3 2 16 4" xfId="7815"/>
    <cellStyle name="Percent 3 2 16 4 2" xfId="14009"/>
    <cellStyle name="Percent 3 2 16 4 3" xfId="20161"/>
    <cellStyle name="Percent 3 2 16 5" xfId="10943"/>
    <cellStyle name="Percent 3 2 16 6" xfId="17095"/>
    <cellStyle name="Percent 3 2 17" xfId="4368"/>
    <cellStyle name="Percent 3 2 17 2" xfId="5409"/>
    <cellStyle name="Percent 3 2 17 2 2" xfId="7034"/>
    <cellStyle name="Percent 3 2 17 2 2 2" xfId="10120"/>
    <cellStyle name="Percent 3 2 17 2 2 2 2" xfId="16313"/>
    <cellStyle name="Percent 3 2 17 2 2 2 3" xfId="22465"/>
    <cellStyle name="Percent 3 2 17 2 2 3" xfId="13247"/>
    <cellStyle name="Percent 3 2 17 2 2 4" xfId="19399"/>
    <cellStyle name="Percent 3 2 17 2 3" xfId="8585"/>
    <cellStyle name="Percent 3 2 17 2 3 2" xfId="14779"/>
    <cellStyle name="Percent 3 2 17 2 3 3" xfId="20931"/>
    <cellStyle name="Percent 3 2 17 2 4" xfId="11713"/>
    <cellStyle name="Percent 3 2 17 2 5" xfId="17865"/>
    <cellStyle name="Percent 3 2 17 3" xfId="6259"/>
    <cellStyle name="Percent 3 2 17 3 2" xfId="9351"/>
    <cellStyle name="Percent 3 2 17 3 2 2" xfId="15544"/>
    <cellStyle name="Percent 3 2 17 3 2 3" xfId="21696"/>
    <cellStyle name="Percent 3 2 17 3 3" xfId="12478"/>
    <cellStyle name="Percent 3 2 17 3 4" xfId="18630"/>
    <cellStyle name="Percent 3 2 17 4" xfId="7816"/>
    <cellStyle name="Percent 3 2 17 4 2" xfId="14010"/>
    <cellStyle name="Percent 3 2 17 4 3" xfId="20162"/>
    <cellStyle name="Percent 3 2 17 5" xfId="10944"/>
    <cellStyle name="Percent 3 2 17 6" xfId="17096"/>
    <cellStyle name="Percent 3 2 18" xfId="4369"/>
    <cellStyle name="Percent 3 2 18 2" xfId="5410"/>
    <cellStyle name="Percent 3 2 18 2 2" xfId="7035"/>
    <cellStyle name="Percent 3 2 18 2 2 2" xfId="10121"/>
    <cellStyle name="Percent 3 2 18 2 2 2 2" xfId="16314"/>
    <cellStyle name="Percent 3 2 18 2 2 2 3" xfId="22466"/>
    <cellStyle name="Percent 3 2 18 2 2 3" xfId="13248"/>
    <cellStyle name="Percent 3 2 18 2 2 4" xfId="19400"/>
    <cellStyle name="Percent 3 2 18 2 3" xfId="8586"/>
    <cellStyle name="Percent 3 2 18 2 3 2" xfId="14780"/>
    <cellStyle name="Percent 3 2 18 2 3 3" xfId="20932"/>
    <cellStyle name="Percent 3 2 18 2 4" xfId="11714"/>
    <cellStyle name="Percent 3 2 18 2 5" xfId="17866"/>
    <cellStyle name="Percent 3 2 18 3" xfId="6260"/>
    <cellStyle name="Percent 3 2 18 3 2" xfId="9352"/>
    <cellStyle name="Percent 3 2 18 3 2 2" xfId="15545"/>
    <cellStyle name="Percent 3 2 18 3 2 3" xfId="21697"/>
    <cellStyle name="Percent 3 2 18 3 3" xfId="12479"/>
    <cellStyle name="Percent 3 2 18 3 4" xfId="18631"/>
    <cellStyle name="Percent 3 2 18 4" xfId="7817"/>
    <cellStyle name="Percent 3 2 18 4 2" xfId="14011"/>
    <cellStyle name="Percent 3 2 18 4 3" xfId="20163"/>
    <cellStyle name="Percent 3 2 18 5" xfId="10945"/>
    <cellStyle name="Percent 3 2 18 6" xfId="17097"/>
    <cellStyle name="Percent 3 2 19" xfId="4370"/>
    <cellStyle name="Percent 3 2 19 2" xfId="5411"/>
    <cellStyle name="Percent 3 2 19 2 2" xfId="7036"/>
    <cellStyle name="Percent 3 2 19 2 2 2" xfId="10122"/>
    <cellStyle name="Percent 3 2 19 2 2 2 2" xfId="16315"/>
    <cellStyle name="Percent 3 2 19 2 2 2 3" xfId="22467"/>
    <cellStyle name="Percent 3 2 19 2 2 3" xfId="13249"/>
    <cellStyle name="Percent 3 2 19 2 2 4" xfId="19401"/>
    <cellStyle name="Percent 3 2 19 2 3" xfId="8587"/>
    <cellStyle name="Percent 3 2 19 2 3 2" xfId="14781"/>
    <cellStyle name="Percent 3 2 19 2 3 3" xfId="20933"/>
    <cellStyle name="Percent 3 2 19 2 4" xfId="11715"/>
    <cellStyle name="Percent 3 2 19 2 5" xfId="17867"/>
    <cellStyle name="Percent 3 2 19 3" xfId="6261"/>
    <cellStyle name="Percent 3 2 19 3 2" xfId="9353"/>
    <cellStyle name="Percent 3 2 19 3 2 2" xfId="15546"/>
    <cellStyle name="Percent 3 2 19 3 2 3" xfId="21698"/>
    <cellStyle name="Percent 3 2 19 3 3" xfId="12480"/>
    <cellStyle name="Percent 3 2 19 3 4" xfId="18632"/>
    <cellStyle name="Percent 3 2 19 4" xfId="7818"/>
    <cellStyle name="Percent 3 2 19 4 2" xfId="14012"/>
    <cellStyle name="Percent 3 2 19 4 3" xfId="20164"/>
    <cellStyle name="Percent 3 2 19 5" xfId="10946"/>
    <cellStyle name="Percent 3 2 19 6" xfId="17098"/>
    <cellStyle name="Percent 3 2 2" xfId="4371"/>
    <cellStyle name="Percent 3 2 2 2" xfId="4372"/>
    <cellStyle name="Percent 3 2 2 2 2" xfId="5412"/>
    <cellStyle name="Percent 3 2 2 2 2 2" xfId="7037"/>
    <cellStyle name="Percent 3 2 2 2 2 2 2" xfId="10123"/>
    <cellStyle name="Percent 3 2 2 2 2 2 2 2" xfId="16316"/>
    <cellStyle name="Percent 3 2 2 2 2 2 2 3" xfId="22468"/>
    <cellStyle name="Percent 3 2 2 2 2 2 3" xfId="13250"/>
    <cellStyle name="Percent 3 2 2 2 2 2 4" xfId="19402"/>
    <cellStyle name="Percent 3 2 2 2 2 3" xfId="8588"/>
    <cellStyle name="Percent 3 2 2 2 2 3 2" xfId="14782"/>
    <cellStyle name="Percent 3 2 2 2 2 3 3" xfId="20934"/>
    <cellStyle name="Percent 3 2 2 2 2 4" xfId="11716"/>
    <cellStyle name="Percent 3 2 2 2 2 5" xfId="17868"/>
    <cellStyle name="Percent 3 2 2 2 3" xfId="6262"/>
    <cellStyle name="Percent 3 2 2 2 3 2" xfId="9354"/>
    <cellStyle name="Percent 3 2 2 2 3 2 2" xfId="15547"/>
    <cellStyle name="Percent 3 2 2 2 3 2 3" xfId="21699"/>
    <cellStyle name="Percent 3 2 2 2 3 3" xfId="12481"/>
    <cellStyle name="Percent 3 2 2 2 3 4" xfId="18633"/>
    <cellStyle name="Percent 3 2 2 2 4" xfId="7819"/>
    <cellStyle name="Percent 3 2 2 2 4 2" xfId="14013"/>
    <cellStyle name="Percent 3 2 2 2 4 3" xfId="20165"/>
    <cellStyle name="Percent 3 2 2 2 5" xfId="10947"/>
    <cellStyle name="Percent 3 2 2 2 6" xfId="17099"/>
    <cellStyle name="Percent 3 2 2 3" xfId="4373"/>
    <cellStyle name="Percent 3 2 2 3 2" xfId="5413"/>
    <cellStyle name="Percent 3 2 2 3 2 2" xfId="7038"/>
    <cellStyle name="Percent 3 2 2 3 2 2 2" xfId="10124"/>
    <cellStyle name="Percent 3 2 2 3 2 2 2 2" xfId="16317"/>
    <cellStyle name="Percent 3 2 2 3 2 2 2 3" xfId="22469"/>
    <cellStyle name="Percent 3 2 2 3 2 2 3" xfId="13251"/>
    <cellStyle name="Percent 3 2 2 3 2 2 4" xfId="19403"/>
    <cellStyle name="Percent 3 2 2 3 2 3" xfId="8589"/>
    <cellStyle name="Percent 3 2 2 3 2 3 2" xfId="14783"/>
    <cellStyle name="Percent 3 2 2 3 2 3 3" xfId="20935"/>
    <cellStyle name="Percent 3 2 2 3 2 4" xfId="11717"/>
    <cellStyle name="Percent 3 2 2 3 2 5" xfId="17869"/>
    <cellStyle name="Percent 3 2 2 3 3" xfId="6263"/>
    <cellStyle name="Percent 3 2 2 3 3 2" xfId="9355"/>
    <cellStyle name="Percent 3 2 2 3 3 2 2" xfId="15548"/>
    <cellStyle name="Percent 3 2 2 3 3 2 3" xfId="21700"/>
    <cellStyle name="Percent 3 2 2 3 3 3" xfId="12482"/>
    <cellStyle name="Percent 3 2 2 3 3 4" xfId="18634"/>
    <cellStyle name="Percent 3 2 2 3 4" xfId="7820"/>
    <cellStyle name="Percent 3 2 2 3 4 2" xfId="14014"/>
    <cellStyle name="Percent 3 2 2 3 4 3" xfId="20166"/>
    <cellStyle name="Percent 3 2 2 3 5" xfId="10948"/>
    <cellStyle name="Percent 3 2 2 3 6" xfId="17100"/>
    <cellStyle name="Percent 3 2 2 4" xfId="4374"/>
    <cellStyle name="Percent 3 2 2 4 2" xfId="5414"/>
    <cellStyle name="Percent 3 2 2 4 2 2" xfId="7039"/>
    <cellStyle name="Percent 3 2 2 4 2 2 2" xfId="10125"/>
    <cellStyle name="Percent 3 2 2 4 2 2 2 2" xfId="16318"/>
    <cellStyle name="Percent 3 2 2 4 2 2 2 3" xfId="22470"/>
    <cellStyle name="Percent 3 2 2 4 2 2 3" xfId="13252"/>
    <cellStyle name="Percent 3 2 2 4 2 2 4" xfId="19404"/>
    <cellStyle name="Percent 3 2 2 4 2 3" xfId="8590"/>
    <cellStyle name="Percent 3 2 2 4 2 3 2" xfId="14784"/>
    <cellStyle name="Percent 3 2 2 4 2 3 3" xfId="20936"/>
    <cellStyle name="Percent 3 2 2 4 2 4" xfId="11718"/>
    <cellStyle name="Percent 3 2 2 4 2 5" xfId="17870"/>
    <cellStyle name="Percent 3 2 2 4 3" xfId="6264"/>
    <cellStyle name="Percent 3 2 2 4 3 2" xfId="9356"/>
    <cellStyle name="Percent 3 2 2 4 3 2 2" xfId="15549"/>
    <cellStyle name="Percent 3 2 2 4 3 2 3" xfId="21701"/>
    <cellStyle name="Percent 3 2 2 4 3 3" xfId="12483"/>
    <cellStyle name="Percent 3 2 2 4 3 4" xfId="18635"/>
    <cellStyle name="Percent 3 2 2 4 4" xfId="7821"/>
    <cellStyle name="Percent 3 2 2 4 4 2" xfId="14015"/>
    <cellStyle name="Percent 3 2 2 4 4 3" xfId="20167"/>
    <cellStyle name="Percent 3 2 2 4 5" xfId="10949"/>
    <cellStyle name="Percent 3 2 2 4 6" xfId="17101"/>
    <cellStyle name="Percent 3 2 2 5" xfId="4375"/>
    <cellStyle name="Percent 3 2 2 5 2" xfId="5415"/>
    <cellStyle name="Percent 3 2 2 5 2 2" xfId="7040"/>
    <cellStyle name="Percent 3 2 2 5 2 2 2" xfId="10126"/>
    <cellStyle name="Percent 3 2 2 5 2 2 2 2" xfId="16319"/>
    <cellStyle name="Percent 3 2 2 5 2 2 2 3" xfId="22471"/>
    <cellStyle name="Percent 3 2 2 5 2 2 3" xfId="13253"/>
    <cellStyle name="Percent 3 2 2 5 2 2 4" xfId="19405"/>
    <cellStyle name="Percent 3 2 2 5 2 3" xfId="8591"/>
    <cellStyle name="Percent 3 2 2 5 2 3 2" xfId="14785"/>
    <cellStyle name="Percent 3 2 2 5 2 3 3" xfId="20937"/>
    <cellStyle name="Percent 3 2 2 5 2 4" xfId="11719"/>
    <cellStyle name="Percent 3 2 2 5 2 5" xfId="17871"/>
    <cellStyle name="Percent 3 2 2 5 3" xfId="6265"/>
    <cellStyle name="Percent 3 2 2 5 3 2" xfId="9357"/>
    <cellStyle name="Percent 3 2 2 5 3 2 2" xfId="15550"/>
    <cellStyle name="Percent 3 2 2 5 3 2 3" xfId="21702"/>
    <cellStyle name="Percent 3 2 2 5 3 3" xfId="12484"/>
    <cellStyle name="Percent 3 2 2 5 3 4" xfId="18636"/>
    <cellStyle name="Percent 3 2 2 5 4" xfId="7822"/>
    <cellStyle name="Percent 3 2 2 5 4 2" xfId="14016"/>
    <cellStyle name="Percent 3 2 2 5 4 3" xfId="20168"/>
    <cellStyle name="Percent 3 2 2 5 5" xfId="10950"/>
    <cellStyle name="Percent 3 2 2 5 6" xfId="17102"/>
    <cellStyle name="Percent 3 2 20" xfId="4376"/>
    <cellStyle name="Percent 3 2 20 2" xfId="5416"/>
    <cellStyle name="Percent 3 2 20 2 2" xfId="7041"/>
    <cellStyle name="Percent 3 2 20 2 2 2" xfId="10127"/>
    <cellStyle name="Percent 3 2 20 2 2 2 2" xfId="16320"/>
    <cellStyle name="Percent 3 2 20 2 2 2 3" xfId="22472"/>
    <cellStyle name="Percent 3 2 20 2 2 3" xfId="13254"/>
    <cellStyle name="Percent 3 2 20 2 2 4" xfId="19406"/>
    <cellStyle name="Percent 3 2 20 2 3" xfId="8592"/>
    <cellStyle name="Percent 3 2 20 2 3 2" xfId="14786"/>
    <cellStyle name="Percent 3 2 20 2 3 3" xfId="20938"/>
    <cellStyle name="Percent 3 2 20 2 4" xfId="11720"/>
    <cellStyle name="Percent 3 2 20 2 5" xfId="17872"/>
    <cellStyle name="Percent 3 2 20 3" xfId="6266"/>
    <cellStyle name="Percent 3 2 20 3 2" xfId="9358"/>
    <cellStyle name="Percent 3 2 20 3 2 2" xfId="15551"/>
    <cellStyle name="Percent 3 2 20 3 2 3" xfId="21703"/>
    <cellStyle name="Percent 3 2 20 3 3" xfId="12485"/>
    <cellStyle name="Percent 3 2 20 3 4" xfId="18637"/>
    <cellStyle name="Percent 3 2 20 4" xfId="7823"/>
    <cellStyle name="Percent 3 2 20 4 2" xfId="14017"/>
    <cellStyle name="Percent 3 2 20 4 3" xfId="20169"/>
    <cellStyle name="Percent 3 2 20 5" xfId="10951"/>
    <cellStyle name="Percent 3 2 20 6" xfId="17103"/>
    <cellStyle name="Percent 3 2 21" xfId="4377"/>
    <cellStyle name="Percent 3 2 21 2" xfId="4378"/>
    <cellStyle name="Percent 3 2 21 2 2" xfId="5417"/>
    <cellStyle name="Percent 3 2 21 2 2 2" xfId="7042"/>
    <cellStyle name="Percent 3 2 21 2 2 2 2" xfId="10128"/>
    <cellStyle name="Percent 3 2 21 2 2 2 2 2" xfId="16321"/>
    <cellStyle name="Percent 3 2 21 2 2 2 2 3" xfId="22473"/>
    <cellStyle name="Percent 3 2 21 2 2 2 3" xfId="13255"/>
    <cellStyle name="Percent 3 2 21 2 2 2 4" xfId="19407"/>
    <cellStyle name="Percent 3 2 21 2 2 3" xfId="8593"/>
    <cellStyle name="Percent 3 2 21 2 2 3 2" xfId="14787"/>
    <cellStyle name="Percent 3 2 21 2 2 3 3" xfId="20939"/>
    <cellStyle name="Percent 3 2 21 2 2 4" xfId="11721"/>
    <cellStyle name="Percent 3 2 21 2 2 5" xfId="17873"/>
    <cellStyle name="Percent 3 2 21 2 3" xfId="6267"/>
    <cellStyle name="Percent 3 2 21 2 3 2" xfId="9359"/>
    <cellStyle name="Percent 3 2 21 2 3 2 2" xfId="15552"/>
    <cellStyle name="Percent 3 2 21 2 3 2 3" xfId="21704"/>
    <cellStyle name="Percent 3 2 21 2 3 3" xfId="12486"/>
    <cellStyle name="Percent 3 2 21 2 3 4" xfId="18638"/>
    <cellStyle name="Percent 3 2 21 2 4" xfId="7824"/>
    <cellStyle name="Percent 3 2 21 2 4 2" xfId="14018"/>
    <cellStyle name="Percent 3 2 21 2 4 3" xfId="20170"/>
    <cellStyle name="Percent 3 2 21 2 5" xfId="10952"/>
    <cellStyle name="Percent 3 2 21 2 6" xfId="17104"/>
    <cellStyle name="Percent 3 2 21 3" xfId="4379"/>
    <cellStyle name="Percent 3 2 21 4" xfId="4380"/>
    <cellStyle name="Percent 3 2 22" xfId="4381"/>
    <cellStyle name="Percent 3 2 23" xfId="5401"/>
    <cellStyle name="Percent 3 2 23 2" xfId="7026"/>
    <cellStyle name="Percent 3 2 23 2 2" xfId="10112"/>
    <cellStyle name="Percent 3 2 23 2 2 2" xfId="16305"/>
    <cellStyle name="Percent 3 2 23 2 2 3" xfId="22457"/>
    <cellStyle name="Percent 3 2 23 2 3" xfId="13239"/>
    <cellStyle name="Percent 3 2 23 2 4" xfId="19391"/>
    <cellStyle name="Percent 3 2 23 3" xfId="8577"/>
    <cellStyle name="Percent 3 2 23 3 2" xfId="14771"/>
    <cellStyle name="Percent 3 2 23 3 3" xfId="20923"/>
    <cellStyle name="Percent 3 2 23 4" xfId="11705"/>
    <cellStyle name="Percent 3 2 23 5" xfId="17857"/>
    <cellStyle name="Percent 3 2 24" xfId="6251"/>
    <cellStyle name="Percent 3 2 24 2" xfId="9343"/>
    <cellStyle name="Percent 3 2 24 2 2" xfId="15536"/>
    <cellStyle name="Percent 3 2 24 2 3" xfId="21688"/>
    <cellStyle name="Percent 3 2 24 3" xfId="12470"/>
    <cellStyle name="Percent 3 2 24 4" xfId="18622"/>
    <cellStyle name="Percent 3 2 25" xfId="7808"/>
    <cellStyle name="Percent 3 2 25 2" xfId="14002"/>
    <cellStyle name="Percent 3 2 25 3" xfId="20154"/>
    <cellStyle name="Percent 3 2 26" xfId="10936"/>
    <cellStyle name="Percent 3 2 27" xfId="17088"/>
    <cellStyle name="Percent 3 2 28" xfId="4360"/>
    <cellStyle name="Percent 3 2 29" xfId="23313"/>
    <cellStyle name="Percent 3 2 3" xfId="4382"/>
    <cellStyle name="Percent 3 2 3 10" xfId="17105"/>
    <cellStyle name="Percent 3 2 3 2" xfId="4383"/>
    <cellStyle name="Percent 3 2 3 2 2" xfId="5419"/>
    <cellStyle name="Percent 3 2 3 2 2 2" xfId="7044"/>
    <cellStyle name="Percent 3 2 3 2 2 2 2" xfId="10130"/>
    <cellStyle name="Percent 3 2 3 2 2 2 2 2" xfId="16323"/>
    <cellStyle name="Percent 3 2 3 2 2 2 2 3" xfId="22475"/>
    <cellStyle name="Percent 3 2 3 2 2 2 3" xfId="13257"/>
    <cellStyle name="Percent 3 2 3 2 2 2 4" xfId="19409"/>
    <cellStyle name="Percent 3 2 3 2 2 3" xfId="8595"/>
    <cellStyle name="Percent 3 2 3 2 2 3 2" xfId="14789"/>
    <cellStyle name="Percent 3 2 3 2 2 3 3" xfId="20941"/>
    <cellStyle name="Percent 3 2 3 2 2 4" xfId="11723"/>
    <cellStyle name="Percent 3 2 3 2 2 5" xfId="17875"/>
    <cellStyle name="Percent 3 2 3 2 3" xfId="6271"/>
    <cellStyle name="Percent 3 2 3 2 3 2" xfId="9361"/>
    <cellStyle name="Percent 3 2 3 2 3 2 2" xfId="15554"/>
    <cellStyle name="Percent 3 2 3 2 3 2 3" xfId="21706"/>
    <cellStyle name="Percent 3 2 3 2 3 3" xfId="12488"/>
    <cellStyle name="Percent 3 2 3 2 3 4" xfId="18640"/>
    <cellStyle name="Percent 3 2 3 2 4" xfId="7826"/>
    <cellStyle name="Percent 3 2 3 2 4 2" xfId="14020"/>
    <cellStyle name="Percent 3 2 3 2 4 3" xfId="20172"/>
    <cellStyle name="Percent 3 2 3 2 5" xfId="10954"/>
    <cellStyle name="Percent 3 2 3 2 6" xfId="17106"/>
    <cellStyle name="Percent 3 2 3 3" xfId="4384"/>
    <cellStyle name="Percent 3 2 3 3 2" xfId="5420"/>
    <cellStyle name="Percent 3 2 3 3 2 2" xfId="7045"/>
    <cellStyle name="Percent 3 2 3 3 2 2 2" xfId="10131"/>
    <cellStyle name="Percent 3 2 3 3 2 2 2 2" xfId="16324"/>
    <cellStyle name="Percent 3 2 3 3 2 2 2 3" xfId="22476"/>
    <cellStyle name="Percent 3 2 3 3 2 2 3" xfId="13258"/>
    <cellStyle name="Percent 3 2 3 3 2 2 4" xfId="19410"/>
    <cellStyle name="Percent 3 2 3 3 2 3" xfId="8596"/>
    <cellStyle name="Percent 3 2 3 3 2 3 2" xfId="14790"/>
    <cellStyle name="Percent 3 2 3 3 2 3 3" xfId="20942"/>
    <cellStyle name="Percent 3 2 3 3 2 4" xfId="11724"/>
    <cellStyle name="Percent 3 2 3 3 2 5" xfId="17876"/>
    <cellStyle name="Percent 3 2 3 3 3" xfId="6272"/>
    <cellStyle name="Percent 3 2 3 3 3 2" xfId="9362"/>
    <cellStyle name="Percent 3 2 3 3 3 2 2" xfId="15555"/>
    <cellStyle name="Percent 3 2 3 3 3 2 3" xfId="21707"/>
    <cellStyle name="Percent 3 2 3 3 3 3" xfId="12489"/>
    <cellStyle name="Percent 3 2 3 3 3 4" xfId="18641"/>
    <cellStyle name="Percent 3 2 3 3 4" xfId="7827"/>
    <cellStyle name="Percent 3 2 3 3 4 2" xfId="14021"/>
    <cellStyle name="Percent 3 2 3 3 4 3" xfId="20173"/>
    <cellStyle name="Percent 3 2 3 3 5" xfId="10955"/>
    <cellStyle name="Percent 3 2 3 3 6" xfId="17107"/>
    <cellStyle name="Percent 3 2 3 4" xfId="4385"/>
    <cellStyle name="Percent 3 2 3 4 2" xfId="5421"/>
    <cellStyle name="Percent 3 2 3 4 2 2" xfId="7046"/>
    <cellStyle name="Percent 3 2 3 4 2 2 2" xfId="10132"/>
    <cellStyle name="Percent 3 2 3 4 2 2 2 2" xfId="16325"/>
    <cellStyle name="Percent 3 2 3 4 2 2 2 3" xfId="22477"/>
    <cellStyle name="Percent 3 2 3 4 2 2 3" xfId="13259"/>
    <cellStyle name="Percent 3 2 3 4 2 2 4" xfId="19411"/>
    <cellStyle name="Percent 3 2 3 4 2 3" xfId="8597"/>
    <cellStyle name="Percent 3 2 3 4 2 3 2" xfId="14791"/>
    <cellStyle name="Percent 3 2 3 4 2 3 3" xfId="20943"/>
    <cellStyle name="Percent 3 2 3 4 2 4" xfId="11725"/>
    <cellStyle name="Percent 3 2 3 4 2 5" xfId="17877"/>
    <cellStyle name="Percent 3 2 3 4 3" xfId="6273"/>
    <cellStyle name="Percent 3 2 3 4 3 2" xfId="9363"/>
    <cellStyle name="Percent 3 2 3 4 3 2 2" xfId="15556"/>
    <cellStyle name="Percent 3 2 3 4 3 2 3" xfId="21708"/>
    <cellStyle name="Percent 3 2 3 4 3 3" xfId="12490"/>
    <cellStyle name="Percent 3 2 3 4 3 4" xfId="18642"/>
    <cellStyle name="Percent 3 2 3 4 4" xfId="7828"/>
    <cellStyle name="Percent 3 2 3 4 4 2" xfId="14022"/>
    <cellStyle name="Percent 3 2 3 4 4 3" xfId="20174"/>
    <cellStyle name="Percent 3 2 3 4 5" xfId="10956"/>
    <cellStyle name="Percent 3 2 3 4 6" xfId="17108"/>
    <cellStyle name="Percent 3 2 3 5" xfId="4386"/>
    <cellStyle name="Percent 3 2 3 5 2" xfId="5422"/>
    <cellStyle name="Percent 3 2 3 5 2 2" xfId="7047"/>
    <cellStyle name="Percent 3 2 3 5 2 2 2" xfId="10133"/>
    <cellStyle name="Percent 3 2 3 5 2 2 2 2" xfId="16326"/>
    <cellStyle name="Percent 3 2 3 5 2 2 2 3" xfId="22478"/>
    <cellStyle name="Percent 3 2 3 5 2 2 3" xfId="13260"/>
    <cellStyle name="Percent 3 2 3 5 2 2 4" xfId="19412"/>
    <cellStyle name="Percent 3 2 3 5 2 3" xfId="8598"/>
    <cellStyle name="Percent 3 2 3 5 2 3 2" xfId="14792"/>
    <cellStyle name="Percent 3 2 3 5 2 3 3" xfId="20944"/>
    <cellStyle name="Percent 3 2 3 5 2 4" xfId="11726"/>
    <cellStyle name="Percent 3 2 3 5 2 5" xfId="17878"/>
    <cellStyle name="Percent 3 2 3 5 3" xfId="6274"/>
    <cellStyle name="Percent 3 2 3 5 3 2" xfId="9364"/>
    <cellStyle name="Percent 3 2 3 5 3 2 2" xfId="15557"/>
    <cellStyle name="Percent 3 2 3 5 3 2 3" xfId="21709"/>
    <cellStyle name="Percent 3 2 3 5 3 3" xfId="12491"/>
    <cellStyle name="Percent 3 2 3 5 3 4" xfId="18643"/>
    <cellStyle name="Percent 3 2 3 5 4" xfId="7829"/>
    <cellStyle name="Percent 3 2 3 5 4 2" xfId="14023"/>
    <cellStyle name="Percent 3 2 3 5 4 3" xfId="20175"/>
    <cellStyle name="Percent 3 2 3 5 5" xfId="10957"/>
    <cellStyle name="Percent 3 2 3 5 6" xfId="17109"/>
    <cellStyle name="Percent 3 2 3 6" xfId="5418"/>
    <cellStyle name="Percent 3 2 3 6 2" xfId="7043"/>
    <cellStyle name="Percent 3 2 3 6 2 2" xfId="10129"/>
    <cellStyle name="Percent 3 2 3 6 2 2 2" xfId="16322"/>
    <cellStyle name="Percent 3 2 3 6 2 2 3" xfId="22474"/>
    <cellStyle name="Percent 3 2 3 6 2 3" xfId="13256"/>
    <cellStyle name="Percent 3 2 3 6 2 4" xfId="19408"/>
    <cellStyle name="Percent 3 2 3 6 3" xfId="8594"/>
    <cellStyle name="Percent 3 2 3 6 3 2" xfId="14788"/>
    <cellStyle name="Percent 3 2 3 6 3 3" xfId="20940"/>
    <cellStyle name="Percent 3 2 3 6 4" xfId="11722"/>
    <cellStyle name="Percent 3 2 3 6 5" xfId="17874"/>
    <cellStyle name="Percent 3 2 3 7" xfId="6270"/>
    <cellStyle name="Percent 3 2 3 7 2" xfId="9360"/>
    <cellStyle name="Percent 3 2 3 7 2 2" xfId="15553"/>
    <cellStyle name="Percent 3 2 3 7 2 3" xfId="21705"/>
    <cellStyle name="Percent 3 2 3 7 3" xfId="12487"/>
    <cellStyle name="Percent 3 2 3 7 4" xfId="18639"/>
    <cellStyle name="Percent 3 2 3 8" xfId="7825"/>
    <cellStyle name="Percent 3 2 3 8 2" xfId="14019"/>
    <cellStyle name="Percent 3 2 3 8 3" xfId="20171"/>
    <cellStyle name="Percent 3 2 3 9" xfId="10953"/>
    <cellStyle name="Percent 3 2 4" xfId="4387"/>
    <cellStyle name="Percent 3 2 4 2" xfId="4388"/>
    <cellStyle name="Percent 3 2 4 2 2" xfId="5424"/>
    <cellStyle name="Percent 3 2 4 2 2 2" xfId="7049"/>
    <cellStyle name="Percent 3 2 4 2 2 2 2" xfId="10135"/>
    <cellStyle name="Percent 3 2 4 2 2 2 2 2" xfId="16328"/>
    <cellStyle name="Percent 3 2 4 2 2 2 2 3" xfId="22480"/>
    <cellStyle name="Percent 3 2 4 2 2 2 3" xfId="13262"/>
    <cellStyle name="Percent 3 2 4 2 2 2 4" xfId="19414"/>
    <cellStyle name="Percent 3 2 4 2 2 3" xfId="8600"/>
    <cellStyle name="Percent 3 2 4 2 2 3 2" xfId="14794"/>
    <cellStyle name="Percent 3 2 4 2 2 3 3" xfId="20946"/>
    <cellStyle name="Percent 3 2 4 2 2 4" xfId="11728"/>
    <cellStyle name="Percent 3 2 4 2 2 5" xfId="17880"/>
    <cellStyle name="Percent 3 2 4 2 3" xfId="6276"/>
    <cellStyle name="Percent 3 2 4 2 3 2" xfId="9366"/>
    <cellStyle name="Percent 3 2 4 2 3 2 2" xfId="15559"/>
    <cellStyle name="Percent 3 2 4 2 3 2 3" xfId="21711"/>
    <cellStyle name="Percent 3 2 4 2 3 3" xfId="12493"/>
    <cellStyle name="Percent 3 2 4 2 3 4" xfId="18645"/>
    <cellStyle name="Percent 3 2 4 2 4" xfId="7831"/>
    <cellStyle name="Percent 3 2 4 2 4 2" xfId="14025"/>
    <cellStyle name="Percent 3 2 4 2 4 3" xfId="20177"/>
    <cellStyle name="Percent 3 2 4 2 5" xfId="10959"/>
    <cellStyle name="Percent 3 2 4 2 6" xfId="17111"/>
    <cellStyle name="Percent 3 2 4 3" xfId="5423"/>
    <cellStyle name="Percent 3 2 4 3 2" xfId="7048"/>
    <cellStyle name="Percent 3 2 4 3 2 2" xfId="10134"/>
    <cellStyle name="Percent 3 2 4 3 2 2 2" xfId="16327"/>
    <cellStyle name="Percent 3 2 4 3 2 2 3" xfId="22479"/>
    <cellStyle name="Percent 3 2 4 3 2 3" xfId="13261"/>
    <cellStyle name="Percent 3 2 4 3 2 4" xfId="19413"/>
    <cellStyle name="Percent 3 2 4 3 3" xfId="8599"/>
    <cellStyle name="Percent 3 2 4 3 3 2" xfId="14793"/>
    <cellStyle name="Percent 3 2 4 3 3 3" xfId="20945"/>
    <cellStyle name="Percent 3 2 4 3 4" xfId="11727"/>
    <cellStyle name="Percent 3 2 4 3 5" xfId="17879"/>
    <cellStyle name="Percent 3 2 4 4" xfId="6275"/>
    <cellStyle name="Percent 3 2 4 4 2" xfId="9365"/>
    <cellStyle name="Percent 3 2 4 4 2 2" xfId="15558"/>
    <cellStyle name="Percent 3 2 4 4 2 3" xfId="21710"/>
    <cellStyle name="Percent 3 2 4 4 3" xfId="12492"/>
    <cellStyle name="Percent 3 2 4 4 4" xfId="18644"/>
    <cellStyle name="Percent 3 2 4 5" xfId="7830"/>
    <cellStyle name="Percent 3 2 4 5 2" xfId="14024"/>
    <cellStyle name="Percent 3 2 4 5 3" xfId="20176"/>
    <cellStyle name="Percent 3 2 4 6" xfId="10958"/>
    <cellStyle name="Percent 3 2 4 7" xfId="17110"/>
    <cellStyle name="Percent 3 2 5" xfId="4389"/>
    <cellStyle name="Percent 3 2 5 2" xfId="4390"/>
    <cellStyle name="Percent 3 2 5 2 2" xfId="5426"/>
    <cellStyle name="Percent 3 2 5 2 2 2" xfId="7051"/>
    <cellStyle name="Percent 3 2 5 2 2 2 2" xfId="10137"/>
    <cellStyle name="Percent 3 2 5 2 2 2 2 2" xfId="16330"/>
    <cellStyle name="Percent 3 2 5 2 2 2 2 3" xfId="22482"/>
    <cellStyle name="Percent 3 2 5 2 2 2 3" xfId="13264"/>
    <cellStyle name="Percent 3 2 5 2 2 2 4" xfId="19416"/>
    <cellStyle name="Percent 3 2 5 2 2 3" xfId="8602"/>
    <cellStyle name="Percent 3 2 5 2 2 3 2" xfId="14796"/>
    <cellStyle name="Percent 3 2 5 2 2 3 3" xfId="20948"/>
    <cellStyle name="Percent 3 2 5 2 2 4" xfId="11730"/>
    <cellStyle name="Percent 3 2 5 2 2 5" xfId="17882"/>
    <cellStyle name="Percent 3 2 5 2 3" xfId="6278"/>
    <cellStyle name="Percent 3 2 5 2 3 2" xfId="9368"/>
    <cellStyle name="Percent 3 2 5 2 3 2 2" xfId="15561"/>
    <cellStyle name="Percent 3 2 5 2 3 2 3" xfId="21713"/>
    <cellStyle name="Percent 3 2 5 2 3 3" xfId="12495"/>
    <cellStyle name="Percent 3 2 5 2 3 4" xfId="18647"/>
    <cellStyle name="Percent 3 2 5 2 4" xfId="7833"/>
    <cellStyle name="Percent 3 2 5 2 4 2" xfId="14027"/>
    <cellStyle name="Percent 3 2 5 2 4 3" xfId="20179"/>
    <cellStyle name="Percent 3 2 5 2 5" xfId="10961"/>
    <cellStyle name="Percent 3 2 5 2 6" xfId="17113"/>
    <cellStyle name="Percent 3 2 5 3" xfId="5425"/>
    <cellStyle name="Percent 3 2 5 3 2" xfId="7050"/>
    <cellStyle name="Percent 3 2 5 3 2 2" xfId="10136"/>
    <cellStyle name="Percent 3 2 5 3 2 2 2" xfId="16329"/>
    <cellStyle name="Percent 3 2 5 3 2 2 3" xfId="22481"/>
    <cellStyle name="Percent 3 2 5 3 2 3" xfId="13263"/>
    <cellStyle name="Percent 3 2 5 3 2 4" xfId="19415"/>
    <cellStyle name="Percent 3 2 5 3 3" xfId="8601"/>
    <cellStyle name="Percent 3 2 5 3 3 2" xfId="14795"/>
    <cellStyle name="Percent 3 2 5 3 3 3" xfId="20947"/>
    <cellStyle name="Percent 3 2 5 3 4" xfId="11729"/>
    <cellStyle name="Percent 3 2 5 3 5" xfId="17881"/>
    <cellStyle name="Percent 3 2 5 4" xfId="6277"/>
    <cellStyle name="Percent 3 2 5 4 2" xfId="9367"/>
    <cellStyle name="Percent 3 2 5 4 2 2" xfId="15560"/>
    <cellStyle name="Percent 3 2 5 4 2 3" xfId="21712"/>
    <cellStyle name="Percent 3 2 5 4 3" xfId="12494"/>
    <cellStyle name="Percent 3 2 5 4 4" xfId="18646"/>
    <cellStyle name="Percent 3 2 5 5" xfId="7832"/>
    <cellStyle name="Percent 3 2 5 5 2" xfId="14026"/>
    <cellStyle name="Percent 3 2 5 5 3" xfId="20178"/>
    <cellStyle name="Percent 3 2 5 6" xfId="10960"/>
    <cellStyle name="Percent 3 2 5 7" xfId="17112"/>
    <cellStyle name="Percent 3 2 6" xfId="4391"/>
    <cellStyle name="Percent 3 2 6 2" xfId="4392"/>
    <cellStyle name="Percent 3 2 6 2 2" xfId="5428"/>
    <cellStyle name="Percent 3 2 6 2 2 2" xfId="7053"/>
    <cellStyle name="Percent 3 2 6 2 2 2 2" xfId="10139"/>
    <cellStyle name="Percent 3 2 6 2 2 2 2 2" xfId="16332"/>
    <cellStyle name="Percent 3 2 6 2 2 2 2 3" xfId="22484"/>
    <cellStyle name="Percent 3 2 6 2 2 2 3" xfId="13266"/>
    <cellStyle name="Percent 3 2 6 2 2 2 4" xfId="19418"/>
    <cellStyle name="Percent 3 2 6 2 2 3" xfId="8604"/>
    <cellStyle name="Percent 3 2 6 2 2 3 2" xfId="14798"/>
    <cellStyle name="Percent 3 2 6 2 2 3 3" xfId="20950"/>
    <cellStyle name="Percent 3 2 6 2 2 4" xfId="11732"/>
    <cellStyle name="Percent 3 2 6 2 2 5" xfId="17884"/>
    <cellStyle name="Percent 3 2 6 2 3" xfId="6280"/>
    <cellStyle name="Percent 3 2 6 2 3 2" xfId="9370"/>
    <cellStyle name="Percent 3 2 6 2 3 2 2" xfId="15563"/>
    <cellStyle name="Percent 3 2 6 2 3 2 3" xfId="21715"/>
    <cellStyle name="Percent 3 2 6 2 3 3" xfId="12497"/>
    <cellStyle name="Percent 3 2 6 2 3 4" xfId="18649"/>
    <cellStyle name="Percent 3 2 6 2 4" xfId="7835"/>
    <cellStyle name="Percent 3 2 6 2 4 2" xfId="14029"/>
    <cellStyle name="Percent 3 2 6 2 4 3" xfId="20181"/>
    <cellStyle name="Percent 3 2 6 2 5" xfId="10963"/>
    <cellStyle name="Percent 3 2 6 2 6" xfId="17115"/>
    <cellStyle name="Percent 3 2 6 3" xfId="5427"/>
    <cellStyle name="Percent 3 2 6 3 2" xfId="7052"/>
    <cellStyle name="Percent 3 2 6 3 2 2" xfId="10138"/>
    <cellStyle name="Percent 3 2 6 3 2 2 2" xfId="16331"/>
    <cellStyle name="Percent 3 2 6 3 2 2 3" xfId="22483"/>
    <cellStyle name="Percent 3 2 6 3 2 3" xfId="13265"/>
    <cellStyle name="Percent 3 2 6 3 2 4" xfId="19417"/>
    <cellStyle name="Percent 3 2 6 3 3" xfId="8603"/>
    <cellStyle name="Percent 3 2 6 3 3 2" xfId="14797"/>
    <cellStyle name="Percent 3 2 6 3 3 3" xfId="20949"/>
    <cellStyle name="Percent 3 2 6 3 4" xfId="11731"/>
    <cellStyle name="Percent 3 2 6 3 5" xfId="17883"/>
    <cellStyle name="Percent 3 2 6 4" xfId="6279"/>
    <cellStyle name="Percent 3 2 6 4 2" xfId="9369"/>
    <cellStyle name="Percent 3 2 6 4 2 2" xfId="15562"/>
    <cellStyle name="Percent 3 2 6 4 2 3" xfId="21714"/>
    <cellStyle name="Percent 3 2 6 4 3" xfId="12496"/>
    <cellStyle name="Percent 3 2 6 4 4" xfId="18648"/>
    <cellStyle name="Percent 3 2 6 5" xfId="7834"/>
    <cellStyle name="Percent 3 2 6 5 2" xfId="14028"/>
    <cellStyle name="Percent 3 2 6 5 3" xfId="20180"/>
    <cellStyle name="Percent 3 2 6 6" xfId="10962"/>
    <cellStyle name="Percent 3 2 6 7" xfId="17114"/>
    <cellStyle name="Percent 3 2 7" xfId="4393"/>
    <cellStyle name="Percent 3 2 7 2" xfId="5429"/>
    <cellStyle name="Percent 3 2 7 2 2" xfId="7054"/>
    <cellStyle name="Percent 3 2 7 2 2 2" xfId="10140"/>
    <cellStyle name="Percent 3 2 7 2 2 2 2" xfId="16333"/>
    <cellStyle name="Percent 3 2 7 2 2 2 3" xfId="22485"/>
    <cellStyle name="Percent 3 2 7 2 2 3" xfId="13267"/>
    <cellStyle name="Percent 3 2 7 2 2 4" xfId="19419"/>
    <cellStyle name="Percent 3 2 7 2 3" xfId="8605"/>
    <cellStyle name="Percent 3 2 7 2 3 2" xfId="14799"/>
    <cellStyle name="Percent 3 2 7 2 3 3" xfId="20951"/>
    <cellStyle name="Percent 3 2 7 2 4" xfId="11733"/>
    <cellStyle name="Percent 3 2 7 2 5" xfId="17885"/>
    <cellStyle name="Percent 3 2 7 3" xfId="6281"/>
    <cellStyle name="Percent 3 2 7 3 2" xfId="9371"/>
    <cellStyle name="Percent 3 2 7 3 2 2" xfId="15564"/>
    <cellStyle name="Percent 3 2 7 3 2 3" xfId="21716"/>
    <cellStyle name="Percent 3 2 7 3 3" xfId="12498"/>
    <cellStyle name="Percent 3 2 7 3 4" xfId="18650"/>
    <cellStyle name="Percent 3 2 7 4" xfId="7836"/>
    <cellStyle name="Percent 3 2 7 4 2" xfId="14030"/>
    <cellStyle name="Percent 3 2 7 4 3" xfId="20182"/>
    <cellStyle name="Percent 3 2 7 5" xfId="10964"/>
    <cellStyle name="Percent 3 2 7 6" xfId="17116"/>
    <cellStyle name="Percent 3 2 8" xfId="4394"/>
    <cellStyle name="Percent 3 2 8 2" xfId="5430"/>
    <cellStyle name="Percent 3 2 8 2 2" xfId="7055"/>
    <cellStyle name="Percent 3 2 8 2 2 2" xfId="10141"/>
    <cellStyle name="Percent 3 2 8 2 2 2 2" xfId="16334"/>
    <cellStyle name="Percent 3 2 8 2 2 2 3" xfId="22486"/>
    <cellStyle name="Percent 3 2 8 2 2 3" xfId="13268"/>
    <cellStyle name="Percent 3 2 8 2 2 4" xfId="19420"/>
    <cellStyle name="Percent 3 2 8 2 3" xfId="8606"/>
    <cellStyle name="Percent 3 2 8 2 3 2" xfId="14800"/>
    <cellStyle name="Percent 3 2 8 2 3 3" xfId="20952"/>
    <cellStyle name="Percent 3 2 8 2 4" xfId="11734"/>
    <cellStyle name="Percent 3 2 8 2 5" xfId="17886"/>
    <cellStyle name="Percent 3 2 8 3" xfId="6282"/>
    <cellStyle name="Percent 3 2 8 3 2" xfId="9372"/>
    <cellStyle name="Percent 3 2 8 3 2 2" xfId="15565"/>
    <cellStyle name="Percent 3 2 8 3 2 3" xfId="21717"/>
    <cellStyle name="Percent 3 2 8 3 3" xfId="12499"/>
    <cellStyle name="Percent 3 2 8 3 4" xfId="18651"/>
    <cellStyle name="Percent 3 2 8 4" xfId="7837"/>
    <cellStyle name="Percent 3 2 8 4 2" xfId="14031"/>
    <cellStyle name="Percent 3 2 8 4 3" xfId="20183"/>
    <cellStyle name="Percent 3 2 8 5" xfId="10965"/>
    <cellStyle name="Percent 3 2 8 6" xfId="17117"/>
    <cellStyle name="Percent 3 2 9" xfId="4395"/>
    <cellStyle name="Percent 3 2 9 2" xfId="5431"/>
    <cellStyle name="Percent 3 2 9 2 2" xfId="7056"/>
    <cellStyle name="Percent 3 2 9 2 2 2" xfId="10142"/>
    <cellStyle name="Percent 3 2 9 2 2 2 2" xfId="16335"/>
    <cellStyle name="Percent 3 2 9 2 2 2 3" xfId="22487"/>
    <cellStyle name="Percent 3 2 9 2 2 3" xfId="13269"/>
    <cellStyle name="Percent 3 2 9 2 2 4" xfId="19421"/>
    <cellStyle name="Percent 3 2 9 2 3" xfId="8607"/>
    <cellStyle name="Percent 3 2 9 2 3 2" xfId="14801"/>
    <cellStyle name="Percent 3 2 9 2 3 3" xfId="20953"/>
    <cellStyle name="Percent 3 2 9 2 4" xfId="11735"/>
    <cellStyle name="Percent 3 2 9 2 5" xfId="17887"/>
    <cellStyle name="Percent 3 2 9 3" xfId="6283"/>
    <cellStyle name="Percent 3 2 9 3 2" xfId="9373"/>
    <cellStyle name="Percent 3 2 9 3 2 2" xfId="15566"/>
    <cellStyle name="Percent 3 2 9 3 2 3" xfId="21718"/>
    <cellStyle name="Percent 3 2 9 3 3" xfId="12500"/>
    <cellStyle name="Percent 3 2 9 3 4" xfId="18652"/>
    <cellStyle name="Percent 3 2 9 4" xfId="7838"/>
    <cellStyle name="Percent 3 2 9 4 2" xfId="14032"/>
    <cellStyle name="Percent 3 2 9 4 3" xfId="20184"/>
    <cellStyle name="Percent 3 2 9 5" xfId="10966"/>
    <cellStyle name="Percent 3 2 9 6" xfId="17118"/>
    <cellStyle name="Percent 3 20" xfId="545"/>
    <cellStyle name="Percent 3 20 2" xfId="5432"/>
    <cellStyle name="Percent 3 20 2 2" xfId="7057"/>
    <cellStyle name="Percent 3 20 2 2 2" xfId="10143"/>
    <cellStyle name="Percent 3 20 2 2 2 2" xfId="16336"/>
    <cellStyle name="Percent 3 20 2 2 2 3" xfId="22488"/>
    <cellStyle name="Percent 3 20 2 2 3" xfId="13270"/>
    <cellStyle name="Percent 3 20 2 2 4" xfId="19422"/>
    <cellStyle name="Percent 3 20 2 3" xfId="8608"/>
    <cellStyle name="Percent 3 20 2 3 2" xfId="14802"/>
    <cellStyle name="Percent 3 20 2 3 3" xfId="20954"/>
    <cellStyle name="Percent 3 20 2 4" xfId="11736"/>
    <cellStyle name="Percent 3 20 2 5" xfId="17888"/>
    <cellStyle name="Percent 3 20 3" xfId="6284"/>
    <cellStyle name="Percent 3 20 3 2" xfId="9374"/>
    <cellStyle name="Percent 3 20 3 2 2" xfId="15567"/>
    <cellStyle name="Percent 3 20 3 2 3" xfId="21719"/>
    <cellStyle name="Percent 3 20 3 3" xfId="12501"/>
    <cellStyle name="Percent 3 20 3 4" xfId="18653"/>
    <cellStyle name="Percent 3 20 4" xfId="7839"/>
    <cellStyle name="Percent 3 20 4 2" xfId="14033"/>
    <cellStyle name="Percent 3 20 4 3" xfId="20185"/>
    <cellStyle name="Percent 3 20 5" xfId="10967"/>
    <cellStyle name="Percent 3 20 6" xfId="17119"/>
    <cellStyle name="Percent 3 20 7" xfId="4396"/>
    <cellStyle name="Percent 3 21" xfId="572"/>
    <cellStyle name="Percent 3 21 2" xfId="5433"/>
    <cellStyle name="Percent 3 21 2 2" xfId="7058"/>
    <cellStyle name="Percent 3 21 2 2 2" xfId="10144"/>
    <cellStyle name="Percent 3 21 2 2 2 2" xfId="16337"/>
    <cellStyle name="Percent 3 21 2 2 2 3" xfId="22489"/>
    <cellStyle name="Percent 3 21 2 2 3" xfId="13271"/>
    <cellStyle name="Percent 3 21 2 2 4" xfId="19423"/>
    <cellStyle name="Percent 3 21 2 3" xfId="8609"/>
    <cellStyle name="Percent 3 21 2 3 2" xfId="14803"/>
    <cellStyle name="Percent 3 21 2 3 3" xfId="20955"/>
    <cellStyle name="Percent 3 21 2 4" xfId="11737"/>
    <cellStyle name="Percent 3 21 2 5" xfId="17889"/>
    <cellStyle name="Percent 3 21 3" xfId="6285"/>
    <cellStyle name="Percent 3 21 3 2" xfId="9375"/>
    <cellStyle name="Percent 3 21 3 2 2" xfId="15568"/>
    <cellStyle name="Percent 3 21 3 2 3" xfId="21720"/>
    <cellStyle name="Percent 3 21 3 3" xfId="12502"/>
    <cellStyle name="Percent 3 21 3 4" xfId="18654"/>
    <cellStyle name="Percent 3 21 4" xfId="7840"/>
    <cellStyle name="Percent 3 21 4 2" xfId="14034"/>
    <cellStyle name="Percent 3 21 4 3" xfId="20186"/>
    <cellStyle name="Percent 3 21 5" xfId="10968"/>
    <cellStyle name="Percent 3 21 6" xfId="17120"/>
    <cellStyle name="Percent 3 21 7" xfId="4397"/>
    <cellStyle name="Percent 3 22" xfId="562"/>
    <cellStyle name="Percent 3 22 2" xfId="10237"/>
    <cellStyle name="Percent 3 23" xfId="470"/>
    <cellStyle name="Percent 3 24" xfId="682"/>
    <cellStyle name="Percent 3 25" xfId="708"/>
    <cellStyle name="Percent 3 26" xfId="714"/>
    <cellStyle name="Percent 3 27" xfId="742"/>
    <cellStyle name="Percent 3 28" xfId="768"/>
    <cellStyle name="Percent 3 29" xfId="793"/>
    <cellStyle name="Percent 3 3" xfId="62"/>
    <cellStyle name="Percent 3 3 2" xfId="246"/>
    <cellStyle name="Percent 3 3 2 2" xfId="5434"/>
    <cellStyle name="Percent 3 3 2 2 2" xfId="7059"/>
    <cellStyle name="Percent 3 3 2 2 2 2" xfId="10145"/>
    <cellStyle name="Percent 3 3 2 2 2 2 2" xfId="16338"/>
    <cellStyle name="Percent 3 3 2 2 2 2 3" xfId="22490"/>
    <cellStyle name="Percent 3 3 2 2 2 3" xfId="13272"/>
    <cellStyle name="Percent 3 3 2 2 2 4" xfId="19424"/>
    <cellStyle name="Percent 3 3 2 2 3" xfId="8610"/>
    <cellStyle name="Percent 3 3 2 2 3 2" xfId="14804"/>
    <cellStyle name="Percent 3 3 2 2 3 3" xfId="20956"/>
    <cellStyle name="Percent 3 3 2 2 4" xfId="11738"/>
    <cellStyle name="Percent 3 3 2 2 5" xfId="17890"/>
    <cellStyle name="Percent 3 3 2 3" xfId="6286"/>
    <cellStyle name="Percent 3 3 2 3 2" xfId="9376"/>
    <cellStyle name="Percent 3 3 2 3 2 2" xfId="15569"/>
    <cellStyle name="Percent 3 3 2 3 2 3" xfId="21721"/>
    <cellStyle name="Percent 3 3 2 3 3" xfId="12503"/>
    <cellStyle name="Percent 3 3 2 3 4" xfId="18655"/>
    <cellStyle name="Percent 3 3 2 4" xfId="7841"/>
    <cellStyle name="Percent 3 3 2 4 2" xfId="14035"/>
    <cellStyle name="Percent 3 3 2 4 3" xfId="20187"/>
    <cellStyle name="Percent 3 3 2 5" xfId="10969"/>
    <cellStyle name="Percent 3 3 2 6" xfId="17121"/>
    <cellStyle name="Percent 3 3 2 7" xfId="4399"/>
    <cellStyle name="Percent 3 3 3" xfId="4400"/>
    <cellStyle name="Percent 3 3 3 2" xfId="5435"/>
    <cellStyle name="Percent 3 3 3 2 2" xfId="7060"/>
    <cellStyle name="Percent 3 3 3 2 2 2" xfId="10146"/>
    <cellStyle name="Percent 3 3 3 2 2 2 2" xfId="16339"/>
    <cellStyle name="Percent 3 3 3 2 2 2 3" xfId="22491"/>
    <cellStyle name="Percent 3 3 3 2 2 3" xfId="13273"/>
    <cellStyle name="Percent 3 3 3 2 2 4" xfId="19425"/>
    <cellStyle name="Percent 3 3 3 2 3" xfId="8611"/>
    <cellStyle name="Percent 3 3 3 2 3 2" xfId="14805"/>
    <cellStyle name="Percent 3 3 3 2 3 3" xfId="20957"/>
    <cellStyle name="Percent 3 3 3 2 4" xfId="11739"/>
    <cellStyle name="Percent 3 3 3 2 5" xfId="17891"/>
    <cellStyle name="Percent 3 3 3 3" xfId="6287"/>
    <cellStyle name="Percent 3 3 3 3 2" xfId="9377"/>
    <cellStyle name="Percent 3 3 3 3 2 2" xfId="15570"/>
    <cellStyle name="Percent 3 3 3 3 2 3" xfId="21722"/>
    <cellStyle name="Percent 3 3 3 3 3" xfId="12504"/>
    <cellStyle name="Percent 3 3 3 3 4" xfId="18656"/>
    <cellStyle name="Percent 3 3 3 4" xfId="7842"/>
    <cellStyle name="Percent 3 3 3 4 2" xfId="14036"/>
    <cellStyle name="Percent 3 3 3 4 3" xfId="20188"/>
    <cellStyle name="Percent 3 3 3 5" xfId="10970"/>
    <cellStyle name="Percent 3 3 3 6" xfId="17122"/>
    <cellStyle name="Percent 3 3 4" xfId="4401"/>
    <cellStyle name="Percent 3 3 4 2" xfId="5436"/>
    <cellStyle name="Percent 3 3 4 2 2" xfId="7061"/>
    <cellStyle name="Percent 3 3 4 2 2 2" xfId="10147"/>
    <cellStyle name="Percent 3 3 4 2 2 2 2" xfId="16340"/>
    <cellStyle name="Percent 3 3 4 2 2 2 3" xfId="22492"/>
    <cellStyle name="Percent 3 3 4 2 2 3" xfId="13274"/>
    <cellStyle name="Percent 3 3 4 2 2 4" xfId="19426"/>
    <cellStyle name="Percent 3 3 4 2 3" xfId="8612"/>
    <cellStyle name="Percent 3 3 4 2 3 2" xfId="14806"/>
    <cellStyle name="Percent 3 3 4 2 3 3" xfId="20958"/>
    <cellStyle name="Percent 3 3 4 2 4" xfId="11740"/>
    <cellStyle name="Percent 3 3 4 2 5" xfId="17892"/>
    <cellStyle name="Percent 3 3 4 3" xfId="6288"/>
    <cellStyle name="Percent 3 3 4 3 2" xfId="9378"/>
    <cellStyle name="Percent 3 3 4 3 2 2" xfId="15571"/>
    <cellStyle name="Percent 3 3 4 3 2 3" xfId="21723"/>
    <cellStyle name="Percent 3 3 4 3 3" xfId="12505"/>
    <cellStyle name="Percent 3 3 4 3 4" xfId="18657"/>
    <cellStyle name="Percent 3 3 4 4" xfId="7843"/>
    <cellStyle name="Percent 3 3 4 4 2" xfId="14037"/>
    <cellStyle name="Percent 3 3 4 4 3" xfId="20189"/>
    <cellStyle name="Percent 3 3 4 5" xfId="10971"/>
    <cellStyle name="Percent 3 3 4 6" xfId="17123"/>
    <cellStyle name="Percent 3 3 5" xfId="4402"/>
    <cellStyle name="Percent 3 3 5 2" xfId="5437"/>
    <cellStyle name="Percent 3 3 5 2 2" xfId="7062"/>
    <cellStyle name="Percent 3 3 5 2 2 2" xfId="10148"/>
    <cellStyle name="Percent 3 3 5 2 2 2 2" xfId="16341"/>
    <cellStyle name="Percent 3 3 5 2 2 2 3" xfId="22493"/>
    <cellStyle name="Percent 3 3 5 2 2 3" xfId="13275"/>
    <cellStyle name="Percent 3 3 5 2 2 4" xfId="19427"/>
    <cellStyle name="Percent 3 3 5 2 3" xfId="8613"/>
    <cellStyle name="Percent 3 3 5 2 3 2" xfId="14807"/>
    <cellStyle name="Percent 3 3 5 2 3 3" xfId="20959"/>
    <cellStyle name="Percent 3 3 5 2 4" xfId="11741"/>
    <cellStyle name="Percent 3 3 5 2 5" xfId="17893"/>
    <cellStyle name="Percent 3 3 5 3" xfId="6289"/>
    <cellStyle name="Percent 3 3 5 3 2" xfId="9379"/>
    <cellStyle name="Percent 3 3 5 3 2 2" xfId="15572"/>
    <cellStyle name="Percent 3 3 5 3 2 3" xfId="21724"/>
    <cellStyle name="Percent 3 3 5 3 3" xfId="12506"/>
    <cellStyle name="Percent 3 3 5 3 4" xfId="18658"/>
    <cellStyle name="Percent 3 3 5 4" xfId="7844"/>
    <cellStyle name="Percent 3 3 5 4 2" xfId="14038"/>
    <cellStyle name="Percent 3 3 5 4 3" xfId="20190"/>
    <cellStyle name="Percent 3 3 5 5" xfId="10972"/>
    <cellStyle name="Percent 3 3 5 6" xfId="17124"/>
    <cellStyle name="Percent 3 3 6" xfId="10260"/>
    <cellStyle name="Percent 3 3 7" xfId="4398"/>
    <cellStyle name="Percent 3 3 8" xfId="23314"/>
    <cellStyle name="Percent 3 30" xfId="852"/>
    <cellStyle name="Percent 3 31" xfId="854"/>
    <cellStyle name="Percent 3 32" xfId="22817"/>
    <cellStyle name="Percent 3 33" xfId="196"/>
    <cellStyle name="Percent 3 4" xfId="99"/>
    <cellStyle name="Percent 3 4 10" xfId="17125"/>
    <cellStyle name="Percent 3 4 11" xfId="4403"/>
    <cellStyle name="Percent 3 4 12" xfId="215"/>
    <cellStyle name="Percent 3 4 13" xfId="23315"/>
    <cellStyle name="Percent 3 4 2" xfId="270"/>
    <cellStyle name="Percent 3 4 2 2" xfId="5439"/>
    <cellStyle name="Percent 3 4 2 2 2" xfId="7064"/>
    <cellStyle name="Percent 3 4 2 2 2 2" xfId="10150"/>
    <cellStyle name="Percent 3 4 2 2 2 2 2" xfId="16343"/>
    <cellStyle name="Percent 3 4 2 2 2 2 3" xfId="22495"/>
    <cellStyle name="Percent 3 4 2 2 2 3" xfId="13277"/>
    <cellStyle name="Percent 3 4 2 2 2 4" xfId="19429"/>
    <cellStyle name="Percent 3 4 2 2 3" xfId="8615"/>
    <cellStyle name="Percent 3 4 2 2 3 2" xfId="14809"/>
    <cellStyle name="Percent 3 4 2 2 3 3" xfId="20961"/>
    <cellStyle name="Percent 3 4 2 2 4" xfId="11743"/>
    <cellStyle name="Percent 3 4 2 2 5" xfId="17895"/>
    <cellStyle name="Percent 3 4 2 3" xfId="6291"/>
    <cellStyle name="Percent 3 4 2 3 2" xfId="9381"/>
    <cellStyle name="Percent 3 4 2 3 2 2" xfId="15574"/>
    <cellStyle name="Percent 3 4 2 3 2 3" xfId="21726"/>
    <cellStyle name="Percent 3 4 2 3 3" xfId="12508"/>
    <cellStyle name="Percent 3 4 2 3 4" xfId="18660"/>
    <cellStyle name="Percent 3 4 2 4" xfId="7846"/>
    <cellStyle name="Percent 3 4 2 4 2" xfId="14040"/>
    <cellStyle name="Percent 3 4 2 4 3" xfId="20192"/>
    <cellStyle name="Percent 3 4 2 5" xfId="10974"/>
    <cellStyle name="Percent 3 4 2 6" xfId="17126"/>
    <cellStyle name="Percent 3 4 2 7" xfId="4404"/>
    <cellStyle name="Percent 3 4 3" xfId="4405"/>
    <cellStyle name="Percent 3 4 3 2" xfId="5440"/>
    <cellStyle name="Percent 3 4 3 2 2" xfId="7065"/>
    <cellStyle name="Percent 3 4 3 2 2 2" xfId="10151"/>
    <cellStyle name="Percent 3 4 3 2 2 2 2" xfId="16344"/>
    <cellStyle name="Percent 3 4 3 2 2 2 3" xfId="22496"/>
    <cellStyle name="Percent 3 4 3 2 2 3" xfId="13278"/>
    <cellStyle name="Percent 3 4 3 2 2 4" xfId="19430"/>
    <cellStyle name="Percent 3 4 3 2 3" xfId="8616"/>
    <cellStyle name="Percent 3 4 3 2 3 2" xfId="14810"/>
    <cellStyle name="Percent 3 4 3 2 3 3" xfId="20962"/>
    <cellStyle name="Percent 3 4 3 2 4" xfId="11744"/>
    <cellStyle name="Percent 3 4 3 2 5" xfId="17896"/>
    <cellStyle name="Percent 3 4 3 3" xfId="6292"/>
    <cellStyle name="Percent 3 4 3 3 2" xfId="9382"/>
    <cellStyle name="Percent 3 4 3 3 2 2" xfId="15575"/>
    <cellStyle name="Percent 3 4 3 3 2 3" xfId="21727"/>
    <cellStyle name="Percent 3 4 3 3 3" xfId="12509"/>
    <cellStyle name="Percent 3 4 3 3 4" xfId="18661"/>
    <cellStyle name="Percent 3 4 3 4" xfId="7847"/>
    <cellStyle name="Percent 3 4 3 4 2" xfId="14041"/>
    <cellStyle name="Percent 3 4 3 4 3" xfId="20193"/>
    <cellStyle name="Percent 3 4 3 5" xfId="10975"/>
    <cellStyle name="Percent 3 4 3 6" xfId="17127"/>
    <cellStyle name="Percent 3 4 4" xfId="4406"/>
    <cellStyle name="Percent 3 4 4 2" xfId="5441"/>
    <cellStyle name="Percent 3 4 4 2 2" xfId="7066"/>
    <cellStyle name="Percent 3 4 4 2 2 2" xfId="10152"/>
    <cellStyle name="Percent 3 4 4 2 2 2 2" xfId="16345"/>
    <cellStyle name="Percent 3 4 4 2 2 2 3" xfId="22497"/>
    <cellStyle name="Percent 3 4 4 2 2 3" xfId="13279"/>
    <cellStyle name="Percent 3 4 4 2 2 4" xfId="19431"/>
    <cellStyle name="Percent 3 4 4 2 3" xfId="8617"/>
    <cellStyle name="Percent 3 4 4 2 3 2" xfId="14811"/>
    <cellStyle name="Percent 3 4 4 2 3 3" xfId="20963"/>
    <cellStyle name="Percent 3 4 4 2 4" xfId="11745"/>
    <cellStyle name="Percent 3 4 4 2 5" xfId="17897"/>
    <cellStyle name="Percent 3 4 4 3" xfId="6293"/>
    <cellStyle name="Percent 3 4 4 3 2" xfId="9383"/>
    <cellStyle name="Percent 3 4 4 3 2 2" xfId="15576"/>
    <cellStyle name="Percent 3 4 4 3 2 3" xfId="21728"/>
    <cellStyle name="Percent 3 4 4 3 3" xfId="12510"/>
    <cellStyle name="Percent 3 4 4 3 4" xfId="18662"/>
    <cellStyle name="Percent 3 4 4 4" xfId="7848"/>
    <cellStyle name="Percent 3 4 4 4 2" xfId="14042"/>
    <cellStyle name="Percent 3 4 4 4 3" xfId="20194"/>
    <cellStyle name="Percent 3 4 4 5" xfId="10976"/>
    <cellStyle name="Percent 3 4 4 6" xfId="17128"/>
    <cellStyle name="Percent 3 4 5" xfId="4407"/>
    <cellStyle name="Percent 3 4 5 2" xfId="5442"/>
    <cellStyle name="Percent 3 4 5 2 2" xfId="7067"/>
    <cellStyle name="Percent 3 4 5 2 2 2" xfId="10153"/>
    <cellStyle name="Percent 3 4 5 2 2 2 2" xfId="16346"/>
    <cellStyle name="Percent 3 4 5 2 2 2 3" xfId="22498"/>
    <cellStyle name="Percent 3 4 5 2 2 3" xfId="13280"/>
    <cellStyle name="Percent 3 4 5 2 2 4" xfId="19432"/>
    <cellStyle name="Percent 3 4 5 2 3" xfId="8618"/>
    <cellStyle name="Percent 3 4 5 2 3 2" xfId="14812"/>
    <cellStyle name="Percent 3 4 5 2 3 3" xfId="20964"/>
    <cellStyle name="Percent 3 4 5 2 4" xfId="11746"/>
    <cellStyle name="Percent 3 4 5 2 5" xfId="17898"/>
    <cellStyle name="Percent 3 4 5 3" xfId="6294"/>
    <cellStyle name="Percent 3 4 5 3 2" xfId="9384"/>
    <cellStyle name="Percent 3 4 5 3 2 2" xfId="15577"/>
    <cellStyle name="Percent 3 4 5 3 2 3" xfId="21729"/>
    <cellStyle name="Percent 3 4 5 3 3" xfId="12511"/>
    <cellStyle name="Percent 3 4 5 3 4" xfId="18663"/>
    <cellStyle name="Percent 3 4 5 4" xfId="7849"/>
    <cellStyle name="Percent 3 4 5 4 2" xfId="14043"/>
    <cellStyle name="Percent 3 4 5 4 3" xfId="20195"/>
    <cellStyle name="Percent 3 4 5 5" xfId="10977"/>
    <cellStyle name="Percent 3 4 5 6" xfId="17129"/>
    <cellStyle name="Percent 3 4 6" xfId="5438"/>
    <cellStyle name="Percent 3 4 6 2" xfId="7063"/>
    <cellStyle name="Percent 3 4 6 2 2" xfId="10149"/>
    <cellStyle name="Percent 3 4 6 2 2 2" xfId="16342"/>
    <cellStyle name="Percent 3 4 6 2 2 3" xfId="22494"/>
    <cellStyle name="Percent 3 4 6 2 3" xfId="13276"/>
    <cellStyle name="Percent 3 4 6 2 4" xfId="19428"/>
    <cellStyle name="Percent 3 4 6 3" xfId="8614"/>
    <cellStyle name="Percent 3 4 6 3 2" xfId="14808"/>
    <cellStyle name="Percent 3 4 6 3 3" xfId="20960"/>
    <cellStyle name="Percent 3 4 6 4" xfId="11742"/>
    <cellStyle name="Percent 3 4 6 5" xfId="17894"/>
    <cellStyle name="Percent 3 4 7" xfId="6290"/>
    <cellStyle name="Percent 3 4 7 2" xfId="9380"/>
    <cellStyle name="Percent 3 4 7 2 2" xfId="15573"/>
    <cellStyle name="Percent 3 4 7 2 3" xfId="21725"/>
    <cellStyle name="Percent 3 4 7 3" xfId="12507"/>
    <cellStyle name="Percent 3 4 7 4" xfId="18659"/>
    <cellStyle name="Percent 3 4 8" xfId="7845"/>
    <cellStyle name="Percent 3 4 8 2" xfId="14039"/>
    <cellStyle name="Percent 3 4 8 3" xfId="20191"/>
    <cellStyle name="Percent 3 4 9" xfId="10973"/>
    <cellStyle name="Percent 3 5" xfId="242"/>
    <cellStyle name="Percent 3 5 2" xfId="4409"/>
    <cellStyle name="Percent 3 5 2 2" xfId="5444"/>
    <cellStyle name="Percent 3 5 2 2 2" xfId="7069"/>
    <cellStyle name="Percent 3 5 2 2 2 2" xfId="10155"/>
    <cellStyle name="Percent 3 5 2 2 2 2 2" xfId="16348"/>
    <cellStyle name="Percent 3 5 2 2 2 2 3" xfId="22500"/>
    <cellStyle name="Percent 3 5 2 2 2 3" xfId="13282"/>
    <cellStyle name="Percent 3 5 2 2 2 4" xfId="19434"/>
    <cellStyle name="Percent 3 5 2 2 3" xfId="8620"/>
    <cellStyle name="Percent 3 5 2 2 3 2" xfId="14814"/>
    <cellStyle name="Percent 3 5 2 2 3 3" xfId="20966"/>
    <cellStyle name="Percent 3 5 2 2 4" xfId="11748"/>
    <cellStyle name="Percent 3 5 2 2 5" xfId="17900"/>
    <cellStyle name="Percent 3 5 2 3" xfId="6296"/>
    <cellStyle name="Percent 3 5 2 3 2" xfId="9386"/>
    <cellStyle name="Percent 3 5 2 3 2 2" xfId="15579"/>
    <cellStyle name="Percent 3 5 2 3 2 3" xfId="21731"/>
    <cellStyle name="Percent 3 5 2 3 3" xfId="12513"/>
    <cellStyle name="Percent 3 5 2 3 4" xfId="18665"/>
    <cellStyle name="Percent 3 5 2 4" xfId="7851"/>
    <cellStyle name="Percent 3 5 2 4 2" xfId="14045"/>
    <cellStyle name="Percent 3 5 2 4 3" xfId="20197"/>
    <cellStyle name="Percent 3 5 2 5" xfId="10979"/>
    <cellStyle name="Percent 3 5 2 6" xfId="17131"/>
    <cellStyle name="Percent 3 5 3" xfId="5443"/>
    <cellStyle name="Percent 3 5 3 2" xfId="7068"/>
    <cellStyle name="Percent 3 5 3 2 2" xfId="10154"/>
    <cellStyle name="Percent 3 5 3 2 2 2" xfId="16347"/>
    <cellStyle name="Percent 3 5 3 2 2 3" xfId="22499"/>
    <cellStyle name="Percent 3 5 3 2 3" xfId="13281"/>
    <cellStyle name="Percent 3 5 3 2 4" xfId="19433"/>
    <cellStyle name="Percent 3 5 3 3" xfId="8619"/>
    <cellStyle name="Percent 3 5 3 3 2" xfId="14813"/>
    <cellStyle name="Percent 3 5 3 3 3" xfId="20965"/>
    <cellStyle name="Percent 3 5 3 4" xfId="11747"/>
    <cellStyle name="Percent 3 5 3 5" xfId="17899"/>
    <cellStyle name="Percent 3 5 4" xfId="6295"/>
    <cellStyle name="Percent 3 5 4 2" xfId="9385"/>
    <cellStyle name="Percent 3 5 4 2 2" xfId="15578"/>
    <cellStyle name="Percent 3 5 4 2 3" xfId="21730"/>
    <cellStyle name="Percent 3 5 4 3" xfId="12512"/>
    <cellStyle name="Percent 3 5 4 4" xfId="18664"/>
    <cellStyle name="Percent 3 5 5" xfId="7850"/>
    <cellStyle name="Percent 3 5 5 2" xfId="14044"/>
    <cellStyle name="Percent 3 5 5 3" xfId="20196"/>
    <cellStyle name="Percent 3 5 6" xfId="10978"/>
    <cellStyle name="Percent 3 5 7" xfId="17130"/>
    <cellStyle name="Percent 3 5 8" xfId="4408"/>
    <cellStyle name="Percent 3 5 9" xfId="23316"/>
    <cellStyle name="Percent 3 6" xfId="277"/>
    <cellStyle name="Percent 3 6 2" xfId="4411"/>
    <cellStyle name="Percent 3 6 2 2" xfId="5446"/>
    <cellStyle name="Percent 3 6 2 2 2" xfId="7071"/>
    <cellStyle name="Percent 3 6 2 2 2 2" xfId="10157"/>
    <cellStyle name="Percent 3 6 2 2 2 2 2" xfId="16350"/>
    <cellStyle name="Percent 3 6 2 2 2 2 3" xfId="22502"/>
    <cellStyle name="Percent 3 6 2 2 2 3" xfId="13284"/>
    <cellStyle name="Percent 3 6 2 2 2 4" xfId="19436"/>
    <cellStyle name="Percent 3 6 2 2 3" xfId="8622"/>
    <cellStyle name="Percent 3 6 2 2 3 2" xfId="14816"/>
    <cellStyle name="Percent 3 6 2 2 3 3" xfId="20968"/>
    <cellStyle name="Percent 3 6 2 2 4" xfId="11750"/>
    <cellStyle name="Percent 3 6 2 2 5" xfId="17902"/>
    <cellStyle name="Percent 3 6 2 3" xfId="6298"/>
    <cellStyle name="Percent 3 6 2 3 2" xfId="9388"/>
    <cellStyle name="Percent 3 6 2 3 2 2" xfId="15581"/>
    <cellStyle name="Percent 3 6 2 3 2 3" xfId="21733"/>
    <cellStyle name="Percent 3 6 2 3 3" xfId="12515"/>
    <cellStyle name="Percent 3 6 2 3 4" xfId="18667"/>
    <cellStyle name="Percent 3 6 2 4" xfId="7853"/>
    <cellStyle name="Percent 3 6 2 4 2" xfId="14047"/>
    <cellStyle name="Percent 3 6 2 4 3" xfId="20199"/>
    <cellStyle name="Percent 3 6 2 5" xfId="10981"/>
    <cellStyle name="Percent 3 6 2 6" xfId="17133"/>
    <cellStyle name="Percent 3 6 3" xfId="5445"/>
    <cellStyle name="Percent 3 6 3 2" xfId="7070"/>
    <cellStyle name="Percent 3 6 3 2 2" xfId="10156"/>
    <cellStyle name="Percent 3 6 3 2 2 2" xfId="16349"/>
    <cellStyle name="Percent 3 6 3 2 2 3" xfId="22501"/>
    <cellStyle name="Percent 3 6 3 2 3" xfId="13283"/>
    <cellStyle name="Percent 3 6 3 2 4" xfId="19435"/>
    <cellStyle name="Percent 3 6 3 3" xfId="8621"/>
    <cellStyle name="Percent 3 6 3 3 2" xfId="14815"/>
    <cellStyle name="Percent 3 6 3 3 3" xfId="20967"/>
    <cellStyle name="Percent 3 6 3 4" xfId="11749"/>
    <cellStyle name="Percent 3 6 3 5" xfId="17901"/>
    <cellStyle name="Percent 3 6 4" xfId="6297"/>
    <cellStyle name="Percent 3 6 4 2" xfId="9387"/>
    <cellStyle name="Percent 3 6 4 2 2" xfId="15580"/>
    <cellStyle name="Percent 3 6 4 2 3" xfId="21732"/>
    <cellStyle name="Percent 3 6 4 3" xfId="12514"/>
    <cellStyle name="Percent 3 6 4 4" xfId="18666"/>
    <cellStyle name="Percent 3 6 5" xfId="7852"/>
    <cellStyle name="Percent 3 6 5 2" xfId="14046"/>
    <cellStyle name="Percent 3 6 5 3" xfId="20198"/>
    <cellStyle name="Percent 3 6 6" xfId="10980"/>
    <cellStyle name="Percent 3 6 7" xfId="17132"/>
    <cellStyle name="Percent 3 6 8" xfId="4410"/>
    <cellStyle name="Percent 3 6 9" xfId="23317"/>
    <cellStyle name="Percent 3 7" xfId="304"/>
    <cellStyle name="Percent 3 7 2" xfId="4413"/>
    <cellStyle name="Percent 3 7 2 2" xfId="5448"/>
    <cellStyle name="Percent 3 7 2 2 2" xfId="7073"/>
    <cellStyle name="Percent 3 7 2 2 2 2" xfId="10159"/>
    <cellStyle name="Percent 3 7 2 2 2 2 2" xfId="16352"/>
    <cellStyle name="Percent 3 7 2 2 2 2 3" xfId="22504"/>
    <cellStyle name="Percent 3 7 2 2 2 3" xfId="13286"/>
    <cellStyle name="Percent 3 7 2 2 2 4" xfId="19438"/>
    <cellStyle name="Percent 3 7 2 2 3" xfId="8624"/>
    <cellStyle name="Percent 3 7 2 2 3 2" xfId="14818"/>
    <cellStyle name="Percent 3 7 2 2 3 3" xfId="20970"/>
    <cellStyle name="Percent 3 7 2 2 4" xfId="11752"/>
    <cellStyle name="Percent 3 7 2 2 5" xfId="17904"/>
    <cellStyle name="Percent 3 7 2 3" xfId="6300"/>
    <cellStyle name="Percent 3 7 2 3 2" xfId="9390"/>
    <cellStyle name="Percent 3 7 2 3 2 2" xfId="15583"/>
    <cellStyle name="Percent 3 7 2 3 2 3" xfId="21735"/>
    <cellStyle name="Percent 3 7 2 3 3" xfId="12517"/>
    <cellStyle name="Percent 3 7 2 3 4" xfId="18669"/>
    <cellStyle name="Percent 3 7 2 4" xfId="7855"/>
    <cellStyle name="Percent 3 7 2 4 2" xfId="14049"/>
    <cellStyle name="Percent 3 7 2 4 3" xfId="20201"/>
    <cellStyle name="Percent 3 7 2 5" xfId="10983"/>
    <cellStyle name="Percent 3 7 2 6" xfId="17135"/>
    <cellStyle name="Percent 3 7 3" xfId="5447"/>
    <cellStyle name="Percent 3 7 3 2" xfId="7072"/>
    <cellStyle name="Percent 3 7 3 2 2" xfId="10158"/>
    <cellStyle name="Percent 3 7 3 2 2 2" xfId="16351"/>
    <cellStyle name="Percent 3 7 3 2 2 3" xfId="22503"/>
    <cellStyle name="Percent 3 7 3 2 3" xfId="13285"/>
    <cellStyle name="Percent 3 7 3 2 4" xfId="19437"/>
    <cellStyle name="Percent 3 7 3 3" xfId="8623"/>
    <cellStyle name="Percent 3 7 3 3 2" xfId="14817"/>
    <cellStyle name="Percent 3 7 3 3 3" xfId="20969"/>
    <cellStyle name="Percent 3 7 3 4" xfId="11751"/>
    <cellStyle name="Percent 3 7 3 5" xfId="17903"/>
    <cellStyle name="Percent 3 7 4" xfId="6299"/>
    <cellStyle name="Percent 3 7 4 2" xfId="9389"/>
    <cellStyle name="Percent 3 7 4 2 2" xfId="15582"/>
    <cellStyle name="Percent 3 7 4 2 3" xfId="21734"/>
    <cellStyle name="Percent 3 7 4 3" xfId="12516"/>
    <cellStyle name="Percent 3 7 4 4" xfId="18668"/>
    <cellStyle name="Percent 3 7 5" xfId="7854"/>
    <cellStyle name="Percent 3 7 5 2" xfId="14048"/>
    <cellStyle name="Percent 3 7 5 3" xfId="20200"/>
    <cellStyle name="Percent 3 7 6" xfId="10982"/>
    <cellStyle name="Percent 3 7 7" xfId="17134"/>
    <cellStyle name="Percent 3 7 8" xfId="4412"/>
    <cellStyle name="Percent 3 8" xfId="313"/>
    <cellStyle name="Percent 3 8 2" xfId="5449"/>
    <cellStyle name="Percent 3 8 2 2" xfId="7074"/>
    <cellStyle name="Percent 3 8 2 2 2" xfId="10160"/>
    <cellStyle name="Percent 3 8 2 2 2 2" xfId="16353"/>
    <cellStyle name="Percent 3 8 2 2 2 3" xfId="22505"/>
    <cellStyle name="Percent 3 8 2 2 3" xfId="13287"/>
    <cellStyle name="Percent 3 8 2 2 4" xfId="19439"/>
    <cellStyle name="Percent 3 8 2 3" xfId="8625"/>
    <cellStyle name="Percent 3 8 2 3 2" xfId="14819"/>
    <cellStyle name="Percent 3 8 2 3 3" xfId="20971"/>
    <cellStyle name="Percent 3 8 2 4" xfId="11753"/>
    <cellStyle name="Percent 3 8 2 5" xfId="17905"/>
    <cellStyle name="Percent 3 8 3" xfId="6301"/>
    <cellStyle name="Percent 3 8 3 2" xfId="9391"/>
    <cellStyle name="Percent 3 8 3 2 2" xfId="15584"/>
    <cellStyle name="Percent 3 8 3 2 3" xfId="21736"/>
    <cellStyle name="Percent 3 8 3 3" xfId="12518"/>
    <cellStyle name="Percent 3 8 3 4" xfId="18670"/>
    <cellStyle name="Percent 3 8 4" xfId="7856"/>
    <cellStyle name="Percent 3 8 4 2" xfId="14050"/>
    <cellStyle name="Percent 3 8 4 3" xfId="20202"/>
    <cellStyle name="Percent 3 8 5" xfId="10984"/>
    <cellStyle name="Percent 3 8 6" xfId="17136"/>
    <cellStyle name="Percent 3 8 7" xfId="4414"/>
    <cellStyle name="Percent 3 9" xfId="349"/>
    <cellStyle name="Percent 3 9 2" xfId="5450"/>
    <cellStyle name="Percent 3 9 2 2" xfId="7075"/>
    <cellStyle name="Percent 3 9 2 2 2" xfId="10161"/>
    <cellStyle name="Percent 3 9 2 2 2 2" xfId="16354"/>
    <cellStyle name="Percent 3 9 2 2 2 3" xfId="22506"/>
    <cellStyle name="Percent 3 9 2 2 3" xfId="13288"/>
    <cellStyle name="Percent 3 9 2 2 4" xfId="19440"/>
    <cellStyle name="Percent 3 9 2 3" xfId="8626"/>
    <cellStyle name="Percent 3 9 2 3 2" xfId="14820"/>
    <cellStyle name="Percent 3 9 2 3 3" xfId="20972"/>
    <cellStyle name="Percent 3 9 2 4" xfId="11754"/>
    <cellStyle name="Percent 3 9 2 5" xfId="17906"/>
    <cellStyle name="Percent 3 9 3" xfId="6302"/>
    <cellStyle name="Percent 3 9 3 2" xfId="9392"/>
    <cellStyle name="Percent 3 9 3 2 2" xfId="15585"/>
    <cellStyle name="Percent 3 9 3 2 3" xfId="21737"/>
    <cellStyle name="Percent 3 9 3 3" xfId="12519"/>
    <cellStyle name="Percent 3 9 3 4" xfId="18671"/>
    <cellStyle name="Percent 3 9 4" xfId="7857"/>
    <cellStyle name="Percent 3 9 4 2" xfId="14051"/>
    <cellStyle name="Percent 3 9 4 3" xfId="20203"/>
    <cellStyle name="Percent 3 9 5" xfId="10985"/>
    <cellStyle name="Percent 3 9 6" xfId="17137"/>
    <cellStyle name="Percent 3 9 7" xfId="4415"/>
    <cellStyle name="Percent 30" xfId="4416"/>
    <cellStyle name="Percent 30 2" xfId="4417"/>
    <cellStyle name="Percent 30 2 2" xfId="4418"/>
    <cellStyle name="Percent 30 2 2 2" xfId="5452"/>
    <cellStyle name="Percent 30 2 2 2 2" xfId="7077"/>
    <cellStyle name="Percent 30 2 2 2 2 2" xfId="10163"/>
    <cellStyle name="Percent 30 2 2 2 2 2 2" xfId="16356"/>
    <cellStyle name="Percent 30 2 2 2 2 2 3" xfId="22508"/>
    <cellStyle name="Percent 30 2 2 2 2 3" xfId="13290"/>
    <cellStyle name="Percent 30 2 2 2 2 4" xfId="19442"/>
    <cellStyle name="Percent 30 2 2 2 3" xfId="8628"/>
    <cellStyle name="Percent 30 2 2 2 3 2" xfId="14822"/>
    <cellStyle name="Percent 30 2 2 2 3 3" xfId="20974"/>
    <cellStyle name="Percent 30 2 2 2 4" xfId="11756"/>
    <cellStyle name="Percent 30 2 2 2 5" xfId="17908"/>
    <cellStyle name="Percent 30 2 2 3" xfId="6305"/>
    <cellStyle name="Percent 30 2 2 3 2" xfId="9394"/>
    <cellStyle name="Percent 30 2 2 3 2 2" xfId="15587"/>
    <cellStyle name="Percent 30 2 2 3 2 3" xfId="21739"/>
    <cellStyle name="Percent 30 2 2 3 3" xfId="12521"/>
    <cellStyle name="Percent 30 2 2 3 4" xfId="18673"/>
    <cellStyle name="Percent 30 2 2 4" xfId="7859"/>
    <cellStyle name="Percent 30 2 2 4 2" xfId="14053"/>
    <cellStyle name="Percent 30 2 2 4 3" xfId="20205"/>
    <cellStyle name="Percent 30 2 2 5" xfId="10987"/>
    <cellStyle name="Percent 30 2 2 6" xfId="17139"/>
    <cellStyle name="Percent 30 2 3" xfId="5451"/>
    <cellStyle name="Percent 30 2 3 2" xfId="7076"/>
    <cellStyle name="Percent 30 2 3 2 2" xfId="10162"/>
    <cellStyle name="Percent 30 2 3 2 2 2" xfId="16355"/>
    <cellStyle name="Percent 30 2 3 2 2 3" xfId="22507"/>
    <cellStyle name="Percent 30 2 3 2 3" xfId="13289"/>
    <cellStyle name="Percent 30 2 3 2 4" xfId="19441"/>
    <cellStyle name="Percent 30 2 3 3" xfId="8627"/>
    <cellStyle name="Percent 30 2 3 3 2" xfId="14821"/>
    <cellStyle name="Percent 30 2 3 3 3" xfId="20973"/>
    <cellStyle name="Percent 30 2 3 4" xfId="11755"/>
    <cellStyle name="Percent 30 2 3 5" xfId="17907"/>
    <cellStyle name="Percent 30 2 4" xfId="6304"/>
    <cellStyle name="Percent 30 2 4 2" xfId="9393"/>
    <cellStyle name="Percent 30 2 4 2 2" xfId="15586"/>
    <cellStyle name="Percent 30 2 4 2 3" xfId="21738"/>
    <cellStyle name="Percent 30 2 4 3" xfId="12520"/>
    <cellStyle name="Percent 30 2 4 4" xfId="18672"/>
    <cellStyle name="Percent 30 2 5" xfId="7858"/>
    <cellStyle name="Percent 30 2 5 2" xfId="14052"/>
    <cellStyle name="Percent 30 2 5 3" xfId="20204"/>
    <cellStyle name="Percent 30 2 6" xfId="10986"/>
    <cellStyle name="Percent 30 2 7" xfId="17138"/>
    <cellStyle name="Percent 30 3" xfId="4419"/>
    <cellStyle name="Percent 30 3 2" xfId="4420"/>
    <cellStyle name="Percent 30 3 2 2" xfId="5454"/>
    <cellStyle name="Percent 30 3 2 2 2" xfId="7079"/>
    <cellStyle name="Percent 30 3 2 2 2 2" xfId="10165"/>
    <cellStyle name="Percent 30 3 2 2 2 2 2" xfId="16358"/>
    <cellStyle name="Percent 30 3 2 2 2 2 3" xfId="22510"/>
    <cellStyle name="Percent 30 3 2 2 2 3" xfId="13292"/>
    <cellStyle name="Percent 30 3 2 2 2 4" xfId="19444"/>
    <cellStyle name="Percent 30 3 2 2 3" xfId="8630"/>
    <cellStyle name="Percent 30 3 2 2 3 2" xfId="14824"/>
    <cellStyle name="Percent 30 3 2 2 3 3" xfId="20976"/>
    <cellStyle name="Percent 30 3 2 2 4" xfId="11758"/>
    <cellStyle name="Percent 30 3 2 2 5" xfId="17910"/>
    <cellStyle name="Percent 30 3 2 3" xfId="6307"/>
    <cellStyle name="Percent 30 3 2 3 2" xfId="9396"/>
    <cellStyle name="Percent 30 3 2 3 2 2" xfId="15589"/>
    <cellStyle name="Percent 30 3 2 3 2 3" xfId="21741"/>
    <cellStyle name="Percent 30 3 2 3 3" xfId="12523"/>
    <cellStyle name="Percent 30 3 2 3 4" xfId="18675"/>
    <cellStyle name="Percent 30 3 2 4" xfId="7861"/>
    <cellStyle name="Percent 30 3 2 4 2" xfId="14055"/>
    <cellStyle name="Percent 30 3 2 4 3" xfId="20207"/>
    <cellStyle name="Percent 30 3 2 5" xfId="10989"/>
    <cellStyle name="Percent 30 3 2 6" xfId="17141"/>
    <cellStyle name="Percent 30 3 3" xfId="5453"/>
    <cellStyle name="Percent 30 3 3 2" xfId="7078"/>
    <cellStyle name="Percent 30 3 3 2 2" xfId="10164"/>
    <cellStyle name="Percent 30 3 3 2 2 2" xfId="16357"/>
    <cellStyle name="Percent 30 3 3 2 2 3" xfId="22509"/>
    <cellStyle name="Percent 30 3 3 2 3" xfId="13291"/>
    <cellStyle name="Percent 30 3 3 2 4" xfId="19443"/>
    <cellStyle name="Percent 30 3 3 3" xfId="8629"/>
    <cellStyle name="Percent 30 3 3 3 2" xfId="14823"/>
    <cellStyle name="Percent 30 3 3 3 3" xfId="20975"/>
    <cellStyle name="Percent 30 3 3 4" xfId="11757"/>
    <cellStyle name="Percent 30 3 3 5" xfId="17909"/>
    <cellStyle name="Percent 30 3 4" xfId="6306"/>
    <cellStyle name="Percent 30 3 4 2" xfId="9395"/>
    <cellStyle name="Percent 30 3 4 2 2" xfId="15588"/>
    <cellStyle name="Percent 30 3 4 2 3" xfId="21740"/>
    <cellStyle name="Percent 30 3 4 3" xfId="12522"/>
    <cellStyle name="Percent 30 3 4 4" xfId="18674"/>
    <cellStyle name="Percent 30 3 5" xfId="7860"/>
    <cellStyle name="Percent 30 3 5 2" xfId="14054"/>
    <cellStyle name="Percent 30 3 5 3" xfId="20206"/>
    <cellStyle name="Percent 30 3 6" xfId="10988"/>
    <cellStyle name="Percent 30 3 7" xfId="17140"/>
    <cellStyle name="Percent 30 4" xfId="4421"/>
    <cellStyle name="Percent 30 4 2" xfId="4422"/>
    <cellStyle name="Percent 30 4 2 2" xfId="5455"/>
    <cellStyle name="Percent 30 4 2 2 2" xfId="7080"/>
    <cellStyle name="Percent 30 4 2 2 2 2" xfId="10166"/>
    <cellStyle name="Percent 30 4 2 2 2 2 2" xfId="16359"/>
    <cellStyle name="Percent 30 4 2 2 2 2 3" xfId="22511"/>
    <cellStyle name="Percent 30 4 2 2 2 3" xfId="13293"/>
    <cellStyle name="Percent 30 4 2 2 2 4" xfId="19445"/>
    <cellStyle name="Percent 30 4 2 2 3" xfId="8631"/>
    <cellStyle name="Percent 30 4 2 2 3 2" xfId="14825"/>
    <cellStyle name="Percent 30 4 2 2 3 3" xfId="20977"/>
    <cellStyle name="Percent 30 4 2 2 4" xfId="11759"/>
    <cellStyle name="Percent 30 4 2 2 5" xfId="17911"/>
    <cellStyle name="Percent 30 4 2 3" xfId="6308"/>
    <cellStyle name="Percent 30 4 2 3 2" xfId="9397"/>
    <cellStyle name="Percent 30 4 2 3 2 2" xfId="15590"/>
    <cellStyle name="Percent 30 4 2 3 2 3" xfId="21742"/>
    <cellStyle name="Percent 30 4 2 3 3" xfId="12524"/>
    <cellStyle name="Percent 30 4 2 3 4" xfId="18676"/>
    <cellStyle name="Percent 30 4 2 4" xfId="7862"/>
    <cellStyle name="Percent 30 4 2 4 2" xfId="14056"/>
    <cellStyle name="Percent 30 4 2 4 3" xfId="20208"/>
    <cellStyle name="Percent 30 4 2 5" xfId="10990"/>
    <cellStyle name="Percent 30 4 2 6" xfId="17142"/>
    <cellStyle name="Percent 30 5" xfId="4423"/>
    <cellStyle name="Percent 30 5 2" xfId="5456"/>
    <cellStyle name="Percent 30 5 2 2" xfId="7081"/>
    <cellStyle name="Percent 30 5 2 2 2" xfId="10167"/>
    <cellStyle name="Percent 30 5 2 2 2 2" xfId="16360"/>
    <cellStyle name="Percent 30 5 2 2 2 3" xfId="22512"/>
    <cellStyle name="Percent 30 5 2 2 3" xfId="13294"/>
    <cellStyle name="Percent 30 5 2 2 4" xfId="19446"/>
    <cellStyle name="Percent 30 5 2 3" xfId="8632"/>
    <cellStyle name="Percent 30 5 2 3 2" xfId="14826"/>
    <cellStyle name="Percent 30 5 2 3 3" xfId="20978"/>
    <cellStyle name="Percent 30 5 2 4" xfId="11760"/>
    <cellStyle name="Percent 30 5 2 5" xfId="17912"/>
    <cellStyle name="Percent 30 5 3" xfId="6309"/>
    <cellStyle name="Percent 30 5 3 2" xfId="9398"/>
    <cellStyle name="Percent 30 5 3 2 2" xfId="15591"/>
    <cellStyle name="Percent 30 5 3 2 3" xfId="21743"/>
    <cellStyle name="Percent 30 5 3 3" xfId="12525"/>
    <cellStyle name="Percent 30 5 3 4" xfId="18677"/>
    <cellStyle name="Percent 30 5 4" xfId="7863"/>
    <cellStyle name="Percent 30 5 4 2" xfId="14057"/>
    <cellStyle name="Percent 30 5 4 3" xfId="20209"/>
    <cellStyle name="Percent 30 5 5" xfId="10991"/>
    <cellStyle name="Percent 30 5 6" xfId="17143"/>
    <cellStyle name="Percent 31" xfId="4424"/>
    <cellStyle name="Percent 31 2" xfId="4425"/>
    <cellStyle name="Percent 31 2 2" xfId="4426"/>
    <cellStyle name="Percent 31 2 2 2" xfId="5458"/>
    <cellStyle name="Percent 31 2 2 2 2" xfId="7083"/>
    <cellStyle name="Percent 31 2 2 2 2 2" xfId="10169"/>
    <cellStyle name="Percent 31 2 2 2 2 2 2" xfId="16362"/>
    <cellStyle name="Percent 31 2 2 2 2 2 3" xfId="22514"/>
    <cellStyle name="Percent 31 2 2 2 2 3" xfId="13296"/>
    <cellStyle name="Percent 31 2 2 2 2 4" xfId="19448"/>
    <cellStyle name="Percent 31 2 2 2 3" xfId="8634"/>
    <cellStyle name="Percent 31 2 2 2 3 2" xfId="14828"/>
    <cellStyle name="Percent 31 2 2 2 3 3" xfId="20980"/>
    <cellStyle name="Percent 31 2 2 2 4" xfId="11762"/>
    <cellStyle name="Percent 31 2 2 2 5" xfId="17914"/>
    <cellStyle name="Percent 31 2 2 3" xfId="6311"/>
    <cellStyle name="Percent 31 2 2 3 2" xfId="9400"/>
    <cellStyle name="Percent 31 2 2 3 2 2" xfId="15593"/>
    <cellStyle name="Percent 31 2 2 3 2 3" xfId="21745"/>
    <cellStyle name="Percent 31 2 2 3 3" xfId="12527"/>
    <cellStyle name="Percent 31 2 2 3 4" xfId="18679"/>
    <cellStyle name="Percent 31 2 2 4" xfId="7865"/>
    <cellStyle name="Percent 31 2 2 4 2" xfId="14059"/>
    <cellStyle name="Percent 31 2 2 4 3" xfId="20211"/>
    <cellStyle name="Percent 31 2 2 5" xfId="10993"/>
    <cellStyle name="Percent 31 2 2 6" xfId="17145"/>
    <cellStyle name="Percent 31 2 3" xfId="5457"/>
    <cellStyle name="Percent 31 2 3 2" xfId="7082"/>
    <cellStyle name="Percent 31 2 3 2 2" xfId="10168"/>
    <cellStyle name="Percent 31 2 3 2 2 2" xfId="16361"/>
    <cellStyle name="Percent 31 2 3 2 2 3" xfId="22513"/>
    <cellStyle name="Percent 31 2 3 2 3" xfId="13295"/>
    <cellStyle name="Percent 31 2 3 2 4" xfId="19447"/>
    <cellStyle name="Percent 31 2 3 3" xfId="8633"/>
    <cellStyle name="Percent 31 2 3 3 2" xfId="14827"/>
    <cellStyle name="Percent 31 2 3 3 3" xfId="20979"/>
    <cellStyle name="Percent 31 2 3 4" xfId="11761"/>
    <cellStyle name="Percent 31 2 3 5" xfId="17913"/>
    <cellStyle name="Percent 31 2 4" xfId="6310"/>
    <cellStyle name="Percent 31 2 4 2" xfId="9399"/>
    <cellStyle name="Percent 31 2 4 2 2" xfId="15592"/>
    <cellStyle name="Percent 31 2 4 2 3" xfId="21744"/>
    <cellStyle name="Percent 31 2 4 3" xfId="12526"/>
    <cellStyle name="Percent 31 2 4 4" xfId="18678"/>
    <cellStyle name="Percent 31 2 5" xfId="7864"/>
    <cellStyle name="Percent 31 2 5 2" xfId="14058"/>
    <cellStyle name="Percent 31 2 5 3" xfId="20210"/>
    <cellStyle name="Percent 31 2 6" xfId="10992"/>
    <cellStyle name="Percent 31 2 7" xfId="17144"/>
    <cellStyle name="Percent 31 3" xfId="4427"/>
    <cellStyle name="Percent 31 3 2" xfId="4428"/>
    <cellStyle name="Percent 31 3 2 2" xfId="5460"/>
    <cellStyle name="Percent 31 3 2 2 2" xfId="7085"/>
    <cellStyle name="Percent 31 3 2 2 2 2" xfId="10171"/>
    <cellStyle name="Percent 31 3 2 2 2 2 2" xfId="16364"/>
    <cellStyle name="Percent 31 3 2 2 2 2 3" xfId="22516"/>
    <cellStyle name="Percent 31 3 2 2 2 3" xfId="13298"/>
    <cellStyle name="Percent 31 3 2 2 2 4" xfId="19450"/>
    <cellStyle name="Percent 31 3 2 2 3" xfId="8636"/>
    <cellStyle name="Percent 31 3 2 2 3 2" xfId="14830"/>
    <cellStyle name="Percent 31 3 2 2 3 3" xfId="20982"/>
    <cellStyle name="Percent 31 3 2 2 4" xfId="11764"/>
    <cellStyle name="Percent 31 3 2 2 5" xfId="17916"/>
    <cellStyle name="Percent 31 3 2 3" xfId="6313"/>
    <cellStyle name="Percent 31 3 2 3 2" xfId="9402"/>
    <cellStyle name="Percent 31 3 2 3 2 2" xfId="15595"/>
    <cellStyle name="Percent 31 3 2 3 2 3" xfId="21747"/>
    <cellStyle name="Percent 31 3 2 3 3" xfId="12529"/>
    <cellStyle name="Percent 31 3 2 3 4" xfId="18681"/>
    <cellStyle name="Percent 31 3 2 4" xfId="7867"/>
    <cellStyle name="Percent 31 3 2 4 2" xfId="14061"/>
    <cellStyle name="Percent 31 3 2 4 3" xfId="20213"/>
    <cellStyle name="Percent 31 3 2 5" xfId="10995"/>
    <cellStyle name="Percent 31 3 2 6" xfId="17147"/>
    <cellStyle name="Percent 31 3 3" xfId="5459"/>
    <cellStyle name="Percent 31 3 3 2" xfId="7084"/>
    <cellStyle name="Percent 31 3 3 2 2" xfId="10170"/>
    <cellStyle name="Percent 31 3 3 2 2 2" xfId="16363"/>
    <cellStyle name="Percent 31 3 3 2 2 3" xfId="22515"/>
    <cellStyle name="Percent 31 3 3 2 3" xfId="13297"/>
    <cellStyle name="Percent 31 3 3 2 4" xfId="19449"/>
    <cellStyle name="Percent 31 3 3 3" xfId="8635"/>
    <cellStyle name="Percent 31 3 3 3 2" xfId="14829"/>
    <cellStyle name="Percent 31 3 3 3 3" xfId="20981"/>
    <cellStyle name="Percent 31 3 3 4" xfId="11763"/>
    <cellStyle name="Percent 31 3 3 5" xfId="17915"/>
    <cellStyle name="Percent 31 3 4" xfId="6312"/>
    <cellStyle name="Percent 31 3 4 2" xfId="9401"/>
    <cellStyle name="Percent 31 3 4 2 2" xfId="15594"/>
    <cellStyle name="Percent 31 3 4 2 3" xfId="21746"/>
    <cellStyle name="Percent 31 3 4 3" xfId="12528"/>
    <cellStyle name="Percent 31 3 4 4" xfId="18680"/>
    <cellStyle name="Percent 31 3 5" xfId="7866"/>
    <cellStyle name="Percent 31 3 5 2" xfId="14060"/>
    <cellStyle name="Percent 31 3 5 3" xfId="20212"/>
    <cellStyle name="Percent 31 3 6" xfId="10994"/>
    <cellStyle name="Percent 31 3 7" xfId="17146"/>
    <cellStyle name="Percent 31 4" xfId="4429"/>
    <cellStyle name="Percent 31 4 2" xfId="4430"/>
    <cellStyle name="Percent 31 4 2 2" xfId="5461"/>
    <cellStyle name="Percent 31 4 2 2 2" xfId="7086"/>
    <cellStyle name="Percent 31 4 2 2 2 2" xfId="10172"/>
    <cellStyle name="Percent 31 4 2 2 2 2 2" xfId="16365"/>
    <cellStyle name="Percent 31 4 2 2 2 2 3" xfId="22517"/>
    <cellStyle name="Percent 31 4 2 2 2 3" xfId="13299"/>
    <cellStyle name="Percent 31 4 2 2 2 4" xfId="19451"/>
    <cellStyle name="Percent 31 4 2 2 3" xfId="8637"/>
    <cellStyle name="Percent 31 4 2 2 3 2" xfId="14831"/>
    <cellStyle name="Percent 31 4 2 2 3 3" xfId="20983"/>
    <cellStyle name="Percent 31 4 2 2 4" xfId="11765"/>
    <cellStyle name="Percent 31 4 2 2 5" xfId="17917"/>
    <cellStyle name="Percent 31 4 2 3" xfId="6314"/>
    <cellStyle name="Percent 31 4 2 3 2" xfId="9403"/>
    <cellStyle name="Percent 31 4 2 3 2 2" xfId="15596"/>
    <cellStyle name="Percent 31 4 2 3 2 3" xfId="21748"/>
    <cellStyle name="Percent 31 4 2 3 3" xfId="12530"/>
    <cellStyle name="Percent 31 4 2 3 4" xfId="18682"/>
    <cellStyle name="Percent 31 4 2 4" xfId="7868"/>
    <cellStyle name="Percent 31 4 2 4 2" xfId="14062"/>
    <cellStyle name="Percent 31 4 2 4 3" xfId="20214"/>
    <cellStyle name="Percent 31 4 2 5" xfId="10996"/>
    <cellStyle name="Percent 31 4 2 6" xfId="17148"/>
    <cellStyle name="Percent 31 5" xfId="4431"/>
    <cellStyle name="Percent 31 5 2" xfId="5462"/>
    <cellStyle name="Percent 31 5 2 2" xfId="7087"/>
    <cellStyle name="Percent 31 5 2 2 2" xfId="10173"/>
    <cellStyle name="Percent 31 5 2 2 2 2" xfId="16366"/>
    <cellStyle name="Percent 31 5 2 2 2 3" xfId="22518"/>
    <cellStyle name="Percent 31 5 2 2 3" xfId="13300"/>
    <cellStyle name="Percent 31 5 2 2 4" xfId="19452"/>
    <cellStyle name="Percent 31 5 2 3" xfId="8638"/>
    <cellStyle name="Percent 31 5 2 3 2" xfId="14832"/>
    <cellStyle name="Percent 31 5 2 3 3" xfId="20984"/>
    <cellStyle name="Percent 31 5 2 4" xfId="11766"/>
    <cellStyle name="Percent 31 5 2 5" xfId="17918"/>
    <cellStyle name="Percent 31 5 3" xfId="6315"/>
    <cellStyle name="Percent 31 5 3 2" xfId="9404"/>
    <cellStyle name="Percent 31 5 3 2 2" xfId="15597"/>
    <cellStyle name="Percent 31 5 3 2 3" xfId="21749"/>
    <cellStyle name="Percent 31 5 3 3" xfId="12531"/>
    <cellStyle name="Percent 31 5 3 4" xfId="18683"/>
    <cellStyle name="Percent 31 5 4" xfId="7869"/>
    <cellStyle name="Percent 31 5 4 2" xfId="14063"/>
    <cellStyle name="Percent 31 5 4 3" xfId="20215"/>
    <cellStyle name="Percent 31 5 5" xfId="10997"/>
    <cellStyle name="Percent 31 5 6" xfId="17149"/>
    <cellStyle name="Percent 32" xfId="4432"/>
    <cellStyle name="Percent 32 2" xfId="4433"/>
    <cellStyle name="Percent 32 2 2" xfId="4434"/>
    <cellStyle name="Percent 32 2 2 2" xfId="5464"/>
    <cellStyle name="Percent 32 2 2 2 2" xfId="7089"/>
    <cellStyle name="Percent 32 2 2 2 2 2" xfId="10175"/>
    <cellStyle name="Percent 32 2 2 2 2 2 2" xfId="16368"/>
    <cellStyle name="Percent 32 2 2 2 2 2 3" xfId="22520"/>
    <cellStyle name="Percent 32 2 2 2 2 3" xfId="13302"/>
    <cellStyle name="Percent 32 2 2 2 2 4" xfId="19454"/>
    <cellStyle name="Percent 32 2 2 2 3" xfId="8640"/>
    <cellStyle name="Percent 32 2 2 2 3 2" xfId="14834"/>
    <cellStyle name="Percent 32 2 2 2 3 3" xfId="20986"/>
    <cellStyle name="Percent 32 2 2 2 4" xfId="11768"/>
    <cellStyle name="Percent 32 2 2 2 5" xfId="17920"/>
    <cellStyle name="Percent 32 2 2 3" xfId="6317"/>
    <cellStyle name="Percent 32 2 2 3 2" xfId="9406"/>
    <cellStyle name="Percent 32 2 2 3 2 2" xfId="15599"/>
    <cellStyle name="Percent 32 2 2 3 2 3" xfId="21751"/>
    <cellStyle name="Percent 32 2 2 3 3" xfId="12533"/>
    <cellStyle name="Percent 32 2 2 3 4" xfId="18685"/>
    <cellStyle name="Percent 32 2 2 4" xfId="7871"/>
    <cellStyle name="Percent 32 2 2 4 2" xfId="14065"/>
    <cellStyle name="Percent 32 2 2 4 3" xfId="20217"/>
    <cellStyle name="Percent 32 2 2 5" xfId="10999"/>
    <cellStyle name="Percent 32 2 2 6" xfId="17151"/>
    <cellStyle name="Percent 32 2 3" xfId="5463"/>
    <cellStyle name="Percent 32 2 3 2" xfId="7088"/>
    <cellStyle name="Percent 32 2 3 2 2" xfId="10174"/>
    <cellStyle name="Percent 32 2 3 2 2 2" xfId="16367"/>
    <cellStyle name="Percent 32 2 3 2 2 3" xfId="22519"/>
    <cellStyle name="Percent 32 2 3 2 3" xfId="13301"/>
    <cellStyle name="Percent 32 2 3 2 4" xfId="19453"/>
    <cellStyle name="Percent 32 2 3 3" xfId="8639"/>
    <cellStyle name="Percent 32 2 3 3 2" xfId="14833"/>
    <cellStyle name="Percent 32 2 3 3 3" xfId="20985"/>
    <cellStyle name="Percent 32 2 3 4" xfId="11767"/>
    <cellStyle name="Percent 32 2 3 5" xfId="17919"/>
    <cellStyle name="Percent 32 2 4" xfId="6316"/>
    <cellStyle name="Percent 32 2 4 2" xfId="9405"/>
    <cellStyle name="Percent 32 2 4 2 2" xfId="15598"/>
    <cellStyle name="Percent 32 2 4 2 3" xfId="21750"/>
    <cellStyle name="Percent 32 2 4 3" xfId="12532"/>
    <cellStyle name="Percent 32 2 4 4" xfId="18684"/>
    <cellStyle name="Percent 32 2 5" xfId="7870"/>
    <cellStyle name="Percent 32 2 5 2" xfId="14064"/>
    <cellStyle name="Percent 32 2 5 3" xfId="20216"/>
    <cellStyle name="Percent 32 2 6" xfId="10998"/>
    <cellStyle name="Percent 32 2 7" xfId="17150"/>
    <cellStyle name="Percent 32 3" xfId="4435"/>
    <cellStyle name="Percent 32 3 2" xfId="4436"/>
    <cellStyle name="Percent 32 3 2 2" xfId="5466"/>
    <cellStyle name="Percent 32 3 2 2 2" xfId="7091"/>
    <cellStyle name="Percent 32 3 2 2 2 2" xfId="10177"/>
    <cellStyle name="Percent 32 3 2 2 2 2 2" xfId="16370"/>
    <cellStyle name="Percent 32 3 2 2 2 2 3" xfId="22522"/>
    <cellStyle name="Percent 32 3 2 2 2 3" xfId="13304"/>
    <cellStyle name="Percent 32 3 2 2 2 4" xfId="19456"/>
    <cellStyle name="Percent 32 3 2 2 3" xfId="8642"/>
    <cellStyle name="Percent 32 3 2 2 3 2" xfId="14836"/>
    <cellStyle name="Percent 32 3 2 2 3 3" xfId="20988"/>
    <cellStyle name="Percent 32 3 2 2 4" xfId="11770"/>
    <cellStyle name="Percent 32 3 2 2 5" xfId="17922"/>
    <cellStyle name="Percent 32 3 2 3" xfId="6319"/>
    <cellStyle name="Percent 32 3 2 3 2" xfId="9408"/>
    <cellStyle name="Percent 32 3 2 3 2 2" xfId="15601"/>
    <cellStyle name="Percent 32 3 2 3 2 3" xfId="21753"/>
    <cellStyle name="Percent 32 3 2 3 3" xfId="12535"/>
    <cellStyle name="Percent 32 3 2 3 4" xfId="18687"/>
    <cellStyle name="Percent 32 3 2 4" xfId="7873"/>
    <cellStyle name="Percent 32 3 2 4 2" xfId="14067"/>
    <cellStyle name="Percent 32 3 2 4 3" xfId="20219"/>
    <cellStyle name="Percent 32 3 2 5" xfId="11001"/>
    <cellStyle name="Percent 32 3 2 6" xfId="17153"/>
    <cellStyle name="Percent 32 3 3" xfId="5465"/>
    <cellStyle name="Percent 32 3 3 2" xfId="7090"/>
    <cellStyle name="Percent 32 3 3 2 2" xfId="10176"/>
    <cellStyle name="Percent 32 3 3 2 2 2" xfId="16369"/>
    <cellStyle name="Percent 32 3 3 2 2 3" xfId="22521"/>
    <cellStyle name="Percent 32 3 3 2 3" xfId="13303"/>
    <cellStyle name="Percent 32 3 3 2 4" xfId="19455"/>
    <cellStyle name="Percent 32 3 3 3" xfId="8641"/>
    <cellStyle name="Percent 32 3 3 3 2" xfId="14835"/>
    <cellStyle name="Percent 32 3 3 3 3" xfId="20987"/>
    <cellStyle name="Percent 32 3 3 4" xfId="11769"/>
    <cellStyle name="Percent 32 3 3 5" xfId="17921"/>
    <cellStyle name="Percent 32 3 4" xfId="6318"/>
    <cellStyle name="Percent 32 3 4 2" xfId="9407"/>
    <cellStyle name="Percent 32 3 4 2 2" xfId="15600"/>
    <cellStyle name="Percent 32 3 4 2 3" xfId="21752"/>
    <cellStyle name="Percent 32 3 4 3" xfId="12534"/>
    <cellStyle name="Percent 32 3 4 4" xfId="18686"/>
    <cellStyle name="Percent 32 3 5" xfId="7872"/>
    <cellStyle name="Percent 32 3 5 2" xfId="14066"/>
    <cellStyle name="Percent 32 3 5 3" xfId="20218"/>
    <cellStyle name="Percent 32 3 6" xfId="11000"/>
    <cellStyle name="Percent 32 3 7" xfId="17152"/>
    <cellStyle name="Percent 32 4" xfId="4437"/>
    <cellStyle name="Percent 32 4 2" xfId="4438"/>
    <cellStyle name="Percent 32 4 2 2" xfId="5467"/>
    <cellStyle name="Percent 32 4 2 2 2" xfId="7092"/>
    <cellStyle name="Percent 32 4 2 2 2 2" xfId="10178"/>
    <cellStyle name="Percent 32 4 2 2 2 2 2" xfId="16371"/>
    <cellStyle name="Percent 32 4 2 2 2 2 3" xfId="22523"/>
    <cellStyle name="Percent 32 4 2 2 2 3" xfId="13305"/>
    <cellStyle name="Percent 32 4 2 2 2 4" xfId="19457"/>
    <cellStyle name="Percent 32 4 2 2 3" xfId="8643"/>
    <cellStyle name="Percent 32 4 2 2 3 2" xfId="14837"/>
    <cellStyle name="Percent 32 4 2 2 3 3" xfId="20989"/>
    <cellStyle name="Percent 32 4 2 2 4" xfId="11771"/>
    <cellStyle name="Percent 32 4 2 2 5" xfId="17923"/>
    <cellStyle name="Percent 32 4 2 3" xfId="6320"/>
    <cellStyle name="Percent 32 4 2 3 2" xfId="9409"/>
    <cellStyle name="Percent 32 4 2 3 2 2" xfId="15602"/>
    <cellStyle name="Percent 32 4 2 3 2 3" xfId="21754"/>
    <cellStyle name="Percent 32 4 2 3 3" xfId="12536"/>
    <cellStyle name="Percent 32 4 2 3 4" xfId="18688"/>
    <cellStyle name="Percent 32 4 2 4" xfId="7874"/>
    <cellStyle name="Percent 32 4 2 4 2" xfId="14068"/>
    <cellStyle name="Percent 32 4 2 4 3" xfId="20220"/>
    <cellStyle name="Percent 32 4 2 5" xfId="11002"/>
    <cellStyle name="Percent 32 4 2 6" xfId="17154"/>
    <cellStyle name="Percent 32 5" xfId="4439"/>
    <cellStyle name="Percent 32 5 2" xfId="5468"/>
    <cellStyle name="Percent 32 5 2 2" xfId="7093"/>
    <cellStyle name="Percent 32 5 2 2 2" xfId="10179"/>
    <cellStyle name="Percent 32 5 2 2 2 2" xfId="16372"/>
    <cellStyle name="Percent 32 5 2 2 2 3" xfId="22524"/>
    <cellStyle name="Percent 32 5 2 2 3" xfId="13306"/>
    <cellStyle name="Percent 32 5 2 2 4" xfId="19458"/>
    <cellStyle name="Percent 32 5 2 3" xfId="8644"/>
    <cellStyle name="Percent 32 5 2 3 2" xfId="14838"/>
    <cellStyle name="Percent 32 5 2 3 3" xfId="20990"/>
    <cellStyle name="Percent 32 5 2 4" xfId="11772"/>
    <cellStyle name="Percent 32 5 2 5" xfId="17924"/>
    <cellStyle name="Percent 32 5 3" xfId="6321"/>
    <cellStyle name="Percent 32 5 3 2" xfId="9410"/>
    <cellStyle name="Percent 32 5 3 2 2" xfId="15603"/>
    <cellStyle name="Percent 32 5 3 2 3" xfId="21755"/>
    <cellStyle name="Percent 32 5 3 3" xfId="12537"/>
    <cellStyle name="Percent 32 5 3 4" xfId="18689"/>
    <cellStyle name="Percent 32 5 4" xfId="7875"/>
    <cellStyle name="Percent 32 5 4 2" xfId="14069"/>
    <cellStyle name="Percent 32 5 4 3" xfId="20221"/>
    <cellStyle name="Percent 32 5 5" xfId="11003"/>
    <cellStyle name="Percent 32 5 6" xfId="17155"/>
    <cellStyle name="Percent 33" xfId="4440"/>
    <cellStyle name="Percent 33 2" xfId="4441"/>
    <cellStyle name="Percent 33 2 2" xfId="4442"/>
    <cellStyle name="Percent 33 2 2 2" xfId="5470"/>
    <cellStyle name="Percent 33 2 2 2 2" xfId="7095"/>
    <cellStyle name="Percent 33 2 2 2 2 2" xfId="10181"/>
    <cellStyle name="Percent 33 2 2 2 2 2 2" xfId="16374"/>
    <cellStyle name="Percent 33 2 2 2 2 2 3" xfId="22526"/>
    <cellStyle name="Percent 33 2 2 2 2 3" xfId="13308"/>
    <cellStyle name="Percent 33 2 2 2 2 4" xfId="19460"/>
    <cellStyle name="Percent 33 2 2 2 3" xfId="8646"/>
    <cellStyle name="Percent 33 2 2 2 3 2" xfId="14840"/>
    <cellStyle name="Percent 33 2 2 2 3 3" xfId="20992"/>
    <cellStyle name="Percent 33 2 2 2 4" xfId="11774"/>
    <cellStyle name="Percent 33 2 2 2 5" xfId="17926"/>
    <cellStyle name="Percent 33 2 2 3" xfId="6324"/>
    <cellStyle name="Percent 33 2 2 3 2" xfId="9412"/>
    <cellStyle name="Percent 33 2 2 3 2 2" xfId="15605"/>
    <cellStyle name="Percent 33 2 2 3 2 3" xfId="21757"/>
    <cellStyle name="Percent 33 2 2 3 3" xfId="12539"/>
    <cellStyle name="Percent 33 2 2 3 4" xfId="18691"/>
    <cellStyle name="Percent 33 2 2 4" xfId="7877"/>
    <cellStyle name="Percent 33 2 2 4 2" xfId="14071"/>
    <cellStyle name="Percent 33 2 2 4 3" xfId="20223"/>
    <cellStyle name="Percent 33 2 2 5" xfId="11005"/>
    <cellStyle name="Percent 33 2 2 6" xfId="17157"/>
    <cellStyle name="Percent 33 2 3" xfId="5469"/>
    <cellStyle name="Percent 33 2 3 2" xfId="7094"/>
    <cellStyle name="Percent 33 2 3 2 2" xfId="10180"/>
    <cellStyle name="Percent 33 2 3 2 2 2" xfId="16373"/>
    <cellStyle name="Percent 33 2 3 2 2 3" xfId="22525"/>
    <cellStyle name="Percent 33 2 3 2 3" xfId="13307"/>
    <cellStyle name="Percent 33 2 3 2 4" xfId="19459"/>
    <cellStyle name="Percent 33 2 3 3" xfId="8645"/>
    <cellStyle name="Percent 33 2 3 3 2" xfId="14839"/>
    <cellStyle name="Percent 33 2 3 3 3" xfId="20991"/>
    <cellStyle name="Percent 33 2 3 4" xfId="11773"/>
    <cellStyle name="Percent 33 2 3 5" xfId="17925"/>
    <cellStyle name="Percent 33 2 4" xfId="6323"/>
    <cellStyle name="Percent 33 2 4 2" xfId="9411"/>
    <cellStyle name="Percent 33 2 4 2 2" xfId="15604"/>
    <cellStyle name="Percent 33 2 4 2 3" xfId="21756"/>
    <cellStyle name="Percent 33 2 4 3" xfId="12538"/>
    <cellStyle name="Percent 33 2 4 4" xfId="18690"/>
    <cellStyle name="Percent 33 2 5" xfId="7876"/>
    <cellStyle name="Percent 33 2 5 2" xfId="14070"/>
    <cellStyle name="Percent 33 2 5 3" xfId="20222"/>
    <cellStyle name="Percent 33 2 6" xfId="11004"/>
    <cellStyle name="Percent 33 2 7" xfId="17156"/>
    <cellStyle name="Percent 33 3" xfId="4443"/>
    <cellStyle name="Percent 33 3 2" xfId="4444"/>
    <cellStyle name="Percent 33 3 2 2" xfId="5472"/>
    <cellStyle name="Percent 33 3 2 2 2" xfId="7097"/>
    <cellStyle name="Percent 33 3 2 2 2 2" xfId="10183"/>
    <cellStyle name="Percent 33 3 2 2 2 2 2" xfId="16376"/>
    <cellStyle name="Percent 33 3 2 2 2 2 3" xfId="22528"/>
    <cellStyle name="Percent 33 3 2 2 2 3" xfId="13310"/>
    <cellStyle name="Percent 33 3 2 2 2 4" xfId="19462"/>
    <cellStyle name="Percent 33 3 2 2 3" xfId="8648"/>
    <cellStyle name="Percent 33 3 2 2 3 2" xfId="14842"/>
    <cellStyle name="Percent 33 3 2 2 3 3" xfId="20994"/>
    <cellStyle name="Percent 33 3 2 2 4" xfId="11776"/>
    <cellStyle name="Percent 33 3 2 2 5" xfId="17928"/>
    <cellStyle name="Percent 33 3 2 3" xfId="6326"/>
    <cellStyle name="Percent 33 3 2 3 2" xfId="9414"/>
    <cellStyle name="Percent 33 3 2 3 2 2" xfId="15607"/>
    <cellStyle name="Percent 33 3 2 3 2 3" xfId="21759"/>
    <cellStyle name="Percent 33 3 2 3 3" xfId="12541"/>
    <cellStyle name="Percent 33 3 2 3 4" xfId="18693"/>
    <cellStyle name="Percent 33 3 2 4" xfId="7879"/>
    <cellStyle name="Percent 33 3 2 4 2" xfId="14073"/>
    <cellStyle name="Percent 33 3 2 4 3" xfId="20225"/>
    <cellStyle name="Percent 33 3 2 5" xfId="11007"/>
    <cellStyle name="Percent 33 3 2 6" xfId="17159"/>
    <cellStyle name="Percent 33 3 3" xfId="5471"/>
    <cellStyle name="Percent 33 3 3 2" xfId="7096"/>
    <cellStyle name="Percent 33 3 3 2 2" xfId="10182"/>
    <cellStyle name="Percent 33 3 3 2 2 2" xfId="16375"/>
    <cellStyle name="Percent 33 3 3 2 2 3" xfId="22527"/>
    <cellStyle name="Percent 33 3 3 2 3" xfId="13309"/>
    <cellStyle name="Percent 33 3 3 2 4" xfId="19461"/>
    <cellStyle name="Percent 33 3 3 3" xfId="8647"/>
    <cellStyle name="Percent 33 3 3 3 2" xfId="14841"/>
    <cellStyle name="Percent 33 3 3 3 3" xfId="20993"/>
    <cellStyle name="Percent 33 3 3 4" xfId="11775"/>
    <cellStyle name="Percent 33 3 3 5" xfId="17927"/>
    <cellStyle name="Percent 33 3 4" xfId="6325"/>
    <cellStyle name="Percent 33 3 4 2" xfId="9413"/>
    <cellStyle name="Percent 33 3 4 2 2" xfId="15606"/>
    <cellStyle name="Percent 33 3 4 2 3" xfId="21758"/>
    <cellStyle name="Percent 33 3 4 3" xfId="12540"/>
    <cellStyle name="Percent 33 3 4 4" xfId="18692"/>
    <cellStyle name="Percent 33 3 5" xfId="7878"/>
    <cellStyle name="Percent 33 3 5 2" xfId="14072"/>
    <cellStyle name="Percent 33 3 5 3" xfId="20224"/>
    <cellStyle name="Percent 33 3 6" xfId="11006"/>
    <cellStyle name="Percent 33 3 7" xfId="17158"/>
    <cellStyle name="Percent 33 4" xfId="4445"/>
    <cellStyle name="Percent 33 4 2" xfId="4446"/>
    <cellStyle name="Percent 33 4 2 2" xfId="5473"/>
    <cellStyle name="Percent 33 4 2 2 2" xfId="7098"/>
    <cellStyle name="Percent 33 4 2 2 2 2" xfId="10184"/>
    <cellStyle name="Percent 33 4 2 2 2 2 2" xfId="16377"/>
    <cellStyle name="Percent 33 4 2 2 2 2 3" xfId="22529"/>
    <cellStyle name="Percent 33 4 2 2 2 3" xfId="13311"/>
    <cellStyle name="Percent 33 4 2 2 2 4" xfId="19463"/>
    <cellStyle name="Percent 33 4 2 2 3" xfId="8649"/>
    <cellStyle name="Percent 33 4 2 2 3 2" xfId="14843"/>
    <cellStyle name="Percent 33 4 2 2 3 3" xfId="20995"/>
    <cellStyle name="Percent 33 4 2 2 4" xfId="11777"/>
    <cellStyle name="Percent 33 4 2 2 5" xfId="17929"/>
    <cellStyle name="Percent 33 4 2 3" xfId="6327"/>
    <cellStyle name="Percent 33 4 2 3 2" xfId="9415"/>
    <cellStyle name="Percent 33 4 2 3 2 2" xfId="15608"/>
    <cellStyle name="Percent 33 4 2 3 2 3" xfId="21760"/>
    <cellStyle name="Percent 33 4 2 3 3" xfId="12542"/>
    <cellStyle name="Percent 33 4 2 3 4" xfId="18694"/>
    <cellStyle name="Percent 33 4 2 4" xfId="7880"/>
    <cellStyle name="Percent 33 4 2 4 2" xfId="14074"/>
    <cellStyle name="Percent 33 4 2 4 3" xfId="20226"/>
    <cellStyle name="Percent 33 4 2 5" xfId="11008"/>
    <cellStyle name="Percent 33 4 2 6" xfId="17160"/>
    <cellStyle name="Percent 33 5" xfId="4447"/>
    <cellStyle name="Percent 33 5 2" xfId="5474"/>
    <cellStyle name="Percent 33 5 2 2" xfId="7099"/>
    <cellStyle name="Percent 33 5 2 2 2" xfId="10185"/>
    <cellStyle name="Percent 33 5 2 2 2 2" xfId="16378"/>
    <cellStyle name="Percent 33 5 2 2 2 3" xfId="22530"/>
    <cellStyle name="Percent 33 5 2 2 3" xfId="13312"/>
    <cellStyle name="Percent 33 5 2 2 4" xfId="19464"/>
    <cellStyle name="Percent 33 5 2 3" xfId="8650"/>
    <cellStyle name="Percent 33 5 2 3 2" xfId="14844"/>
    <cellStyle name="Percent 33 5 2 3 3" xfId="20996"/>
    <cellStyle name="Percent 33 5 2 4" xfId="11778"/>
    <cellStyle name="Percent 33 5 2 5" xfId="17930"/>
    <cellStyle name="Percent 33 5 3" xfId="6328"/>
    <cellStyle name="Percent 33 5 3 2" xfId="9416"/>
    <cellStyle name="Percent 33 5 3 2 2" xfId="15609"/>
    <cellStyle name="Percent 33 5 3 2 3" xfId="21761"/>
    <cellStyle name="Percent 33 5 3 3" xfId="12543"/>
    <cellStyle name="Percent 33 5 3 4" xfId="18695"/>
    <cellStyle name="Percent 33 5 4" xfId="7881"/>
    <cellStyle name="Percent 33 5 4 2" xfId="14075"/>
    <cellStyle name="Percent 33 5 4 3" xfId="20227"/>
    <cellStyle name="Percent 33 5 5" xfId="11009"/>
    <cellStyle name="Percent 33 5 6" xfId="17161"/>
    <cellStyle name="Percent 34" xfId="4448"/>
    <cellStyle name="Percent 34 2" xfId="4449"/>
    <cellStyle name="Percent 34 2 2" xfId="4450"/>
    <cellStyle name="Percent 34 2 2 2" xfId="5476"/>
    <cellStyle name="Percent 34 2 2 2 2" xfId="7101"/>
    <cellStyle name="Percent 34 2 2 2 2 2" xfId="10187"/>
    <cellStyle name="Percent 34 2 2 2 2 2 2" xfId="16380"/>
    <cellStyle name="Percent 34 2 2 2 2 2 3" xfId="22532"/>
    <cellStyle name="Percent 34 2 2 2 2 3" xfId="13314"/>
    <cellStyle name="Percent 34 2 2 2 2 4" xfId="19466"/>
    <cellStyle name="Percent 34 2 2 2 3" xfId="8652"/>
    <cellStyle name="Percent 34 2 2 2 3 2" xfId="14846"/>
    <cellStyle name="Percent 34 2 2 2 3 3" xfId="20998"/>
    <cellStyle name="Percent 34 2 2 2 4" xfId="11780"/>
    <cellStyle name="Percent 34 2 2 2 5" xfId="17932"/>
    <cellStyle name="Percent 34 2 2 3" xfId="6331"/>
    <cellStyle name="Percent 34 2 2 3 2" xfId="9418"/>
    <cellStyle name="Percent 34 2 2 3 2 2" xfId="15611"/>
    <cellStyle name="Percent 34 2 2 3 2 3" xfId="21763"/>
    <cellStyle name="Percent 34 2 2 3 3" xfId="12545"/>
    <cellStyle name="Percent 34 2 2 3 4" xfId="18697"/>
    <cellStyle name="Percent 34 2 2 4" xfId="7883"/>
    <cellStyle name="Percent 34 2 2 4 2" xfId="14077"/>
    <cellStyle name="Percent 34 2 2 4 3" xfId="20229"/>
    <cellStyle name="Percent 34 2 2 5" xfId="11011"/>
    <cellStyle name="Percent 34 2 2 6" xfId="17163"/>
    <cellStyle name="Percent 34 2 3" xfId="5475"/>
    <cellStyle name="Percent 34 2 3 2" xfId="7100"/>
    <cellStyle name="Percent 34 2 3 2 2" xfId="10186"/>
    <cellStyle name="Percent 34 2 3 2 2 2" xfId="16379"/>
    <cellStyle name="Percent 34 2 3 2 2 3" xfId="22531"/>
    <cellStyle name="Percent 34 2 3 2 3" xfId="13313"/>
    <cellStyle name="Percent 34 2 3 2 4" xfId="19465"/>
    <cellStyle name="Percent 34 2 3 3" xfId="8651"/>
    <cellStyle name="Percent 34 2 3 3 2" xfId="14845"/>
    <cellStyle name="Percent 34 2 3 3 3" xfId="20997"/>
    <cellStyle name="Percent 34 2 3 4" xfId="11779"/>
    <cellStyle name="Percent 34 2 3 5" xfId="17931"/>
    <cellStyle name="Percent 34 2 4" xfId="6330"/>
    <cellStyle name="Percent 34 2 4 2" xfId="9417"/>
    <cellStyle name="Percent 34 2 4 2 2" xfId="15610"/>
    <cellStyle name="Percent 34 2 4 2 3" xfId="21762"/>
    <cellStyle name="Percent 34 2 4 3" xfId="12544"/>
    <cellStyle name="Percent 34 2 4 4" xfId="18696"/>
    <cellStyle name="Percent 34 2 5" xfId="7882"/>
    <cellStyle name="Percent 34 2 5 2" xfId="14076"/>
    <cellStyle name="Percent 34 2 5 3" xfId="20228"/>
    <cellStyle name="Percent 34 2 6" xfId="11010"/>
    <cellStyle name="Percent 34 2 7" xfId="17162"/>
    <cellStyle name="Percent 34 3" xfId="4451"/>
    <cellStyle name="Percent 34 3 2" xfId="4452"/>
    <cellStyle name="Percent 34 3 2 2" xfId="5478"/>
    <cellStyle name="Percent 34 3 2 2 2" xfId="7103"/>
    <cellStyle name="Percent 34 3 2 2 2 2" xfId="10189"/>
    <cellStyle name="Percent 34 3 2 2 2 2 2" xfId="16382"/>
    <cellStyle name="Percent 34 3 2 2 2 2 3" xfId="22534"/>
    <cellStyle name="Percent 34 3 2 2 2 3" xfId="13316"/>
    <cellStyle name="Percent 34 3 2 2 2 4" xfId="19468"/>
    <cellStyle name="Percent 34 3 2 2 3" xfId="8654"/>
    <cellStyle name="Percent 34 3 2 2 3 2" xfId="14848"/>
    <cellStyle name="Percent 34 3 2 2 3 3" xfId="21000"/>
    <cellStyle name="Percent 34 3 2 2 4" xfId="11782"/>
    <cellStyle name="Percent 34 3 2 2 5" xfId="17934"/>
    <cellStyle name="Percent 34 3 2 3" xfId="6333"/>
    <cellStyle name="Percent 34 3 2 3 2" xfId="9420"/>
    <cellStyle name="Percent 34 3 2 3 2 2" xfId="15613"/>
    <cellStyle name="Percent 34 3 2 3 2 3" xfId="21765"/>
    <cellStyle name="Percent 34 3 2 3 3" xfId="12547"/>
    <cellStyle name="Percent 34 3 2 3 4" xfId="18699"/>
    <cellStyle name="Percent 34 3 2 4" xfId="7885"/>
    <cellStyle name="Percent 34 3 2 4 2" xfId="14079"/>
    <cellStyle name="Percent 34 3 2 4 3" xfId="20231"/>
    <cellStyle name="Percent 34 3 2 5" xfId="11013"/>
    <cellStyle name="Percent 34 3 2 6" xfId="17165"/>
    <cellStyle name="Percent 34 3 3" xfId="5477"/>
    <cellStyle name="Percent 34 3 3 2" xfId="7102"/>
    <cellStyle name="Percent 34 3 3 2 2" xfId="10188"/>
    <cellStyle name="Percent 34 3 3 2 2 2" xfId="16381"/>
    <cellStyle name="Percent 34 3 3 2 2 3" xfId="22533"/>
    <cellStyle name="Percent 34 3 3 2 3" xfId="13315"/>
    <cellStyle name="Percent 34 3 3 2 4" xfId="19467"/>
    <cellStyle name="Percent 34 3 3 3" xfId="8653"/>
    <cellStyle name="Percent 34 3 3 3 2" xfId="14847"/>
    <cellStyle name="Percent 34 3 3 3 3" xfId="20999"/>
    <cellStyle name="Percent 34 3 3 4" xfId="11781"/>
    <cellStyle name="Percent 34 3 3 5" xfId="17933"/>
    <cellStyle name="Percent 34 3 4" xfId="6332"/>
    <cellStyle name="Percent 34 3 4 2" xfId="9419"/>
    <cellStyle name="Percent 34 3 4 2 2" xfId="15612"/>
    <cellStyle name="Percent 34 3 4 2 3" xfId="21764"/>
    <cellStyle name="Percent 34 3 4 3" xfId="12546"/>
    <cellStyle name="Percent 34 3 4 4" xfId="18698"/>
    <cellStyle name="Percent 34 3 5" xfId="7884"/>
    <cellStyle name="Percent 34 3 5 2" xfId="14078"/>
    <cellStyle name="Percent 34 3 5 3" xfId="20230"/>
    <cellStyle name="Percent 34 3 6" xfId="11012"/>
    <cellStyle name="Percent 34 3 7" xfId="17164"/>
    <cellStyle name="Percent 34 4" xfId="4453"/>
    <cellStyle name="Percent 34 4 2" xfId="4454"/>
    <cellStyle name="Percent 34 4 2 2" xfId="5479"/>
    <cellStyle name="Percent 34 4 2 2 2" xfId="7104"/>
    <cellStyle name="Percent 34 4 2 2 2 2" xfId="10190"/>
    <cellStyle name="Percent 34 4 2 2 2 2 2" xfId="16383"/>
    <cellStyle name="Percent 34 4 2 2 2 2 3" xfId="22535"/>
    <cellStyle name="Percent 34 4 2 2 2 3" xfId="13317"/>
    <cellStyle name="Percent 34 4 2 2 2 4" xfId="19469"/>
    <cellStyle name="Percent 34 4 2 2 3" xfId="8655"/>
    <cellStyle name="Percent 34 4 2 2 3 2" xfId="14849"/>
    <cellStyle name="Percent 34 4 2 2 3 3" xfId="21001"/>
    <cellStyle name="Percent 34 4 2 2 4" xfId="11783"/>
    <cellStyle name="Percent 34 4 2 2 5" xfId="17935"/>
    <cellStyle name="Percent 34 4 2 3" xfId="6334"/>
    <cellStyle name="Percent 34 4 2 3 2" xfId="9421"/>
    <cellStyle name="Percent 34 4 2 3 2 2" xfId="15614"/>
    <cellStyle name="Percent 34 4 2 3 2 3" xfId="21766"/>
    <cellStyle name="Percent 34 4 2 3 3" xfId="12548"/>
    <cellStyle name="Percent 34 4 2 3 4" xfId="18700"/>
    <cellStyle name="Percent 34 4 2 4" xfId="7886"/>
    <cellStyle name="Percent 34 4 2 4 2" xfId="14080"/>
    <cellStyle name="Percent 34 4 2 4 3" xfId="20232"/>
    <cellStyle name="Percent 34 4 2 5" xfId="11014"/>
    <cellStyle name="Percent 34 4 2 6" xfId="17166"/>
    <cellStyle name="Percent 34 5" xfId="4455"/>
    <cellStyle name="Percent 34 5 2" xfId="5480"/>
    <cellStyle name="Percent 34 5 2 2" xfId="7105"/>
    <cellStyle name="Percent 34 5 2 2 2" xfId="10191"/>
    <cellStyle name="Percent 34 5 2 2 2 2" xfId="16384"/>
    <cellStyle name="Percent 34 5 2 2 2 3" xfId="22536"/>
    <cellStyle name="Percent 34 5 2 2 3" xfId="13318"/>
    <cellStyle name="Percent 34 5 2 2 4" xfId="19470"/>
    <cellStyle name="Percent 34 5 2 3" xfId="8656"/>
    <cellStyle name="Percent 34 5 2 3 2" xfId="14850"/>
    <cellStyle name="Percent 34 5 2 3 3" xfId="21002"/>
    <cellStyle name="Percent 34 5 2 4" xfId="11784"/>
    <cellStyle name="Percent 34 5 2 5" xfId="17936"/>
    <cellStyle name="Percent 34 5 3" xfId="6335"/>
    <cellStyle name="Percent 34 5 3 2" xfId="9422"/>
    <cellStyle name="Percent 34 5 3 2 2" xfId="15615"/>
    <cellStyle name="Percent 34 5 3 2 3" xfId="21767"/>
    <cellStyle name="Percent 34 5 3 3" xfId="12549"/>
    <cellStyle name="Percent 34 5 3 4" xfId="18701"/>
    <cellStyle name="Percent 34 5 4" xfId="7887"/>
    <cellStyle name="Percent 34 5 4 2" xfId="14081"/>
    <cellStyle name="Percent 34 5 4 3" xfId="20233"/>
    <cellStyle name="Percent 34 5 5" xfId="11015"/>
    <cellStyle name="Percent 34 5 6" xfId="17167"/>
    <cellStyle name="Percent 35" xfId="4456"/>
    <cellStyle name="Percent 35 2" xfId="4457"/>
    <cellStyle name="Percent 35 2 2" xfId="4458"/>
    <cellStyle name="Percent 35 2 2 2" xfId="5482"/>
    <cellStyle name="Percent 35 2 2 2 2" xfId="7107"/>
    <cellStyle name="Percent 35 2 2 2 2 2" xfId="10193"/>
    <cellStyle name="Percent 35 2 2 2 2 2 2" xfId="16386"/>
    <cellStyle name="Percent 35 2 2 2 2 2 3" xfId="22538"/>
    <cellStyle name="Percent 35 2 2 2 2 3" xfId="13320"/>
    <cellStyle name="Percent 35 2 2 2 2 4" xfId="19472"/>
    <cellStyle name="Percent 35 2 2 2 3" xfId="8658"/>
    <cellStyle name="Percent 35 2 2 2 3 2" xfId="14852"/>
    <cellStyle name="Percent 35 2 2 2 3 3" xfId="21004"/>
    <cellStyle name="Percent 35 2 2 2 4" xfId="11786"/>
    <cellStyle name="Percent 35 2 2 2 5" xfId="17938"/>
    <cellStyle name="Percent 35 2 2 3" xfId="6337"/>
    <cellStyle name="Percent 35 2 2 3 2" xfId="9424"/>
    <cellStyle name="Percent 35 2 2 3 2 2" xfId="15617"/>
    <cellStyle name="Percent 35 2 2 3 2 3" xfId="21769"/>
    <cellStyle name="Percent 35 2 2 3 3" xfId="12551"/>
    <cellStyle name="Percent 35 2 2 3 4" xfId="18703"/>
    <cellStyle name="Percent 35 2 2 4" xfId="7889"/>
    <cellStyle name="Percent 35 2 2 4 2" xfId="14083"/>
    <cellStyle name="Percent 35 2 2 4 3" xfId="20235"/>
    <cellStyle name="Percent 35 2 2 5" xfId="11017"/>
    <cellStyle name="Percent 35 2 2 6" xfId="17169"/>
    <cellStyle name="Percent 35 2 3" xfId="5481"/>
    <cellStyle name="Percent 35 2 3 2" xfId="7106"/>
    <cellStyle name="Percent 35 2 3 2 2" xfId="10192"/>
    <cellStyle name="Percent 35 2 3 2 2 2" xfId="16385"/>
    <cellStyle name="Percent 35 2 3 2 2 3" xfId="22537"/>
    <cellStyle name="Percent 35 2 3 2 3" xfId="13319"/>
    <cellStyle name="Percent 35 2 3 2 4" xfId="19471"/>
    <cellStyle name="Percent 35 2 3 3" xfId="8657"/>
    <cellStyle name="Percent 35 2 3 3 2" xfId="14851"/>
    <cellStyle name="Percent 35 2 3 3 3" xfId="21003"/>
    <cellStyle name="Percent 35 2 3 4" xfId="11785"/>
    <cellStyle name="Percent 35 2 3 5" xfId="17937"/>
    <cellStyle name="Percent 35 2 4" xfId="6336"/>
    <cellStyle name="Percent 35 2 4 2" xfId="9423"/>
    <cellStyle name="Percent 35 2 4 2 2" xfId="15616"/>
    <cellStyle name="Percent 35 2 4 2 3" xfId="21768"/>
    <cellStyle name="Percent 35 2 4 3" xfId="12550"/>
    <cellStyle name="Percent 35 2 4 4" xfId="18702"/>
    <cellStyle name="Percent 35 2 5" xfId="7888"/>
    <cellStyle name="Percent 35 2 5 2" xfId="14082"/>
    <cellStyle name="Percent 35 2 5 3" xfId="20234"/>
    <cellStyle name="Percent 35 2 6" xfId="11016"/>
    <cellStyle name="Percent 35 2 7" xfId="17168"/>
    <cellStyle name="Percent 35 3" xfId="4459"/>
    <cellStyle name="Percent 35 3 2" xfId="4460"/>
    <cellStyle name="Percent 35 3 2 2" xfId="5484"/>
    <cellStyle name="Percent 35 3 2 2 2" xfId="7109"/>
    <cellStyle name="Percent 35 3 2 2 2 2" xfId="10195"/>
    <cellStyle name="Percent 35 3 2 2 2 2 2" xfId="16388"/>
    <cellStyle name="Percent 35 3 2 2 2 2 3" xfId="22540"/>
    <cellStyle name="Percent 35 3 2 2 2 3" xfId="13322"/>
    <cellStyle name="Percent 35 3 2 2 2 4" xfId="19474"/>
    <cellStyle name="Percent 35 3 2 2 3" xfId="8660"/>
    <cellStyle name="Percent 35 3 2 2 3 2" xfId="14854"/>
    <cellStyle name="Percent 35 3 2 2 3 3" xfId="21006"/>
    <cellStyle name="Percent 35 3 2 2 4" xfId="11788"/>
    <cellStyle name="Percent 35 3 2 2 5" xfId="17940"/>
    <cellStyle name="Percent 35 3 2 3" xfId="6339"/>
    <cellStyle name="Percent 35 3 2 3 2" xfId="9426"/>
    <cellStyle name="Percent 35 3 2 3 2 2" xfId="15619"/>
    <cellStyle name="Percent 35 3 2 3 2 3" xfId="21771"/>
    <cellStyle name="Percent 35 3 2 3 3" xfId="12553"/>
    <cellStyle name="Percent 35 3 2 3 4" xfId="18705"/>
    <cellStyle name="Percent 35 3 2 4" xfId="7891"/>
    <cellStyle name="Percent 35 3 2 4 2" xfId="14085"/>
    <cellStyle name="Percent 35 3 2 4 3" xfId="20237"/>
    <cellStyle name="Percent 35 3 2 5" xfId="11019"/>
    <cellStyle name="Percent 35 3 2 6" xfId="17171"/>
    <cellStyle name="Percent 35 3 3" xfId="5483"/>
    <cellStyle name="Percent 35 3 3 2" xfId="7108"/>
    <cellStyle name="Percent 35 3 3 2 2" xfId="10194"/>
    <cellStyle name="Percent 35 3 3 2 2 2" xfId="16387"/>
    <cellStyle name="Percent 35 3 3 2 2 3" xfId="22539"/>
    <cellStyle name="Percent 35 3 3 2 3" xfId="13321"/>
    <cellStyle name="Percent 35 3 3 2 4" xfId="19473"/>
    <cellStyle name="Percent 35 3 3 3" xfId="8659"/>
    <cellStyle name="Percent 35 3 3 3 2" xfId="14853"/>
    <cellStyle name="Percent 35 3 3 3 3" xfId="21005"/>
    <cellStyle name="Percent 35 3 3 4" xfId="11787"/>
    <cellStyle name="Percent 35 3 3 5" xfId="17939"/>
    <cellStyle name="Percent 35 3 4" xfId="6338"/>
    <cellStyle name="Percent 35 3 4 2" xfId="9425"/>
    <cellStyle name="Percent 35 3 4 2 2" xfId="15618"/>
    <cellStyle name="Percent 35 3 4 2 3" xfId="21770"/>
    <cellStyle name="Percent 35 3 4 3" xfId="12552"/>
    <cellStyle name="Percent 35 3 4 4" xfId="18704"/>
    <cellStyle name="Percent 35 3 5" xfId="7890"/>
    <cellStyle name="Percent 35 3 5 2" xfId="14084"/>
    <cellStyle name="Percent 35 3 5 3" xfId="20236"/>
    <cellStyle name="Percent 35 3 6" xfId="11018"/>
    <cellStyle name="Percent 35 3 7" xfId="17170"/>
    <cellStyle name="Percent 35 4" xfId="4461"/>
    <cellStyle name="Percent 35 4 2" xfId="4462"/>
    <cellStyle name="Percent 35 4 2 2" xfId="5485"/>
    <cellStyle name="Percent 35 4 2 2 2" xfId="7110"/>
    <cellStyle name="Percent 35 4 2 2 2 2" xfId="10196"/>
    <cellStyle name="Percent 35 4 2 2 2 2 2" xfId="16389"/>
    <cellStyle name="Percent 35 4 2 2 2 2 3" xfId="22541"/>
    <cellStyle name="Percent 35 4 2 2 2 3" xfId="13323"/>
    <cellStyle name="Percent 35 4 2 2 2 4" xfId="19475"/>
    <cellStyle name="Percent 35 4 2 2 3" xfId="8661"/>
    <cellStyle name="Percent 35 4 2 2 3 2" xfId="14855"/>
    <cellStyle name="Percent 35 4 2 2 3 3" xfId="21007"/>
    <cellStyle name="Percent 35 4 2 2 4" xfId="11789"/>
    <cellStyle name="Percent 35 4 2 2 5" xfId="17941"/>
    <cellStyle name="Percent 35 4 2 3" xfId="6340"/>
    <cellStyle name="Percent 35 4 2 3 2" xfId="9427"/>
    <cellStyle name="Percent 35 4 2 3 2 2" xfId="15620"/>
    <cellStyle name="Percent 35 4 2 3 2 3" xfId="21772"/>
    <cellStyle name="Percent 35 4 2 3 3" xfId="12554"/>
    <cellStyle name="Percent 35 4 2 3 4" xfId="18706"/>
    <cellStyle name="Percent 35 4 2 4" xfId="7892"/>
    <cellStyle name="Percent 35 4 2 4 2" xfId="14086"/>
    <cellStyle name="Percent 35 4 2 4 3" xfId="20238"/>
    <cellStyle name="Percent 35 4 2 5" xfId="11020"/>
    <cellStyle name="Percent 35 4 2 6" xfId="17172"/>
    <cellStyle name="Percent 35 5" xfId="4463"/>
    <cellStyle name="Percent 35 5 2" xfId="5486"/>
    <cellStyle name="Percent 35 5 2 2" xfId="7111"/>
    <cellStyle name="Percent 35 5 2 2 2" xfId="10197"/>
    <cellStyle name="Percent 35 5 2 2 2 2" xfId="16390"/>
    <cellStyle name="Percent 35 5 2 2 2 3" xfId="22542"/>
    <cellStyle name="Percent 35 5 2 2 3" xfId="13324"/>
    <cellStyle name="Percent 35 5 2 2 4" xfId="19476"/>
    <cellStyle name="Percent 35 5 2 3" xfId="8662"/>
    <cellStyle name="Percent 35 5 2 3 2" xfId="14856"/>
    <cellStyle name="Percent 35 5 2 3 3" xfId="21008"/>
    <cellStyle name="Percent 35 5 2 4" xfId="11790"/>
    <cellStyle name="Percent 35 5 2 5" xfId="17942"/>
    <cellStyle name="Percent 35 5 3" xfId="6341"/>
    <cellStyle name="Percent 35 5 3 2" xfId="9428"/>
    <cellStyle name="Percent 35 5 3 2 2" xfId="15621"/>
    <cellStyle name="Percent 35 5 3 2 3" xfId="21773"/>
    <cellStyle name="Percent 35 5 3 3" xfId="12555"/>
    <cellStyle name="Percent 35 5 3 4" xfId="18707"/>
    <cellStyle name="Percent 35 5 4" xfId="7893"/>
    <cellStyle name="Percent 35 5 4 2" xfId="14087"/>
    <cellStyle name="Percent 35 5 4 3" xfId="20239"/>
    <cellStyle name="Percent 35 5 5" xfId="11021"/>
    <cellStyle name="Percent 35 5 6" xfId="17173"/>
    <cellStyle name="Percent 36" xfId="4464"/>
    <cellStyle name="Percent 37" xfId="4465"/>
    <cellStyle name="Percent 38" xfId="4466"/>
    <cellStyle name="Percent 39" xfId="4467"/>
    <cellStyle name="Percent 4" xfId="46"/>
    <cellStyle name="Percent 4 10" xfId="384"/>
    <cellStyle name="Percent 4 10 2" xfId="1262"/>
    <cellStyle name="Percent 4 11" xfId="400"/>
    <cellStyle name="Percent 4 12" xfId="412"/>
    <cellStyle name="Percent 4 13" xfId="424"/>
    <cellStyle name="Percent 4 14" xfId="388"/>
    <cellStyle name="Percent 4 15" xfId="463"/>
    <cellStyle name="Percent 4 16" xfId="465"/>
    <cellStyle name="Percent 4 17" xfId="483"/>
    <cellStyle name="Percent 4 18" xfId="477"/>
    <cellStyle name="Percent 4 19" xfId="506"/>
    <cellStyle name="Percent 4 2" xfId="254"/>
    <cellStyle name="Percent 4 2 2" xfId="4470"/>
    <cellStyle name="Percent 4 2 2 2" xfId="4471"/>
    <cellStyle name="Percent 4 2 2 3" xfId="4472"/>
    <cellStyle name="Percent 4 2 3" xfId="4469"/>
    <cellStyle name="Percent 4 2 4" xfId="23319"/>
    <cellStyle name="Percent 4 20" xfId="515"/>
    <cellStyle name="Percent 4 21" xfId="605"/>
    <cellStyle name="Percent 4 22" xfId="658"/>
    <cellStyle name="Percent 4 23" xfId="684"/>
    <cellStyle name="Percent 4 24" xfId="654"/>
    <cellStyle name="Percent 4 25" xfId="683"/>
    <cellStyle name="Percent 4 26" xfId="681"/>
    <cellStyle name="Percent 4 27" xfId="688"/>
    <cellStyle name="Percent 4 28" xfId="720"/>
    <cellStyle name="Percent 4 29" xfId="23318"/>
    <cellStyle name="Percent 4 3" xfId="272"/>
    <cellStyle name="Percent 4 3 2" xfId="4473"/>
    <cellStyle name="Percent 4 3 3" xfId="23320"/>
    <cellStyle name="Percent 4 4" xfId="278"/>
    <cellStyle name="Percent 4 4 2" xfId="4474"/>
    <cellStyle name="Percent 4 4 3" xfId="23321"/>
    <cellStyle name="Percent 4 5" xfId="281"/>
    <cellStyle name="Percent 4 5 2" xfId="4475"/>
    <cellStyle name="Percent 4 5 3" xfId="23322"/>
    <cellStyle name="Percent 4 6" xfId="290"/>
    <cellStyle name="Percent 4 6 2" xfId="4476"/>
    <cellStyle name="Percent 4 7" xfId="324"/>
    <cellStyle name="Percent 4 7 2" xfId="4698"/>
    <cellStyle name="Percent 4 8" xfId="354"/>
    <cellStyle name="Percent 4 8 2" xfId="4468"/>
    <cellStyle name="Percent 4 9" xfId="369"/>
    <cellStyle name="Percent 4 9 2" xfId="10238"/>
    <cellStyle name="Percent 40" xfId="4477"/>
    <cellStyle name="Percent 41" xfId="4478"/>
    <cellStyle name="Percent 42" xfId="4479"/>
    <cellStyle name="Percent 43" xfId="4480"/>
    <cellStyle name="Percent 44" xfId="4481"/>
    <cellStyle name="Percent 45" xfId="4482"/>
    <cellStyle name="Percent 46" xfId="4483"/>
    <cellStyle name="Percent 47" xfId="4484"/>
    <cellStyle name="Percent 48" xfId="4485"/>
    <cellStyle name="Percent 49" xfId="4486"/>
    <cellStyle name="Percent 5" xfId="47"/>
    <cellStyle name="Percent 5 10" xfId="423"/>
    <cellStyle name="Percent 5 10 2" xfId="919"/>
    <cellStyle name="Percent 5 10 3" xfId="10280"/>
    <cellStyle name="Percent 5 10 4" xfId="22882"/>
    <cellStyle name="Percent 5 11" xfId="434"/>
    <cellStyle name="Percent 5 11 2" xfId="922"/>
    <cellStyle name="Percent 5 11 3" xfId="16432"/>
    <cellStyle name="Percent 5 11 4" xfId="22885"/>
    <cellStyle name="Percent 5 12" xfId="442"/>
    <cellStyle name="Percent 5 12 2" xfId="925"/>
    <cellStyle name="Percent 5 12 3" xfId="1281"/>
    <cellStyle name="Percent 5 12 4" xfId="22888"/>
    <cellStyle name="Percent 5 13" xfId="445"/>
    <cellStyle name="Percent 5 13 2" xfId="928"/>
    <cellStyle name="Percent 5 13 3" xfId="22791"/>
    <cellStyle name="Percent 5 13 4" xfId="22891"/>
    <cellStyle name="Percent 5 14" xfId="448"/>
    <cellStyle name="Percent 5 14 2" xfId="931"/>
    <cellStyle name="Percent 5 14 3" xfId="22708"/>
    <cellStyle name="Percent 5 14 4" xfId="22894"/>
    <cellStyle name="Percent 5 15" xfId="513"/>
    <cellStyle name="Percent 5 15 2" xfId="947"/>
    <cellStyle name="Percent 5 15 3" xfId="22651"/>
    <cellStyle name="Percent 5 15 4" xfId="22910"/>
    <cellStyle name="Percent 5 16" xfId="543"/>
    <cellStyle name="Percent 5 16 2" xfId="963"/>
    <cellStyle name="Percent 5 16 3" xfId="22684"/>
    <cellStyle name="Percent 5 16 4" xfId="22926"/>
    <cellStyle name="Percent 5 17" xfId="570"/>
    <cellStyle name="Percent 5 17 2" xfId="979"/>
    <cellStyle name="Percent 5 17 3" xfId="22670"/>
    <cellStyle name="Percent 5 17 4" xfId="22942"/>
    <cellStyle name="Percent 5 18" xfId="596"/>
    <cellStyle name="Percent 5 18 2" xfId="995"/>
    <cellStyle name="Percent 5 18 3" xfId="22607"/>
    <cellStyle name="Percent 5 18 4" xfId="22958"/>
    <cellStyle name="Percent 5 19" xfId="622"/>
    <cellStyle name="Percent 5 19 2" xfId="1011"/>
    <cellStyle name="Percent 5 19 3" xfId="22646"/>
    <cellStyle name="Percent 5 19 4" xfId="22974"/>
    <cellStyle name="Percent 5 2" xfId="100"/>
    <cellStyle name="Percent 5 2 10" xfId="10286"/>
    <cellStyle name="Percent 5 2 11" xfId="16438"/>
    <cellStyle name="Percent 5 2 12" xfId="1296"/>
    <cellStyle name="Percent 5 2 13" xfId="22858"/>
    <cellStyle name="Percent 5 2 14" xfId="299"/>
    <cellStyle name="Percent 5 2 15" xfId="23324"/>
    <cellStyle name="Percent 5 2 2" xfId="895"/>
    <cellStyle name="Percent 5 2 2 10" xfId="1315"/>
    <cellStyle name="Percent 5 2 2 2" xfId="4726"/>
    <cellStyle name="Percent 5 2 2 2 2" xfId="5502"/>
    <cellStyle name="Percent 5 2 2 2 2 2" xfId="7127"/>
    <cellStyle name="Percent 5 2 2 2 2 2 2" xfId="10213"/>
    <cellStyle name="Percent 5 2 2 2 2 2 2 2" xfId="16406"/>
    <cellStyle name="Percent 5 2 2 2 2 2 2 3" xfId="22558"/>
    <cellStyle name="Percent 5 2 2 2 2 2 3" xfId="13340"/>
    <cellStyle name="Percent 5 2 2 2 2 2 4" xfId="19492"/>
    <cellStyle name="Percent 5 2 2 2 2 3" xfId="8678"/>
    <cellStyle name="Percent 5 2 2 2 2 3 2" xfId="14872"/>
    <cellStyle name="Percent 5 2 2 2 2 3 3" xfId="21024"/>
    <cellStyle name="Percent 5 2 2 2 2 4" xfId="11806"/>
    <cellStyle name="Percent 5 2 2 2 2 5" xfId="17958"/>
    <cellStyle name="Percent 5 2 2 2 3" xfId="6358"/>
    <cellStyle name="Percent 5 2 2 2 3 2" xfId="9444"/>
    <cellStyle name="Percent 5 2 2 2 3 2 2" xfId="15637"/>
    <cellStyle name="Percent 5 2 2 2 3 2 3" xfId="21789"/>
    <cellStyle name="Percent 5 2 2 2 3 3" xfId="12571"/>
    <cellStyle name="Percent 5 2 2 2 3 4" xfId="18723"/>
    <cellStyle name="Percent 5 2 2 2 4" xfId="7909"/>
    <cellStyle name="Percent 5 2 2 2 4 2" xfId="14103"/>
    <cellStyle name="Percent 5 2 2 2 4 3" xfId="20255"/>
    <cellStyle name="Percent 5 2 2 2 5" xfId="10252"/>
    <cellStyle name="Percent 5 2 2 2 5 2" xfId="16424"/>
    <cellStyle name="Percent 5 2 2 2 5 3" xfId="22576"/>
    <cellStyle name="Percent 5 2 2 2 6" xfId="11037"/>
    <cellStyle name="Percent 5 2 2 2 7" xfId="17189"/>
    <cellStyle name="Percent 5 2 2 3" xfId="4489"/>
    <cellStyle name="Percent 5 2 2 4" xfId="4762"/>
    <cellStyle name="Percent 5 2 2 4 2" xfId="6387"/>
    <cellStyle name="Percent 5 2 2 4 2 2" xfId="9473"/>
    <cellStyle name="Percent 5 2 2 4 2 2 2" xfId="15666"/>
    <cellStyle name="Percent 5 2 2 4 2 2 3" xfId="21818"/>
    <cellStyle name="Percent 5 2 2 4 2 3" xfId="12600"/>
    <cellStyle name="Percent 5 2 2 4 2 4" xfId="18752"/>
    <cellStyle name="Percent 5 2 2 4 3" xfId="7938"/>
    <cellStyle name="Percent 5 2 2 4 3 2" xfId="14132"/>
    <cellStyle name="Percent 5 2 2 4 3 3" xfId="20284"/>
    <cellStyle name="Percent 5 2 2 4 4" xfId="11066"/>
    <cellStyle name="Percent 5 2 2 4 5" xfId="17218"/>
    <cellStyle name="Percent 5 2 2 5" xfId="5601"/>
    <cellStyle name="Percent 5 2 2 5 2" xfId="8704"/>
    <cellStyle name="Percent 5 2 2 5 2 2" xfId="14897"/>
    <cellStyle name="Percent 5 2 2 5 2 3" xfId="21049"/>
    <cellStyle name="Percent 5 2 2 5 3" xfId="11831"/>
    <cellStyle name="Percent 5 2 2 5 4" xfId="17983"/>
    <cellStyle name="Percent 5 2 2 6" xfId="7169"/>
    <cellStyle name="Percent 5 2 2 6 2" xfId="13363"/>
    <cellStyle name="Percent 5 2 2 6 3" xfId="19515"/>
    <cellStyle name="Percent 5 2 2 7" xfId="10241"/>
    <cellStyle name="Percent 5 2 2 7 2" xfId="16415"/>
    <cellStyle name="Percent 5 2 2 7 3" xfId="22567"/>
    <cellStyle name="Percent 5 2 2 8" xfId="10297"/>
    <cellStyle name="Percent 5 2 2 9" xfId="16449"/>
    <cellStyle name="Percent 5 2 3" xfId="4490"/>
    <cellStyle name="Percent 5 2 3 2" xfId="10251"/>
    <cellStyle name="Percent 5 2 3 2 2" xfId="16423"/>
    <cellStyle name="Percent 5 2 3 2 3" xfId="22575"/>
    <cellStyle name="Percent 5 2 4" xfId="4709"/>
    <cellStyle name="Percent 5 2 4 2" xfId="5493"/>
    <cellStyle name="Percent 5 2 4 2 2" xfId="7118"/>
    <cellStyle name="Percent 5 2 4 2 2 2" xfId="10204"/>
    <cellStyle name="Percent 5 2 4 2 2 2 2" xfId="16397"/>
    <cellStyle name="Percent 5 2 4 2 2 2 3" xfId="22549"/>
    <cellStyle name="Percent 5 2 4 2 2 3" xfId="13331"/>
    <cellStyle name="Percent 5 2 4 2 2 4" xfId="19483"/>
    <cellStyle name="Percent 5 2 4 2 3" xfId="8669"/>
    <cellStyle name="Percent 5 2 4 2 3 2" xfId="14863"/>
    <cellStyle name="Percent 5 2 4 2 3 3" xfId="21015"/>
    <cellStyle name="Percent 5 2 4 2 4" xfId="11797"/>
    <cellStyle name="Percent 5 2 4 2 5" xfId="17949"/>
    <cellStyle name="Percent 5 2 4 3" xfId="6349"/>
    <cellStyle name="Percent 5 2 4 3 2" xfId="9435"/>
    <cellStyle name="Percent 5 2 4 3 2 2" xfId="15628"/>
    <cellStyle name="Percent 5 2 4 3 2 3" xfId="21780"/>
    <cellStyle name="Percent 5 2 4 3 3" xfId="12562"/>
    <cellStyle name="Percent 5 2 4 3 4" xfId="18714"/>
    <cellStyle name="Percent 5 2 4 4" xfId="7900"/>
    <cellStyle name="Percent 5 2 4 4 2" xfId="14094"/>
    <cellStyle name="Percent 5 2 4 4 3" xfId="20246"/>
    <cellStyle name="Percent 5 2 4 5" xfId="11028"/>
    <cellStyle name="Percent 5 2 4 6" xfId="17180"/>
    <cellStyle name="Percent 5 2 5" xfId="4488"/>
    <cellStyle name="Percent 5 2 6" xfId="4751"/>
    <cellStyle name="Percent 5 2 6 2" xfId="6376"/>
    <cellStyle name="Percent 5 2 6 2 2" xfId="9462"/>
    <cellStyle name="Percent 5 2 6 2 2 2" xfId="15655"/>
    <cellStyle name="Percent 5 2 6 2 2 3" xfId="21807"/>
    <cellStyle name="Percent 5 2 6 2 3" xfId="12589"/>
    <cellStyle name="Percent 5 2 6 2 4" xfId="18741"/>
    <cellStyle name="Percent 5 2 6 3" xfId="7927"/>
    <cellStyle name="Percent 5 2 6 3 2" xfId="14121"/>
    <cellStyle name="Percent 5 2 6 3 3" xfId="20273"/>
    <cellStyle name="Percent 5 2 6 4" xfId="11055"/>
    <cellStyle name="Percent 5 2 6 5" xfId="17207"/>
    <cellStyle name="Percent 5 2 7" xfId="5589"/>
    <cellStyle name="Percent 5 2 7 2" xfId="8693"/>
    <cellStyle name="Percent 5 2 7 2 2" xfId="14886"/>
    <cellStyle name="Percent 5 2 7 2 3" xfId="21038"/>
    <cellStyle name="Percent 5 2 7 3" xfId="11820"/>
    <cellStyle name="Percent 5 2 7 4" xfId="17972"/>
    <cellStyle name="Percent 5 2 8" xfId="7158"/>
    <cellStyle name="Percent 5 2 8 2" xfId="13352"/>
    <cellStyle name="Percent 5 2 8 3" xfId="19504"/>
    <cellStyle name="Percent 5 2 9" xfId="10240"/>
    <cellStyle name="Percent 5 2 9 2" xfId="16414"/>
    <cellStyle name="Percent 5 2 9 3" xfId="22566"/>
    <cellStyle name="Percent 5 20" xfId="646"/>
    <cellStyle name="Percent 5 20 2" xfId="1027"/>
    <cellStyle name="Percent 5 20 3" xfId="22727"/>
    <cellStyle name="Percent 5 20 4" xfId="22990"/>
    <cellStyle name="Percent 5 21" xfId="672"/>
    <cellStyle name="Percent 5 21 2" xfId="1043"/>
    <cellStyle name="Percent 5 21 3" xfId="22753"/>
    <cellStyle name="Percent 5 21 4" xfId="23006"/>
    <cellStyle name="Percent 5 22" xfId="712"/>
    <cellStyle name="Percent 5 22 2" xfId="1059"/>
    <cellStyle name="Percent 5 22 3" xfId="22644"/>
    <cellStyle name="Percent 5 22 4" xfId="23022"/>
    <cellStyle name="Percent 5 23" xfId="740"/>
    <cellStyle name="Percent 5 23 2" xfId="1075"/>
    <cellStyle name="Percent 5 23 3" xfId="22737"/>
    <cellStyle name="Percent 5 23 4" xfId="23038"/>
    <cellStyle name="Percent 5 24" xfId="766"/>
    <cellStyle name="Percent 5 24 2" xfId="1091"/>
    <cellStyle name="Percent 5 24 3" xfId="22705"/>
    <cellStyle name="Percent 5 24 4" xfId="23054"/>
    <cellStyle name="Percent 5 25" xfId="791"/>
    <cellStyle name="Percent 5 25 2" xfId="1107"/>
    <cellStyle name="Percent 5 25 3" xfId="22650"/>
    <cellStyle name="Percent 5 25 4" xfId="23070"/>
    <cellStyle name="Percent 5 26" xfId="815"/>
    <cellStyle name="Percent 5 26 2" xfId="1123"/>
    <cellStyle name="Percent 5 26 3" xfId="22789"/>
    <cellStyle name="Percent 5 26 4" xfId="23086"/>
    <cellStyle name="Percent 5 27" xfId="831"/>
    <cellStyle name="Percent 5 27 2" xfId="1139"/>
    <cellStyle name="Percent 5 27 3" xfId="22710"/>
    <cellStyle name="Percent 5 27 4" xfId="23102"/>
    <cellStyle name="Percent 5 28" xfId="847"/>
    <cellStyle name="Percent 5 28 2" xfId="1155"/>
    <cellStyle name="Percent 5 28 3" xfId="22697"/>
    <cellStyle name="Percent 5 28 4" xfId="23118"/>
    <cellStyle name="Percent 5 29" xfId="206"/>
    <cellStyle name="Percent 5 3" xfId="322"/>
    <cellStyle name="Percent 5 3 10" xfId="1309"/>
    <cellStyle name="Percent 5 3 11" xfId="22861"/>
    <cellStyle name="Percent 5 3 12" xfId="23325"/>
    <cellStyle name="Percent 5 3 2" xfId="898"/>
    <cellStyle name="Percent 5 3 2 2" xfId="5497"/>
    <cellStyle name="Percent 5 3 2 2 2" xfId="7122"/>
    <cellStyle name="Percent 5 3 2 2 2 2" xfId="10208"/>
    <cellStyle name="Percent 5 3 2 2 2 2 2" xfId="16401"/>
    <cellStyle name="Percent 5 3 2 2 2 2 3" xfId="22553"/>
    <cellStyle name="Percent 5 3 2 2 2 3" xfId="13335"/>
    <cellStyle name="Percent 5 3 2 2 2 4" xfId="19487"/>
    <cellStyle name="Percent 5 3 2 2 3" xfId="8673"/>
    <cellStyle name="Percent 5 3 2 2 3 2" xfId="14867"/>
    <cellStyle name="Percent 5 3 2 2 3 3" xfId="21019"/>
    <cellStyle name="Percent 5 3 2 2 4" xfId="11801"/>
    <cellStyle name="Percent 5 3 2 2 5" xfId="17953"/>
    <cellStyle name="Percent 5 3 2 3" xfId="6353"/>
    <cellStyle name="Percent 5 3 2 3 2" xfId="9439"/>
    <cellStyle name="Percent 5 3 2 3 2 2" xfId="15632"/>
    <cellStyle name="Percent 5 3 2 3 2 3" xfId="21784"/>
    <cellStyle name="Percent 5 3 2 3 3" xfId="12566"/>
    <cellStyle name="Percent 5 3 2 3 4" xfId="18718"/>
    <cellStyle name="Percent 5 3 2 4" xfId="7904"/>
    <cellStyle name="Percent 5 3 2 4 2" xfId="14098"/>
    <cellStyle name="Percent 5 3 2 4 3" xfId="20250"/>
    <cellStyle name="Percent 5 3 2 5" xfId="11032"/>
    <cellStyle name="Percent 5 3 2 6" xfId="17184"/>
    <cellStyle name="Percent 5 3 2 7" xfId="4721"/>
    <cellStyle name="Percent 5 3 3" xfId="4491"/>
    <cellStyle name="Percent 5 3 4" xfId="4756"/>
    <cellStyle name="Percent 5 3 4 2" xfId="6381"/>
    <cellStyle name="Percent 5 3 4 2 2" xfId="9467"/>
    <cellStyle name="Percent 5 3 4 2 2 2" xfId="15660"/>
    <cellStyle name="Percent 5 3 4 2 2 3" xfId="21812"/>
    <cellStyle name="Percent 5 3 4 2 3" xfId="12594"/>
    <cellStyle name="Percent 5 3 4 2 4" xfId="18746"/>
    <cellStyle name="Percent 5 3 4 3" xfId="7932"/>
    <cellStyle name="Percent 5 3 4 3 2" xfId="14126"/>
    <cellStyle name="Percent 5 3 4 3 3" xfId="20278"/>
    <cellStyle name="Percent 5 3 4 4" xfId="11060"/>
    <cellStyle name="Percent 5 3 4 5" xfId="17212"/>
    <cellStyle name="Percent 5 3 5" xfId="5595"/>
    <cellStyle name="Percent 5 3 5 2" xfId="8698"/>
    <cellStyle name="Percent 5 3 5 2 2" xfId="14891"/>
    <cellStyle name="Percent 5 3 5 2 3" xfId="21043"/>
    <cellStyle name="Percent 5 3 5 3" xfId="11825"/>
    <cellStyle name="Percent 5 3 5 4" xfId="17977"/>
    <cellStyle name="Percent 5 3 6" xfId="7163"/>
    <cellStyle name="Percent 5 3 6 2" xfId="13357"/>
    <cellStyle name="Percent 5 3 6 3" xfId="19509"/>
    <cellStyle name="Percent 5 3 7" xfId="10250"/>
    <cellStyle name="Percent 5 3 7 2" xfId="16422"/>
    <cellStyle name="Percent 5 3 7 3" xfId="22574"/>
    <cellStyle name="Percent 5 3 8" xfId="10291"/>
    <cellStyle name="Percent 5 3 9" xfId="16443"/>
    <cellStyle name="Percent 5 30" xfId="23323"/>
    <cellStyle name="Percent 5 4" xfId="337"/>
    <cellStyle name="Percent 5 4 2" xfId="901"/>
    <cellStyle name="Percent 5 4 2 2" xfId="7114"/>
    <cellStyle name="Percent 5 4 2 2 2" xfId="10200"/>
    <cellStyle name="Percent 5 4 2 2 2 2" xfId="16393"/>
    <cellStyle name="Percent 5 4 2 2 2 3" xfId="22545"/>
    <cellStyle name="Percent 5 4 2 2 3" xfId="13327"/>
    <cellStyle name="Percent 5 4 2 2 4" xfId="19479"/>
    <cellStyle name="Percent 5 4 2 3" xfId="8665"/>
    <cellStyle name="Percent 5 4 2 3 2" xfId="14859"/>
    <cellStyle name="Percent 5 4 2 3 3" xfId="21011"/>
    <cellStyle name="Percent 5 4 2 4" xfId="11793"/>
    <cellStyle name="Percent 5 4 2 5" xfId="17945"/>
    <cellStyle name="Percent 5 4 2 6" xfId="5489"/>
    <cellStyle name="Percent 5 4 3" xfId="6345"/>
    <cellStyle name="Percent 5 4 3 2" xfId="9431"/>
    <cellStyle name="Percent 5 4 3 2 2" xfId="15624"/>
    <cellStyle name="Percent 5 4 3 2 3" xfId="21776"/>
    <cellStyle name="Percent 5 4 3 3" xfId="12558"/>
    <cellStyle name="Percent 5 4 3 4" xfId="18710"/>
    <cellStyle name="Percent 5 4 4" xfId="7896"/>
    <cellStyle name="Percent 5 4 4 2" xfId="14090"/>
    <cellStyle name="Percent 5 4 4 3" xfId="20242"/>
    <cellStyle name="Percent 5 4 5" xfId="11024"/>
    <cellStyle name="Percent 5 4 6" xfId="17176"/>
    <cellStyle name="Percent 5 4 7" xfId="4701"/>
    <cellStyle name="Percent 5 4 8" xfId="22864"/>
    <cellStyle name="Percent 5 4 9" xfId="23326"/>
    <cellStyle name="Percent 5 5" xfId="351"/>
    <cellStyle name="Percent 5 5 2" xfId="904"/>
    <cellStyle name="Percent 5 5 3" xfId="4487"/>
    <cellStyle name="Percent 5 5 4" xfId="22701"/>
    <cellStyle name="Percent 5 5 5" xfId="22867"/>
    <cellStyle name="Percent 5 6" xfId="367"/>
    <cellStyle name="Percent 5 6 2" xfId="907"/>
    <cellStyle name="Percent 5 6 2 2" xfId="9456"/>
    <cellStyle name="Percent 5 6 2 2 2" xfId="15649"/>
    <cellStyle name="Percent 5 6 2 2 3" xfId="21801"/>
    <cellStyle name="Percent 5 6 2 3" xfId="12583"/>
    <cellStyle name="Percent 5 6 2 4" xfId="18735"/>
    <cellStyle name="Percent 5 6 2 5" xfId="6370"/>
    <cellStyle name="Percent 5 6 3" xfId="7921"/>
    <cellStyle name="Percent 5 6 3 2" xfId="14115"/>
    <cellStyle name="Percent 5 6 3 3" xfId="20267"/>
    <cellStyle name="Percent 5 6 4" xfId="11049"/>
    <cellStyle name="Percent 5 6 5" xfId="17201"/>
    <cellStyle name="Percent 5 6 6" xfId="4745"/>
    <cellStyle name="Percent 5 6 7" xfId="22870"/>
    <cellStyle name="Percent 5 7" xfId="382"/>
    <cellStyle name="Percent 5 7 2" xfId="910"/>
    <cellStyle name="Percent 5 7 2 2" xfId="14880"/>
    <cellStyle name="Percent 5 7 2 3" xfId="21032"/>
    <cellStyle name="Percent 5 7 2 4" xfId="8687"/>
    <cellStyle name="Percent 5 7 3" xfId="11814"/>
    <cellStyle name="Percent 5 7 4" xfId="17966"/>
    <cellStyle name="Percent 5 7 5" xfId="5583"/>
    <cellStyle name="Percent 5 7 6" xfId="22873"/>
    <cellStyle name="Percent 5 8" xfId="398"/>
    <cellStyle name="Percent 5 8 2" xfId="913"/>
    <cellStyle name="Percent 5 8 2 2" xfId="13346"/>
    <cellStyle name="Percent 5 8 3" xfId="19498"/>
    <cellStyle name="Percent 5 8 4" xfId="7152"/>
    <cellStyle name="Percent 5 8 5" xfId="22876"/>
    <cellStyle name="Percent 5 9" xfId="411"/>
    <cellStyle name="Percent 5 9 2" xfId="916"/>
    <cellStyle name="Percent 5 9 2 2" xfId="16413"/>
    <cellStyle name="Percent 5 9 3" xfId="22565"/>
    <cellStyle name="Percent 5 9 4" xfId="10239"/>
    <cellStyle name="Percent 5 9 5" xfId="22879"/>
    <cellStyle name="Percent 50" xfId="4492"/>
    <cellStyle name="Percent 51" xfId="4493"/>
    <cellStyle name="Percent 52" xfId="4494"/>
    <cellStyle name="Percent 53" xfId="4495"/>
    <cellStyle name="Percent 54" xfId="4496"/>
    <cellStyle name="Percent 55" xfId="4497"/>
    <cellStyle name="Percent 56" xfId="4498"/>
    <cellStyle name="Percent 57" xfId="4499"/>
    <cellStyle name="Percent 58" xfId="4500"/>
    <cellStyle name="Percent 59" xfId="4501"/>
    <cellStyle name="Percent 6" xfId="48"/>
    <cellStyle name="Percent 6 2" xfId="101"/>
    <cellStyle name="Percent 6 2 2" xfId="4504"/>
    <cellStyle name="Percent 6 2 3" xfId="4505"/>
    <cellStyle name="Percent 6 2 4" xfId="4503"/>
    <cellStyle name="Percent 6 3" xfId="4506"/>
    <cellStyle name="Percent 6 4" xfId="4704"/>
    <cellStyle name="Percent 6 5" xfId="4502"/>
    <cellStyle name="Percent 6 6" xfId="1288"/>
    <cellStyle name="Percent 6 7" xfId="23327"/>
    <cellStyle name="Percent 60" xfId="4507"/>
    <cellStyle name="Percent 61" xfId="4508"/>
    <cellStyle name="Percent 62" xfId="4509"/>
    <cellStyle name="Percent 63" xfId="4510"/>
    <cellStyle name="Percent 64" xfId="4511"/>
    <cellStyle name="Percent 65" xfId="4512"/>
    <cellStyle name="Percent 66" xfId="4513"/>
    <cellStyle name="Percent 67" xfId="4514"/>
    <cellStyle name="Percent 68" xfId="4515"/>
    <cellStyle name="Percent 69" xfId="4516"/>
    <cellStyle name="Percent 7" xfId="49"/>
    <cellStyle name="Percent 7 2" xfId="82"/>
    <cellStyle name="Percent 7 2 2" xfId="4519"/>
    <cellStyle name="Percent 7 2 3" xfId="4520"/>
    <cellStyle name="Percent 7 2 4" xfId="4518"/>
    <cellStyle name="Percent 7 3" xfId="4521"/>
    <cellStyle name="Percent 7 4" xfId="4522"/>
    <cellStyle name="Percent 7 5" xfId="4517"/>
    <cellStyle name="Percent 7 6" xfId="23328"/>
    <cellStyle name="Percent 70" xfId="4523"/>
    <cellStyle name="Percent 71" xfId="4524"/>
    <cellStyle name="Percent 72" xfId="4525"/>
    <cellStyle name="Percent 73" xfId="4526"/>
    <cellStyle name="Percent 74" xfId="4527"/>
    <cellStyle name="Percent 75" xfId="4528"/>
    <cellStyle name="Percent 76" xfId="4529"/>
    <cellStyle name="Percent 77" xfId="4530"/>
    <cellStyle name="Percent 78" xfId="4531"/>
    <cellStyle name="Percent 79" xfId="4532"/>
    <cellStyle name="Percent 8" xfId="50"/>
    <cellStyle name="Percent 8 2" xfId="4534"/>
    <cellStyle name="Percent 8 2 2" xfId="4535"/>
    <cellStyle name="Percent 8 2 3" xfId="4536"/>
    <cellStyle name="Percent 8 2 4" xfId="10253"/>
    <cellStyle name="Percent 8 2 4 2" xfId="16425"/>
    <cellStyle name="Percent 8 2 4 3" xfId="22577"/>
    <cellStyle name="Percent 8 3" xfId="10242"/>
    <cellStyle name="Percent 8 3 2" xfId="16416"/>
    <cellStyle name="Percent 8 3 3" xfId="22568"/>
    <cellStyle name="Percent 8 4" xfId="4533"/>
    <cellStyle name="Percent 80" xfId="4537"/>
    <cellStyle name="Percent 81" xfId="4538"/>
    <cellStyle name="Percent 82" xfId="4539"/>
    <cellStyle name="Percent 83" xfId="4540"/>
    <cellStyle name="Percent 84" xfId="4541"/>
    <cellStyle name="Percent 85" xfId="4542"/>
    <cellStyle name="Percent 86" xfId="4543"/>
    <cellStyle name="Percent 87" xfId="4544"/>
    <cellStyle name="Percent 88" xfId="4545"/>
    <cellStyle name="Percent 89" xfId="4546"/>
    <cellStyle name="Percent 9" xfId="52"/>
    <cellStyle name="Percent 9 2" xfId="103"/>
    <cellStyle name="Percent 9 2 2" xfId="146"/>
    <cellStyle name="Percent 9 2 2 2" xfId="4549"/>
    <cellStyle name="Percent 9 2 3" xfId="4550"/>
    <cellStyle name="Percent 9 2 4" xfId="4548"/>
    <cellStyle name="Percent 9 3" xfId="131"/>
    <cellStyle name="Percent 9 4" xfId="116"/>
    <cellStyle name="Percent 9 5" xfId="4547"/>
    <cellStyle name="Percent 90" xfId="4551"/>
    <cellStyle name="Percent 91" xfId="4552"/>
    <cellStyle name="Percent 92" xfId="4553"/>
    <cellStyle name="Percent 93" xfId="4554"/>
    <cellStyle name="Percent 94" xfId="4555"/>
    <cellStyle name="Percent 95" xfId="4556"/>
    <cellStyle name="Percent 96" xfId="4557"/>
    <cellStyle name="Percent 97" xfId="4558"/>
    <cellStyle name="Percent 98" xfId="4559"/>
    <cellStyle name="Percent 99" xfId="4560"/>
    <cellStyle name="placeholder" xfId="4561"/>
    <cellStyle name="PS_Comma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ReportTitlePrompt" xfId="1263"/>
    <cellStyle name="ReportTitleValue" xfId="1264"/>
    <cellStyle name="Row Lvl 1" xfId="4562"/>
    <cellStyle name="Row Lvl 2" xfId="4563"/>
    <cellStyle name="RowAcctAbovePrompt" xfId="1265"/>
    <cellStyle name="RowAcctSOBAbovePrompt" xfId="1266"/>
    <cellStyle name="RowAcctSOBValue" xfId="1267"/>
    <cellStyle name="RowAcctValue" xfId="1268"/>
    <cellStyle name="RowAttrAbovePrompt" xfId="1269"/>
    <cellStyle name="RowAttrValue" xfId="1270"/>
    <cellStyle name="RowColSetAbovePrompt" xfId="1271"/>
    <cellStyle name="RowColSetLeftPrompt" xfId="1272"/>
    <cellStyle name="RowColSetValue" xfId="1273"/>
    <cellStyle name="RowLeftPrompt" xfId="1274"/>
    <cellStyle name="SampleUsingFormatMask" xfId="1275"/>
    <cellStyle name="SampleWithNoFormatMask" xfId="1276"/>
    <cellStyle name="STYLE1" xfId="4564"/>
    <cellStyle name="STYLE1 2" xfId="4565"/>
    <cellStyle name="STYLE1 2 2" xfId="4566"/>
    <cellStyle name="STYLE1 2 3" xfId="4567"/>
    <cellStyle name="STYLE1 3" xfId="4568"/>
    <cellStyle name="STYLE1 4" xfId="4569"/>
    <cellStyle name="STYLE1 5" xfId="4570"/>
    <cellStyle name="STYLE2" xfId="4571"/>
    <cellStyle name="STYLE2 2" xfId="4572"/>
    <cellStyle name="STYLE2 2 2" xfId="4573"/>
    <cellStyle name="STYLE2 2 3" xfId="4574"/>
    <cellStyle name="STYLE2 3" xfId="4575"/>
    <cellStyle name="STYLE2 4" xfId="4576"/>
    <cellStyle name="STYLE3" xfId="4577"/>
    <cellStyle name="STYLE3 2" xfId="4578"/>
    <cellStyle name="STYLE3 2 2" xfId="4579"/>
    <cellStyle name="STYLE3 2 3" xfId="4580"/>
    <cellStyle name="STYLE3 3" xfId="4581"/>
    <cellStyle name="STYLE3 4" xfId="4582"/>
    <cellStyle name="STYLE3 5" xfId="4583"/>
    <cellStyle name="STYLE4" xfId="4584"/>
    <cellStyle name="STYLE4 2" xfId="4585"/>
    <cellStyle name="STYLE4 3" xfId="4586"/>
    <cellStyle name="STYLE5" xfId="4587"/>
    <cellStyle name="STYLE6" xfId="4588"/>
    <cellStyle name="STYLE7" xfId="4589"/>
    <cellStyle name="Title" xfId="152" builtinId="15" customBuiltin="1"/>
    <cellStyle name="Title 2" xfId="4590"/>
    <cellStyle name="Title 2 2" xfId="4591"/>
    <cellStyle name="Title 3" xfId="4592"/>
    <cellStyle name="Title 4" xfId="4593"/>
    <cellStyle name="Title 5" xfId="4594"/>
    <cellStyle name="Title 6" xfId="4595"/>
    <cellStyle name="Title Left" xfId="4596"/>
    <cellStyle name="Total" xfId="167" builtinId="25" customBuiltin="1"/>
    <cellStyle name="Total 2" xfId="4597"/>
    <cellStyle name="Total 3" xfId="4598"/>
    <cellStyle name="Total 4" xfId="4599"/>
    <cellStyle name="Total 5" xfId="4600"/>
    <cellStyle name="Total 5 2" xfId="5570"/>
    <cellStyle name="Total 5 2 2" xfId="7129"/>
    <cellStyle name="Total 5 3" xfId="5560"/>
    <cellStyle name="Total 5 3 2" xfId="6303"/>
    <cellStyle name="Total 5 4" xfId="5547"/>
    <cellStyle name="Total 5 4 2" xfId="7133"/>
    <cellStyle name="Total 5 5" xfId="5540"/>
    <cellStyle name="Total 5 5 2" xfId="6227"/>
    <cellStyle name="Total 5 6" xfId="5591"/>
    <cellStyle name="Total 6" xfId="4601"/>
    <cellStyle name="Total 6 2" xfId="5571"/>
    <cellStyle name="Total 6 2 2" xfId="6322"/>
    <cellStyle name="Total 6 3" xfId="5550"/>
    <cellStyle name="Total 6 3 2" xfId="7132"/>
    <cellStyle name="Total 6 4" xfId="5525"/>
    <cellStyle name="Total 6 4 2" xfId="6205"/>
    <cellStyle name="Total 6 5" xfId="5519"/>
    <cellStyle name="Total 6 5 2" xfId="6204"/>
    <cellStyle name="Total 6 6" xfId="5794"/>
    <cellStyle name="UploadThisRowValue" xfId="1277"/>
    <cellStyle name="Warning Text" xfId="165" builtinId="11" customBuiltin="1"/>
    <cellStyle name="Warning Text 2" xfId="4602"/>
    <cellStyle name="Warning Text 3" xfId="4603"/>
    <cellStyle name="Warning Text 4" xfId="4604"/>
    <cellStyle name="Warning Text 5" xfId="4605"/>
    <cellStyle name="warnings" xfId="4606"/>
    <cellStyle name="WM_STANDARD" xfId="70"/>
    <cellStyle name="WMI_Standard" xfId="71"/>
    <cellStyle name="XComma" xfId="4607"/>
    <cellStyle name="XComma 0.0" xfId="4608"/>
    <cellStyle name="XComma 0.00" xfId="4609"/>
    <cellStyle name="XComma 0.000" xfId="4610"/>
    <cellStyle name="XCurrency" xfId="4611"/>
    <cellStyle name="XCurrency 0.0" xfId="4612"/>
    <cellStyle name="XCurrency 0.00" xfId="4613"/>
    <cellStyle name="XCurrency 0.000" xfId="4614"/>
    <cellStyle name="xstyle" xfId="4615"/>
  </cellStyles>
  <dxfs count="6">
    <dxf>
      <fill>
        <patternFill>
          <bgColor indexed="29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5"/>
      <tableStyleElement type="headerRow" dxfId="4"/>
    </tableStyle>
    <tableStyle name="Table Style 2" pivot="0" count="3">
      <tableStyleElement type="wholeTable" dxfId="3"/>
      <tableStyleElement type="headerRow" dxfId="2"/>
      <tableStyleElement type="totalRow" dxfId="1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7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5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externalLink" Target="externalLinks/externalLink8.xml"/><Relationship Id="rId43" Type="http://schemas.openxmlformats.org/officeDocument/2006/relationships/customXml" Target="../customXml/item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6.xml"/><Relationship Id="rId38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'Net Plant'!$B$33:$G$33</c:f>
              <c:numCache>
                <c:formatCode>#,##0_);\(#,##0\)</c:formatCode>
                <c:ptCount val="6"/>
                <c:pt idx="0">
                  <c:v>987243</c:v>
                </c:pt>
                <c:pt idx="1">
                  <c:v>1036064</c:v>
                </c:pt>
                <c:pt idx="2">
                  <c:v>1087141</c:v>
                </c:pt>
                <c:pt idx="3">
                  <c:v>1131570</c:v>
                </c:pt>
                <c:pt idx="4">
                  <c:v>1195010</c:v>
                </c:pt>
                <c:pt idx="5">
                  <c:v>1216245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188552"/>
        <c:axId val="164188944"/>
      </c:scatterChart>
      <c:valAx>
        <c:axId val="164188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88944"/>
        <c:crosses val="autoZero"/>
        <c:crossBetween val="midCat"/>
      </c:valAx>
      <c:valAx>
        <c:axId val="164188944"/>
        <c:scaling>
          <c:orientation val="minMax"/>
          <c:min val="9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188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20339107611548571"/>
                  <c:y val="3.6738233807730586E-2"/>
                </c:manualLayout>
              </c:layout>
              <c:numFmt formatCode="General" sourceLinked="0"/>
            </c:trendlineLbl>
          </c:trendline>
          <c:xVal>
            <c:numRef>
              <c:f>'Adj Operating Exp-2007-2014'!$F$35:$G$35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Exp-2007-2014'!$F$38:$G$38</c:f>
              <c:numCache>
                <c:formatCode>#,##0_);\(#,##0\)</c:formatCode>
                <c:ptCount val="2"/>
                <c:pt idx="0">
                  <c:v>128510</c:v>
                </c:pt>
                <c:pt idx="1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56456"/>
        <c:axId val="482856848"/>
      </c:scatterChart>
      <c:valAx>
        <c:axId val="482856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82856848"/>
        <c:crosses val="autoZero"/>
        <c:crossBetween val="midCat"/>
      </c:valAx>
      <c:valAx>
        <c:axId val="482856848"/>
        <c:scaling>
          <c:orientation val="minMax"/>
        </c:scaling>
        <c:delete val="0"/>
        <c:axPos val="l"/>
        <c:majorGridlines/>
        <c:numFmt formatCode="#,##0_);\(#,##0\)" sourceLinked="1"/>
        <c:majorTickMark val="out"/>
        <c:minorTickMark val="none"/>
        <c:tickLblPos val="nextTo"/>
        <c:crossAx val="482856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2013-2014,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5585736265725537"/>
                  <c:y val="0.11447449503594655"/>
                </c:manualLayout>
              </c:layout>
              <c:numFmt formatCode="General" sourceLinked="0"/>
            </c:trendlineLbl>
          </c:trendline>
          <c:xVal>
            <c:numRef>
              <c:f>'Adj Operating Exp-2007-2014'!$H$2:$I$2</c:f>
              <c:numCache>
                <c:formatCode>General</c:formatCode>
                <c:ptCount val="2"/>
                <c:pt idx="0">
                  <c:v>2013</c:v>
                </c:pt>
                <c:pt idx="1">
                  <c:v>2014</c:v>
                </c:pt>
              </c:numCache>
            </c:numRef>
          </c:xVal>
          <c:yVal>
            <c:numRef>
              <c:f>'Adj Operating Exp-2007-2014'!$H$5:$I$5</c:f>
              <c:numCache>
                <c:formatCode>_(* #,##0_);_(* \(#,##0\);_(* "-"??_);_(@_)</c:formatCode>
                <c:ptCount val="2"/>
                <c:pt idx="0">
                  <c:v>109801</c:v>
                </c:pt>
                <c:pt idx="1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51360"/>
        <c:axId val="482851752"/>
      </c:scatterChart>
      <c:valAx>
        <c:axId val="48285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82851752"/>
        <c:crosses val="autoZero"/>
        <c:crossBetween val="midCat"/>
      </c:valAx>
      <c:valAx>
        <c:axId val="48285175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82851360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2009-2014,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94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Exp-2007-2014'!$D$2:$I$2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Exp-2007-2014'!$D$3:$I$3</c:f>
              <c:numCache>
                <c:formatCode>_(* #,##0_);_(* \(#,##0\);_(* "-"??_);_(@_)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2">
                  <c:v>123418.7529832047</c:v>
                </c:pt>
                <c:pt idx="3">
                  <c:v>134594.49114962851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53712"/>
        <c:axId val="482852928"/>
      </c:scatterChart>
      <c:valAx>
        <c:axId val="482853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82852928"/>
        <c:crosses val="autoZero"/>
        <c:crossBetween val="midCat"/>
      </c:valAx>
      <c:valAx>
        <c:axId val="482852928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82853712"/>
        <c:crosses val="autoZero"/>
        <c:crossBetween val="midCat"/>
      </c:valAx>
    </c:plotArea>
    <c:plotVisOnly val="1"/>
    <c:dispBlanksAs val="gap"/>
    <c:showDLblsOverMax val="0"/>
  </c:chart>
  <c:spPr>
    <a:noFill/>
  </c:spPr>
  <c:txPr>
    <a:bodyPr/>
    <a:lstStyle/>
    <a:p>
      <a:pPr>
        <a:defRPr sz="1000"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</a:t>
            </a:r>
            <a:r>
              <a:rPr lang="en-US" baseline="0"/>
              <a:t> and Intangible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'[8]Plant trends'!$B$24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3"/>
            <c:dispRSqr val="1"/>
            <c:dispEq val="1"/>
            <c:trendlineLbl>
              <c:layout>
                <c:manualLayout>
                  <c:x val="9.6811732992835353E-2"/>
                  <c:y val="0.1597664691206892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trends'!$C$24:$J$24</c:f>
              <c:numCache>
                <c:formatCode>General</c:formatCode>
                <c:ptCount val="8"/>
                <c:pt idx="2">
                  <c:v>47814</c:v>
                </c:pt>
                <c:pt idx="3">
                  <c:v>69349</c:v>
                </c:pt>
                <c:pt idx="4">
                  <c:v>80337</c:v>
                </c:pt>
                <c:pt idx="5">
                  <c:v>80878</c:v>
                </c:pt>
                <c:pt idx="6">
                  <c:v>73799</c:v>
                </c:pt>
                <c:pt idx="7">
                  <c:v>82378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'[8]Plant trends'!$B$25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2250109361329833"/>
                  <c:y val="-1.8935185185185284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trends'!$C$23:$J$23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trends'!$C$25:$J$25</c:f>
              <c:numCache>
                <c:formatCode>General</c:formatCode>
                <c:ptCount val="8"/>
                <c:pt idx="2">
                  <c:v>59574</c:v>
                </c:pt>
                <c:pt idx="3">
                  <c:v>77177</c:v>
                </c:pt>
                <c:pt idx="4">
                  <c:v>83524</c:v>
                </c:pt>
                <c:pt idx="5">
                  <c:v>93233</c:v>
                </c:pt>
                <c:pt idx="6">
                  <c:v>120777</c:v>
                </c:pt>
                <c:pt idx="7">
                  <c:v>131147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49400"/>
        <c:axId val="484332368"/>
      </c:scatterChart>
      <c:valAx>
        <c:axId val="482849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2368"/>
        <c:crosses val="autoZero"/>
        <c:crossBetween val="midCat"/>
      </c:valAx>
      <c:valAx>
        <c:axId val="48433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49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Production</a:t>
            </a:r>
            <a:r>
              <a:rPr lang="en-US" baseline="0"/>
              <a:t> and Distribution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'[8]Plant trends'!$B$27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1.1582020997375396E-2"/>
                  <c:y val="7.8588145231846013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trends'!$C$27:$J$27</c:f>
              <c:numCache>
                <c:formatCode>General</c:formatCode>
                <c:ptCount val="8"/>
                <c:pt idx="2">
                  <c:v>422256</c:v>
                </c:pt>
                <c:pt idx="3">
                  <c:v>420349</c:v>
                </c:pt>
                <c:pt idx="4">
                  <c:v>420594</c:v>
                </c:pt>
                <c:pt idx="5">
                  <c:v>417278</c:v>
                </c:pt>
                <c:pt idx="6">
                  <c:v>423716</c:v>
                </c:pt>
                <c:pt idx="7">
                  <c:v>420570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'[8]Plant trends'!$B$28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3361220472440946"/>
                  <c:y val="2.6118401866433362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trends'!$C$26:$J$26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trends'!$C$28:$J$28</c:f>
              <c:numCache>
                <c:formatCode>General</c:formatCode>
                <c:ptCount val="8"/>
                <c:pt idx="2">
                  <c:v>420874</c:v>
                </c:pt>
                <c:pt idx="3">
                  <c:v>447550</c:v>
                </c:pt>
                <c:pt idx="4">
                  <c:v>486981</c:v>
                </c:pt>
                <c:pt idx="5">
                  <c:v>522324</c:v>
                </c:pt>
                <c:pt idx="6">
                  <c:v>560439</c:v>
                </c:pt>
                <c:pt idx="7">
                  <c:v>590073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31584"/>
        <c:axId val="484334328"/>
      </c:scatterChart>
      <c:valAx>
        <c:axId val="484331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4328"/>
        <c:crosses val="autoZero"/>
        <c:crossBetween val="midCat"/>
      </c:valAx>
      <c:valAx>
        <c:axId val="484334328"/>
        <c:scaling>
          <c:orientation val="minMax"/>
          <c:min val="3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15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Transmission Plant (Electric) 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'[8]Plant trends'!$B$30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4.4723315835520888E-2"/>
                  <c:y val="-5.1436278798483524E-4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'[8]Plant trends'!$C$29:$J$29</c:f>
              <c:numCache>
                <c:formatCode>General</c:formatCode>
                <c:ptCount val="8"/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'[8]Plant trends'!$C$30:$J$30</c:f>
              <c:numCache>
                <c:formatCode>General</c:formatCode>
                <c:ptCount val="8"/>
                <c:pt idx="2">
                  <c:v>200441</c:v>
                </c:pt>
                <c:pt idx="3">
                  <c:v>206464</c:v>
                </c:pt>
                <c:pt idx="4">
                  <c:v>216868</c:v>
                </c:pt>
                <c:pt idx="5">
                  <c:v>226066</c:v>
                </c:pt>
                <c:pt idx="6">
                  <c:v>237633</c:v>
                </c:pt>
                <c:pt idx="7">
                  <c:v>248102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5253752"/>
        <c:axId val="485251008"/>
      </c:scatterChart>
      <c:valAx>
        <c:axId val="485253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1008"/>
        <c:crosses val="autoZero"/>
        <c:crossBetween val="midCat"/>
      </c:valAx>
      <c:valAx>
        <c:axId val="485251008"/>
        <c:scaling>
          <c:orientation val="minMax"/>
          <c:min val="1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37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</a:t>
            </a:r>
            <a:r>
              <a:rPr lang="en-US" baseline="0"/>
              <a:t> Plant (Electric)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'Plant Trends'!$B$16:$B$16</c:f>
              <c:strCache>
                <c:ptCount val="1"/>
                <c:pt idx="0">
                  <c:v>Intangible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Trends'!$C$16:$H$16</c:f>
              <c:numCache>
                <c:formatCode>General</c:formatCode>
                <c:ptCount val="6"/>
                <c:pt idx="0">
                  <c:v>47814</c:v>
                </c:pt>
                <c:pt idx="1">
                  <c:v>69349</c:v>
                </c:pt>
                <c:pt idx="2">
                  <c:v>80337</c:v>
                </c:pt>
                <c:pt idx="3">
                  <c:v>80878</c:v>
                </c:pt>
                <c:pt idx="4">
                  <c:v>73799</c:v>
                </c:pt>
                <c:pt idx="5">
                  <c:v>82378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'Plant Trends'!$B$17:$B$17</c:f>
              <c:strCache>
                <c:ptCount val="1"/>
                <c:pt idx="0">
                  <c:v>Production 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Trends'!$C$17:$H$17</c:f>
              <c:numCache>
                <c:formatCode>General</c:formatCode>
                <c:ptCount val="6"/>
                <c:pt idx="0">
                  <c:v>422256</c:v>
                </c:pt>
                <c:pt idx="1">
                  <c:v>420349</c:v>
                </c:pt>
                <c:pt idx="2">
                  <c:v>420594</c:v>
                </c:pt>
                <c:pt idx="3">
                  <c:v>417278</c:v>
                </c:pt>
                <c:pt idx="4">
                  <c:v>423716</c:v>
                </c:pt>
                <c:pt idx="5">
                  <c:v>420570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'Plant Trends'!$B$18:$B$18</c:f>
              <c:strCache>
                <c:ptCount val="1"/>
                <c:pt idx="0">
                  <c:v>Transmission 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Trends'!$C$18:$H$18</c:f>
              <c:numCache>
                <c:formatCode>General</c:formatCode>
                <c:ptCount val="6"/>
                <c:pt idx="0">
                  <c:v>200441</c:v>
                </c:pt>
                <c:pt idx="1">
                  <c:v>206464</c:v>
                </c:pt>
                <c:pt idx="2">
                  <c:v>216868</c:v>
                </c:pt>
                <c:pt idx="3">
                  <c:v>226066</c:v>
                </c:pt>
                <c:pt idx="4">
                  <c:v>237633</c:v>
                </c:pt>
                <c:pt idx="5">
                  <c:v>248102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'Plant Trends'!$B$19:$B$19</c:f>
              <c:strCache>
                <c:ptCount val="1"/>
                <c:pt idx="0">
                  <c:v>Distribution 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Trends'!$C$19:$H$19</c:f>
              <c:numCache>
                <c:formatCode>General</c:formatCode>
                <c:ptCount val="6"/>
                <c:pt idx="0">
                  <c:v>420874</c:v>
                </c:pt>
                <c:pt idx="1">
                  <c:v>447550</c:v>
                </c:pt>
                <c:pt idx="2">
                  <c:v>486981</c:v>
                </c:pt>
                <c:pt idx="3">
                  <c:v>522324</c:v>
                </c:pt>
                <c:pt idx="4">
                  <c:v>560439</c:v>
                </c:pt>
                <c:pt idx="5">
                  <c:v>590073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'Plant Trends'!$B$20:$B$20</c:f>
              <c:strCache>
                <c:ptCount val="1"/>
                <c:pt idx="0">
                  <c:v>General  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'Plant Trends'!$C$15:$H$15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'Plant Trends'!$C$20:$H$20</c:f>
              <c:numCache>
                <c:formatCode>General</c:formatCode>
                <c:ptCount val="6"/>
                <c:pt idx="0">
                  <c:v>59574</c:v>
                </c:pt>
                <c:pt idx="1">
                  <c:v>77177</c:v>
                </c:pt>
                <c:pt idx="2">
                  <c:v>83524</c:v>
                </c:pt>
                <c:pt idx="3">
                  <c:v>93233</c:v>
                </c:pt>
                <c:pt idx="4">
                  <c:v>120777</c:v>
                </c:pt>
                <c:pt idx="5">
                  <c:v>131147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254536"/>
        <c:axId val="485252184"/>
      </c:lineChart>
      <c:catAx>
        <c:axId val="485254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2184"/>
        <c:crosses val="autoZero"/>
        <c:auto val="1"/>
        <c:lblAlgn val="ctr"/>
        <c:lblOffset val="100"/>
        <c:noMultiLvlLbl val="0"/>
      </c:catAx>
      <c:valAx>
        <c:axId val="485252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254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Net Plant after DFIT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'Net Plant'!$A$3</c:f>
              <c:strCache>
                <c:ptCount val="1"/>
                <c:pt idx="0">
                  <c:v>Net Plant after DFIT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5292976912917655E-2"/>
                  <c:y val="0.2356939356939357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'Net Plant'!$B$2:$I$2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'Net Plant'!$B$3:$I$3</c:f>
              <c:numCache>
                <c:formatCode>_(* #,##0_);_(* \(#,##0\);_(* "-"??_);_(@_)</c:formatCode>
                <c:ptCount val="8"/>
                <c:pt idx="0">
                  <c:v>870835</c:v>
                </c:pt>
                <c:pt idx="1">
                  <c:v>917247</c:v>
                </c:pt>
                <c:pt idx="2">
                  <c:v>987243</c:v>
                </c:pt>
                <c:pt idx="3">
                  <c:v>1036064</c:v>
                </c:pt>
                <c:pt idx="4">
                  <c:v>1087141</c:v>
                </c:pt>
                <c:pt idx="5">
                  <c:v>1131570</c:v>
                </c:pt>
                <c:pt idx="6">
                  <c:v>1195010</c:v>
                </c:pt>
                <c:pt idx="7">
                  <c:v>1214504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28056"/>
        <c:axId val="484335112"/>
      </c:scatterChart>
      <c:valAx>
        <c:axId val="4843280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5112"/>
        <c:crosses val="autoZero"/>
        <c:crossBetween val="midCat"/>
      </c:valAx>
      <c:valAx>
        <c:axId val="484335112"/>
        <c:scaling>
          <c:orientation val="minMax"/>
          <c:min val="85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28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7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'Dep-Amort'!$B$32:$G$32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'Dep-Amort'!$B$33:$G$33</c:f>
              <c:numCache>
                <c:formatCode>#,##0_);\(#,##0\)</c:formatCode>
                <c:ptCount val="6"/>
                <c:pt idx="0">
                  <c:v>48466</c:v>
                </c:pt>
                <c:pt idx="1">
                  <c:v>52270</c:v>
                </c:pt>
                <c:pt idx="2">
                  <c:v>55304</c:v>
                </c:pt>
                <c:pt idx="3">
                  <c:v>58946</c:v>
                </c:pt>
                <c:pt idx="4">
                  <c:v>60308</c:v>
                </c:pt>
                <c:pt idx="5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33936"/>
        <c:axId val="484329232"/>
      </c:scatterChart>
      <c:valAx>
        <c:axId val="4843339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29232"/>
        <c:crosses val="autoZero"/>
        <c:crossBetween val="midCat"/>
      </c:valAx>
      <c:valAx>
        <c:axId val="484329232"/>
        <c:scaling>
          <c:orientation val="minMax"/>
          <c:min val="4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3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Depreciation/ Amortization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'Dep-Amort'!$A$3</c:f>
              <c:strCache>
                <c:ptCount val="1"/>
                <c:pt idx="0">
                  <c:v>Depreciation/ Amortization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4.3162087256575533E-2"/>
                  <c:y val="0.2267614033452928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'Dep-Amort'!$B$2:$I$2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'Dep-Amort'!$B$3:$I$3</c:f>
              <c:numCache>
                <c:formatCode>_(* #,##0_);_(* \(#,##0\);_(* "-"??_);_(@_)</c:formatCode>
                <c:ptCount val="8"/>
                <c:pt idx="0">
                  <c:v>42949</c:v>
                </c:pt>
                <c:pt idx="1">
                  <c:v>45874</c:v>
                </c:pt>
                <c:pt idx="2">
                  <c:v>48466</c:v>
                </c:pt>
                <c:pt idx="3">
                  <c:v>52270</c:v>
                </c:pt>
                <c:pt idx="4">
                  <c:v>55304</c:v>
                </c:pt>
                <c:pt idx="5">
                  <c:v>58946</c:v>
                </c:pt>
                <c:pt idx="6">
                  <c:v>60308</c:v>
                </c:pt>
                <c:pt idx="7">
                  <c:v>64456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31976"/>
        <c:axId val="484328448"/>
      </c:scatterChart>
      <c:valAx>
        <c:axId val="484331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28448"/>
        <c:crosses val="autoZero"/>
        <c:crossBetween val="midCat"/>
      </c:valAx>
      <c:valAx>
        <c:axId val="484328448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1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Taxes'!$A$34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843E-2"/>
                  <c:y val="0.2160627388403965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Taxes'!$B$33:$G$33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Taxes'!$B$34:$G$34</c:f>
              <c:numCache>
                <c:formatCode>#,##0_);\(#,##0\)</c:formatCode>
                <c:ptCount val="6"/>
                <c:pt idx="0">
                  <c:v>26617.424405821377</c:v>
                </c:pt>
                <c:pt idx="1">
                  <c:v>29412.477627473563</c:v>
                </c:pt>
                <c:pt idx="2">
                  <c:v>32613.966947797297</c:v>
                </c:pt>
                <c:pt idx="3">
                  <c:v>33700.549684624653</c:v>
                </c:pt>
                <c:pt idx="4">
                  <c:v>36201</c:v>
                </c:pt>
                <c:pt idx="5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28840"/>
        <c:axId val="484330800"/>
      </c:scatterChart>
      <c:valAx>
        <c:axId val="4843288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0800"/>
        <c:crosses val="autoZero"/>
        <c:crossBetween val="midCat"/>
      </c:valAx>
      <c:valAx>
        <c:axId val="484330800"/>
        <c:scaling>
          <c:orientation val="minMax"/>
          <c:min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288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 Taxes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Taxes'!$A$3</c:f>
              <c:strCache>
                <c:ptCount val="1"/>
                <c:pt idx="0">
                  <c:v>Adjusted Taxes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9.375737607267294E-2"/>
                  <c:y val="0.2160627388403966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Taxes'!$B$2:$I$2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Taxes'!$B$3:$I$3</c:f>
              <c:numCache>
                <c:formatCode>_(* #,##0_);_(* \(#,##0\);_(* "-"??_);_(@_)</c:formatCode>
                <c:ptCount val="8"/>
                <c:pt idx="0">
                  <c:v>24422.193309601087</c:v>
                </c:pt>
                <c:pt idx="1">
                  <c:v>25215.167948905873</c:v>
                </c:pt>
                <c:pt idx="2">
                  <c:v>26617.424405821377</c:v>
                </c:pt>
                <c:pt idx="3">
                  <c:v>29412.477627473563</c:v>
                </c:pt>
                <c:pt idx="4">
                  <c:v>32613.966947797297</c:v>
                </c:pt>
                <c:pt idx="5">
                  <c:v>33700.549684624653</c:v>
                </c:pt>
                <c:pt idx="6">
                  <c:v>36201</c:v>
                </c:pt>
                <c:pt idx="7">
                  <c:v>38403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4333152"/>
        <c:axId val="484334720"/>
      </c:scatterChart>
      <c:valAx>
        <c:axId val="484333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4720"/>
        <c:crosses val="autoZero"/>
        <c:crossBetween val="midCat"/>
      </c:valAx>
      <c:valAx>
        <c:axId val="484334720"/>
        <c:scaling>
          <c:orientation val="minMax"/>
          <c:min val="2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4333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'Other Revenue'!$A$2</c:f>
              <c:strCache>
                <c:ptCount val="1"/>
                <c:pt idx="0">
                  <c:v>Adj. Other Revenue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8.0877296587926528E-2"/>
                  <c:y val="0.3341021434820661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'Other Revenue'!$B$1:$G$1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'Other Revenue'!$B$2:$G$2</c:f>
              <c:numCache>
                <c:formatCode>#,##0_);\(#,##0\)</c:formatCode>
                <c:ptCount val="6"/>
                <c:pt idx="0">
                  <c:v>2813.6201999999994</c:v>
                </c:pt>
                <c:pt idx="1">
                  <c:v>2813.1288000000004</c:v>
                </c:pt>
                <c:pt idx="2">
                  <c:v>2812.3060000000005</c:v>
                </c:pt>
                <c:pt idx="3">
                  <c:v>3314.6805999999997</c:v>
                </c:pt>
                <c:pt idx="4">
                  <c:v>3464</c:v>
                </c:pt>
                <c:pt idx="5">
                  <c:v>3478.1931000000004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50968"/>
        <c:axId val="482854104"/>
      </c:scatterChart>
      <c:valAx>
        <c:axId val="482850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54104"/>
        <c:crosses val="autoZero"/>
        <c:crossBetween val="midCat"/>
      </c:valAx>
      <c:valAx>
        <c:axId val="482854104"/>
        <c:scaling>
          <c:orientation val="minMax"/>
          <c:min val="2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50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Adjusted</a:t>
            </a:r>
            <a:r>
              <a:rPr lang="en-US" baseline="0"/>
              <a:t> Operating Expenses (Electric)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'Adj Operating Exp-2007-2014'!$A$36</c:f>
              <c:strCache>
                <c:ptCount val="1"/>
                <c:pt idx="0">
                  <c:v>Adj. Op Exp (2007-2014, excl. 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Exp-2007-2014'!$B$36:$G$36</c:f>
              <c:numCache>
                <c:formatCode>#,##0_);\(#,##0\)</c:formatCode>
                <c:ptCount val="6"/>
                <c:pt idx="0">
                  <c:v>108289.20367903885</c:v>
                </c:pt>
                <c:pt idx="1">
                  <c:v>113649.52340035603</c:v>
                </c:pt>
                <c:pt idx="4">
                  <c:v>128510</c:v>
                </c:pt>
                <c:pt idx="5">
                  <c:v>130891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'Adj Operating Exp-2007-2014'!$A$37</c:f>
              <c:strCache>
                <c:ptCount val="1"/>
                <c:pt idx="0">
                  <c:v>Adj. Op Exp (2011-2012)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Exp-2007-2014'!$B$37:$G$37</c:f>
              <c:numCache>
                <c:formatCode>General</c:formatCode>
                <c:ptCount val="6"/>
                <c:pt idx="2" formatCode="#,##0_);\(#,##0\)">
                  <c:v>123418.7529832047</c:v>
                </c:pt>
                <c:pt idx="3" formatCode="#,##0_);\(#,##0\)">
                  <c:v>134594.49114962851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'Adj Operating Exp-2007-2014'!$A$38</c:f>
              <c:strCache>
                <c:ptCount val="1"/>
                <c:pt idx="0">
                  <c:v>Adj. Op Exp (2013-2014)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2695742265626407"/>
                  <c:y val="6.3635869165277345E-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Exp-2007-2014'!$B$38:$G$38</c:f>
              <c:numCache>
                <c:formatCode>General</c:formatCode>
                <c:ptCount val="6"/>
                <c:pt idx="4" formatCode="#,##0_);\(#,##0\)">
                  <c:v>128510</c:v>
                </c:pt>
                <c:pt idx="5" formatCode="#,##0_);\(#,##0\)">
                  <c:v>130891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'Adj Operating Exp'!#REF!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66401019197312983"/>
                  <c:y val="0.273688688073656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'Adj Operating Exp-2007-2014'!$B$35:$G$35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xVal>
          <c:yVal>
            <c:numRef>
              <c:f>'Adj Operating Exp'!#REF!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50184"/>
        <c:axId val="482849792"/>
      </c:scatterChart>
      <c:valAx>
        <c:axId val="482850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49792"/>
        <c:crosses val="autoZero"/>
        <c:crossBetween val="midCat"/>
      </c:valAx>
      <c:valAx>
        <c:axId val="482849792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2850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Regression 2007-2014, Exl. Benefits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597719250610983"/>
                  <c:y val="0.30630182096803132"/>
                </c:manualLayout>
              </c:layout>
              <c:numFmt formatCode="General" sourceLinked="0"/>
            </c:trendlineLbl>
          </c:trendline>
          <c:xVal>
            <c:numRef>
              <c:f>'Adj Operating Exp-2007-2014'!$B$2:$I$2</c:f>
              <c:numCache>
                <c:formatCode>General</c:formatCode>
                <c:ptCount val="8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</c:numCache>
            </c:numRef>
          </c:xVal>
          <c:yVal>
            <c:numRef>
              <c:f>'Adj Operating Exp-2007-2014'!$B$5:$I$5</c:f>
              <c:numCache>
                <c:formatCode>_(* #,##0_);_(* \(#,##0\);_(* "-"??_);_(@_)</c:formatCode>
                <c:ptCount val="8"/>
                <c:pt idx="0">
                  <c:v>82500.7999895299</c:v>
                </c:pt>
                <c:pt idx="1">
                  <c:v>88193.488212752593</c:v>
                </c:pt>
                <c:pt idx="2">
                  <c:v>92620.203679038852</c:v>
                </c:pt>
                <c:pt idx="3">
                  <c:v>99554.523400356033</c:v>
                </c:pt>
                <c:pt idx="4">
                  <c:v>106598.7529832047</c:v>
                </c:pt>
                <c:pt idx="5">
                  <c:v>115553.49114962851</c:v>
                </c:pt>
                <c:pt idx="6">
                  <c:v>109801</c:v>
                </c:pt>
                <c:pt idx="7">
                  <c:v>116796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2852536"/>
        <c:axId val="482854496"/>
      </c:scatterChart>
      <c:valAx>
        <c:axId val="482852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482854496"/>
        <c:crosses val="autoZero"/>
        <c:crossBetween val="midCat"/>
      </c:valAx>
      <c:valAx>
        <c:axId val="482854496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82852536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/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11430</xdr:rowOff>
    </xdr:from>
    <xdr:to>
      <xdr:col>6</xdr:col>
      <xdr:colOff>685800</xdr:colOff>
      <xdr:row>58</xdr:row>
      <xdr:rowOff>160020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10</xdr:row>
      <xdr:rowOff>11430</xdr:rowOff>
    </xdr:from>
    <xdr:to>
      <xdr:col>6</xdr:col>
      <xdr:colOff>685800</xdr:colOff>
      <xdr:row>28</xdr:row>
      <xdr:rowOff>160020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156210</xdr:rowOff>
    </xdr:from>
    <xdr:to>
      <xdr:col>6</xdr:col>
      <xdr:colOff>601980</xdr:colOff>
      <xdr:row>59</xdr:row>
      <xdr:rowOff>22860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9</xdr:row>
      <xdr:rowOff>66675</xdr:rowOff>
    </xdr:from>
    <xdr:to>
      <xdr:col>6</xdr:col>
      <xdr:colOff>678180</xdr:colOff>
      <xdr:row>28</xdr:row>
      <xdr:rowOff>95250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163830</xdr:rowOff>
    </xdr:from>
    <xdr:to>
      <xdr:col>7</xdr:col>
      <xdr:colOff>15240</xdr:colOff>
      <xdr:row>59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9</xdr:row>
      <xdr:rowOff>163830</xdr:rowOff>
    </xdr:from>
    <xdr:to>
      <xdr:col>7</xdr:col>
      <xdr:colOff>15240</xdr:colOff>
      <xdr:row>28</xdr:row>
      <xdr:rowOff>137160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26670</xdr:rowOff>
    </xdr:from>
    <xdr:to>
      <xdr:col>6</xdr:col>
      <xdr:colOff>586740</xdr:colOff>
      <xdr:row>26</xdr:row>
      <xdr:rowOff>137160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44</xdr:row>
      <xdr:rowOff>11431</xdr:rowOff>
    </xdr:from>
    <xdr:to>
      <xdr:col>2</xdr:col>
      <xdr:colOff>638175</xdr:colOff>
      <xdr:row>59</xdr:row>
      <xdr:rowOff>123826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62753</xdr:colOff>
      <xdr:row>11</xdr:row>
      <xdr:rowOff>79000</xdr:rowOff>
    </xdr:from>
    <xdr:to>
      <xdr:col>3</xdr:col>
      <xdr:colOff>168088</xdr:colOff>
      <xdr:row>28</xdr:row>
      <xdr:rowOff>11205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342901</xdr:colOff>
      <xdr:row>44</xdr:row>
      <xdr:rowOff>47625</xdr:rowOff>
    </xdr:from>
    <xdr:to>
      <xdr:col>8</xdr:col>
      <xdr:colOff>723901</xdr:colOff>
      <xdr:row>59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392206</xdr:colOff>
      <xdr:row>11</xdr:row>
      <xdr:rowOff>95250</xdr:rowOff>
    </xdr:from>
    <xdr:to>
      <xdr:col>9</xdr:col>
      <xdr:colOff>9525</xdr:colOff>
      <xdr:row>28</xdr:row>
      <xdr:rowOff>-1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20</xdr:col>
      <xdr:colOff>265579</xdr:colOff>
      <xdr:row>14</xdr:row>
      <xdr:rowOff>105335</xdr:rowOff>
    </xdr:from>
    <xdr:to>
      <xdr:col>29</xdr:col>
      <xdr:colOff>303679</xdr:colOff>
      <xdr:row>37</xdr:row>
      <xdr:rowOff>108698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98</xdr:row>
      <xdr:rowOff>72390</xdr:rowOff>
    </xdr:from>
    <xdr:to>
      <xdr:col>8</xdr:col>
      <xdr:colOff>563880</xdr:colOff>
      <xdr:row>117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49</xdr:row>
      <xdr:rowOff>57150</xdr:rowOff>
    </xdr:from>
    <xdr:to>
      <xdr:col>8</xdr:col>
      <xdr:colOff>563880</xdr:colOff>
      <xdr:row>68</xdr:row>
      <xdr:rowOff>15240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53340</xdr:colOff>
      <xdr:row>78</xdr:row>
      <xdr:rowOff>64770</xdr:rowOff>
    </xdr:from>
    <xdr:to>
      <xdr:col>8</xdr:col>
      <xdr:colOff>563880</xdr:colOff>
      <xdr:row>97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21</xdr:row>
      <xdr:rowOff>34290</xdr:rowOff>
    </xdr:from>
    <xdr:to>
      <xdr:col>8</xdr:col>
      <xdr:colOff>563880</xdr:colOff>
      <xdr:row>48</xdr:row>
      <xdr:rowOff>91440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</xdr:colOff>
      <xdr:row>6</xdr:row>
      <xdr:rowOff>28575</xdr:rowOff>
    </xdr:from>
    <xdr:to>
      <xdr:col>12</xdr:col>
      <xdr:colOff>209550</xdr:colOff>
      <xdr:row>8</xdr:row>
      <xdr:rowOff>125730</xdr:rowOff>
    </xdr:to>
    <xdr:sp macro="" textlink="">
      <xdr:nvSpPr>
        <xdr:cNvPr id="2" name="AutoShape 15"/>
        <xdr:cNvSpPr>
          <a:spLocks/>
        </xdr:cNvSpPr>
      </xdr:nvSpPr>
      <xdr:spPr bwMode="auto">
        <a:xfrm>
          <a:off x="9686925" y="1028700"/>
          <a:ext cx="200025" cy="390525"/>
        </a:xfrm>
        <a:prstGeom prst="rightBrace">
          <a:avLst>
            <a:gd name="adj1" fmla="val 1627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107\TARA\2013%20Misc\2014%20WA%20GRC%20prelim\EREV%20v1%2007%2003%20July%20Load%20Update%20(unadjusted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v16%20Electric%20Revenue%202012-2016%20-%20Res%20Exchang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rzk7kq/Local%20Settings/Temp/WA%20Elec%20Revenue%20-%20Rev%20Adj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WA%20Elec%20Revenue%20-%20wo%20schedule%20shift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Documents%20and%20Settings/Diana%20Crapp/Local%20Settings/Temporary%20Internet%20Files/OLK47/From%20Avista/2012%20WA%20Electric%20CBR%20Model%20%20(revised%20FIT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Attrition%20Adj%20Workpapers/Transmission%20Wheeling%20Revenue%2012ME%2009.2014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cguire215/Desktop/Avista%202019%20Remand/Avista%20rebuttal%2004Sep2015/McGuire%20Exh%20CRM-2-Revised%202007-2014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home.utc.wa.gov/sites/ue-150204/Staff%20Work%20Papers/Exhibit%20No%20CRM-2_Electric%20Attrition_DR13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Tables"/>
      <sheetName val="Cust Load"/>
      <sheetName val="Unbilled"/>
      <sheetName val="Cal Load"/>
      <sheetName val="Rate Entry"/>
      <sheetName val="Rate Tables"/>
      <sheetName val="Manual Rev"/>
      <sheetName val="GRC"/>
      <sheetName val="Rev"/>
      <sheetName val="V2V"/>
      <sheetName val="EREV v1 07 03 July Load Update "/>
    </sheetNames>
    <sheetDataSet>
      <sheetData sheetId="0" refreshError="1"/>
      <sheetData sheetId="1">
        <row r="13">
          <cell r="B13">
            <v>41426</v>
          </cell>
        </row>
        <row r="16">
          <cell r="B16">
            <v>43435</v>
          </cell>
        </row>
        <row r="19">
          <cell r="B19">
            <v>41395</v>
          </cell>
        </row>
      </sheetData>
      <sheetData sheetId="2">
        <row r="3">
          <cell r="D3">
            <v>41426</v>
          </cell>
        </row>
      </sheetData>
      <sheetData sheetId="3"/>
      <sheetData sheetId="4" refreshError="1"/>
      <sheetData sheetId="5" refreshError="1"/>
      <sheetData sheetId="6"/>
      <sheetData sheetId="7"/>
      <sheetData sheetId="8" refreshError="1"/>
      <sheetData sheetId="9">
        <row r="2">
          <cell r="C2">
            <v>41426</v>
          </cell>
        </row>
        <row r="5">
          <cell r="B5">
            <v>1</v>
          </cell>
        </row>
      </sheetData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c"/>
      <sheetName val="Setup"/>
      <sheetName val="Load Forecast"/>
      <sheetName val="Unbilled"/>
      <sheetName val="2013 Calendar Loads"/>
      <sheetName val="Manual Rev"/>
      <sheetName val="Rates"/>
      <sheetName val="Rev Summary"/>
      <sheetName val="GRC"/>
      <sheetName val="Exp Summary"/>
      <sheetName val="Version compare"/>
    </sheetNames>
    <sheetDataSet>
      <sheetData sheetId="0"/>
      <sheetData sheetId="1">
        <row r="1">
          <cell r="B1" t="str">
            <v>ELECTRIC</v>
          </cell>
        </row>
        <row r="2">
          <cell r="B2">
            <v>2012</v>
          </cell>
        </row>
        <row r="3">
          <cell r="B3">
            <v>1</v>
          </cell>
        </row>
      </sheetData>
      <sheetData sheetId="2"/>
      <sheetData sheetId="3"/>
      <sheetData sheetId="4"/>
      <sheetData sheetId="5"/>
      <sheetData sheetId="6">
        <row r="121">
          <cell r="D121">
            <v>40664</v>
          </cell>
          <cell r="E121">
            <v>40848</v>
          </cell>
          <cell r="F121">
            <v>40909</v>
          </cell>
          <cell r="O121">
            <v>40664</v>
          </cell>
          <cell r="P121">
            <v>40817</v>
          </cell>
          <cell r="Q121">
            <v>41183</v>
          </cell>
        </row>
        <row r="122">
          <cell r="D122">
            <v>0</v>
          </cell>
          <cell r="E122">
            <v>0</v>
          </cell>
          <cell r="F122">
            <v>0</v>
          </cell>
          <cell r="O122">
            <v>0.53200000000000003</v>
          </cell>
          <cell r="P122">
            <v>7.1999999999999995E-2</v>
          </cell>
          <cell r="Q122">
            <v>7.1999999999999995E-2</v>
          </cell>
        </row>
        <row r="124">
          <cell r="D124">
            <v>5.4800000000000001E-2</v>
          </cell>
          <cell r="E124">
            <v>5.4800000000000001E-2</v>
          </cell>
          <cell r="F124">
            <v>5.4800000000000001E-2</v>
          </cell>
          <cell r="O124">
            <v>3.6400000000000002E-2</v>
          </cell>
          <cell r="P124">
            <v>3.6400000000000002E-2</v>
          </cell>
          <cell r="Q124">
            <v>3.6400000000000002E-2</v>
          </cell>
        </row>
        <row r="125">
          <cell r="D125">
            <v>-0.29799999999999999</v>
          </cell>
          <cell r="E125">
            <v>-0.29799999999999999</v>
          </cell>
          <cell r="F125">
            <v>-0.158</v>
          </cell>
          <cell r="O125">
            <v>-0.14699999999999999</v>
          </cell>
          <cell r="P125">
            <v>-0.33200000000000002</v>
          </cell>
          <cell r="Q125">
            <v>-0.33200000000000002</v>
          </cell>
        </row>
      </sheetData>
      <sheetData sheetId="7">
        <row r="2">
          <cell r="D2" t="str">
            <v>WARes001</v>
          </cell>
          <cell r="E2" t="str">
            <v>WA_001</v>
          </cell>
        </row>
        <row r="3">
          <cell r="D3">
            <v>1</v>
          </cell>
        </row>
        <row r="36">
          <cell r="B36">
            <v>0</v>
          </cell>
        </row>
        <row r="71">
          <cell r="F71" t="str">
            <v>WARes001</v>
          </cell>
        </row>
        <row r="172">
          <cell r="F172" t="str">
            <v>WARes001</v>
          </cell>
        </row>
        <row r="173">
          <cell r="F173" t="str">
            <v>WARes012</v>
          </cell>
        </row>
        <row r="174">
          <cell r="F174" t="str">
            <v>WARes022</v>
          </cell>
        </row>
        <row r="175">
          <cell r="F175" t="str">
            <v>WARes032</v>
          </cell>
        </row>
        <row r="176">
          <cell r="F176" t="str">
            <v>WARes04X</v>
          </cell>
        </row>
        <row r="177">
          <cell r="F177" t="str">
            <v>WARes095</v>
          </cell>
        </row>
        <row r="178">
          <cell r="F178" t="str">
            <v>WACom011</v>
          </cell>
        </row>
        <row r="179">
          <cell r="F179" t="str">
            <v>WACom021</v>
          </cell>
        </row>
        <row r="180">
          <cell r="F180" t="str">
            <v>WACom025</v>
          </cell>
        </row>
        <row r="181">
          <cell r="F181" t="str">
            <v>WACom031</v>
          </cell>
        </row>
        <row r="182">
          <cell r="F182" t="str">
            <v>WACom04X</v>
          </cell>
        </row>
        <row r="183">
          <cell r="F183" t="str">
            <v>WACom095</v>
          </cell>
        </row>
        <row r="184">
          <cell r="F184" t="str">
            <v>WAInd011</v>
          </cell>
        </row>
        <row r="185">
          <cell r="F185" t="str">
            <v>WAInd021</v>
          </cell>
        </row>
        <row r="186">
          <cell r="F186" t="str">
            <v>WAInd025</v>
          </cell>
        </row>
        <row r="187">
          <cell r="F187" t="str">
            <v>WAInd028</v>
          </cell>
        </row>
        <row r="188">
          <cell r="F188" t="str">
            <v>WAInd031</v>
          </cell>
        </row>
        <row r="189">
          <cell r="F189" t="str">
            <v>WAInd032</v>
          </cell>
        </row>
        <row r="190">
          <cell r="F190" t="str">
            <v>WAInd04X</v>
          </cell>
        </row>
        <row r="191">
          <cell r="F191" t="str">
            <v>WASL04X</v>
          </cell>
        </row>
        <row r="192">
          <cell r="F192" t="str">
            <v>WAIntdpt011</v>
          </cell>
        </row>
        <row r="193">
          <cell r="F193" t="str">
            <v>WAIntdpt021</v>
          </cell>
        </row>
        <row r="194">
          <cell r="F194" t="str">
            <v>IDRes001</v>
          </cell>
        </row>
        <row r="195">
          <cell r="F195" t="str">
            <v>IDRes012</v>
          </cell>
        </row>
        <row r="196">
          <cell r="F196" t="str">
            <v>IDRes022</v>
          </cell>
        </row>
        <row r="197">
          <cell r="F197" t="str">
            <v>IDRes032</v>
          </cell>
        </row>
        <row r="198">
          <cell r="F198" t="str">
            <v>IDRes04X</v>
          </cell>
        </row>
        <row r="199">
          <cell r="F199" t="str">
            <v>IDRes095</v>
          </cell>
        </row>
        <row r="200">
          <cell r="F200" t="str">
            <v>IDCom011</v>
          </cell>
        </row>
        <row r="201">
          <cell r="F201" t="str">
            <v>IDCom021</v>
          </cell>
        </row>
        <row r="202">
          <cell r="F202" t="str">
            <v>IDCom025</v>
          </cell>
        </row>
        <row r="203">
          <cell r="F203" t="str">
            <v>IDCom031</v>
          </cell>
        </row>
        <row r="204">
          <cell r="F204" t="str">
            <v>IDCom04X</v>
          </cell>
        </row>
        <row r="205">
          <cell r="F205" t="str">
            <v>IDCom095</v>
          </cell>
        </row>
        <row r="206">
          <cell r="F206" t="str">
            <v>IDInd011</v>
          </cell>
        </row>
        <row r="207">
          <cell r="F207" t="str">
            <v>IDInd021</v>
          </cell>
        </row>
        <row r="208">
          <cell r="F208" t="str">
            <v>IDInd025</v>
          </cell>
        </row>
        <row r="209">
          <cell r="F209" t="str">
            <v>IDInd025P</v>
          </cell>
        </row>
        <row r="210">
          <cell r="F210" t="str">
            <v>IDInd031</v>
          </cell>
        </row>
        <row r="211">
          <cell r="F211" t="str">
            <v>IDInd032</v>
          </cell>
        </row>
        <row r="212">
          <cell r="F212" t="str">
            <v>IDInd04X</v>
          </cell>
        </row>
        <row r="213">
          <cell r="F213" t="str">
            <v>IDSL04X</v>
          </cell>
        </row>
        <row r="214">
          <cell r="F214" t="str">
            <v>IDIntdpt011</v>
          </cell>
        </row>
        <row r="215">
          <cell r="F215" t="str">
            <v>IDIntdpt021</v>
          </cell>
        </row>
        <row r="273">
          <cell r="F273" t="str">
            <v>WARes001</v>
          </cell>
        </row>
        <row r="374">
          <cell r="F374" t="str">
            <v>WARes001</v>
          </cell>
        </row>
        <row r="475">
          <cell r="F475" t="str">
            <v>WARes001</v>
          </cell>
        </row>
        <row r="573">
          <cell r="F573" t="str">
            <v>WARes001</v>
          </cell>
        </row>
        <row r="574">
          <cell r="F574" t="str">
            <v>WARes012</v>
          </cell>
        </row>
        <row r="575">
          <cell r="F575" t="str">
            <v>WARes022</v>
          </cell>
        </row>
        <row r="576">
          <cell r="F576" t="str">
            <v>WARes032</v>
          </cell>
        </row>
        <row r="577">
          <cell r="F577" t="str">
            <v>WARes04X</v>
          </cell>
        </row>
        <row r="578">
          <cell r="F578" t="str">
            <v>WARes095</v>
          </cell>
        </row>
        <row r="579">
          <cell r="F579" t="str">
            <v>WACom011</v>
          </cell>
        </row>
        <row r="580">
          <cell r="F580" t="str">
            <v>WACom021</v>
          </cell>
        </row>
        <row r="581">
          <cell r="F581" t="str">
            <v>WACom025</v>
          </cell>
        </row>
        <row r="582">
          <cell r="F582" t="str">
            <v>WACom031</v>
          </cell>
        </row>
        <row r="583">
          <cell r="F583" t="str">
            <v>WACom04X</v>
          </cell>
        </row>
        <row r="584">
          <cell r="F584" t="str">
            <v>WACom095</v>
          </cell>
        </row>
        <row r="585">
          <cell r="F585" t="str">
            <v>WAInd011</v>
          </cell>
        </row>
        <row r="586">
          <cell r="F586" t="str">
            <v>WAInd021</v>
          </cell>
        </row>
        <row r="587">
          <cell r="F587" t="str">
            <v>WAInd025</v>
          </cell>
        </row>
        <row r="588">
          <cell r="F588" t="str">
            <v>WAInd028</v>
          </cell>
        </row>
        <row r="589">
          <cell r="F589" t="str">
            <v>WAInd031</v>
          </cell>
        </row>
        <row r="590">
          <cell r="F590" t="str">
            <v>WAInd032</v>
          </cell>
        </row>
        <row r="591">
          <cell r="F591" t="str">
            <v>WAInd04X</v>
          </cell>
        </row>
        <row r="592">
          <cell r="F592" t="str">
            <v>WASL04X</v>
          </cell>
        </row>
        <row r="593">
          <cell r="F593" t="str">
            <v>WAIntdpt011</v>
          </cell>
        </row>
        <row r="594">
          <cell r="F594" t="str">
            <v>WAIntdpt021</v>
          </cell>
        </row>
        <row r="595">
          <cell r="F595" t="str">
            <v>IDRes001</v>
          </cell>
        </row>
        <row r="596">
          <cell r="F596" t="str">
            <v>IDRes012</v>
          </cell>
        </row>
        <row r="597">
          <cell r="F597" t="str">
            <v>IDRes022</v>
          </cell>
        </row>
        <row r="598">
          <cell r="F598" t="str">
            <v>IDRes032</v>
          </cell>
        </row>
        <row r="599">
          <cell r="F599" t="str">
            <v>IDRes04X</v>
          </cell>
        </row>
        <row r="600">
          <cell r="F600" t="str">
            <v>IDRes095</v>
          </cell>
        </row>
        <row r="601">
          <cell r="F601" t="str">
            <v>IDCom011</v>
          </cell>
        </row>
        <row r="602">
          <cell r="F602" t="str">
            <v>IDCom021</v>
          </cell>
        </row>
        <row r="603">
          <cell r="F603" t="str">
            <v>IDCom025</v>
          </cell>
        </row>
        <row r="604">
          <cell r="F604" t="str">
            <v>IDCom031</v>
          </cell>
        </row>
        <row r="605">
          <cell r="F605" t="str">
            <v>IDCom04X</v>
          </cell>
        </row>
        <row r="606">
          <cell r="F606" t="str">
            <v>IDCom095</v>
          </cell>
        </row>
        <row r="607">
          <cell r="F607" t="str">
            <v>IDInd011</v>
          </cell>
        </row>
        <row r="608">
          <cell r="F608" t="str">
            <v>IDInd021</v>
          </cell>
        </row>
        <row r="609">
          <cell r="F609" t="str">
            <v>IDInd025</v>
          </cell>
        </row>
        <row r="610">
          <cell r="F610" t="str">
            <v>IDInd025P</v>
          </cell>
        </row>
        <row r="611">
          <cell r="F611" t="str">
            <v>IDInd031</v>
          </cell>
        </row>
        <row r="612">
          <cell r="F612" t="str">
            <v>IDInd032</v>
          </cell>
        </row>
        <row r="613">
          <cell r="F613" t="str">
            <v>IDInd04X</v>
          </cell>
        </row>
        <row r="614">
          <cell r="F614" t="str">
            <v>IDSL04X</v>
          </cell>
        </row>
        <row r="615">
          <cell r="F615" t="str">
            <v>IDIntdpt011</v>
          </cell>
        </row>
        <row r="616">
          <cell r="F616" t="str">
            <v>IDIntdpt021</v>
          </cell>
        </row>
        <row r="672">
          <cell r="F672" t="str">
            <v>WARes001</v>
          </cell>
        </row>
        <row r="773">
          <cell r="F773" t="str">
            <v>WARes001</v>
          </cell>
        </row>
        <row r="874">
          <cell r="F874" t="str">
            <v>WARes001</v>
          </cell>
        </row>
        <row r="975">
          <cell r="F975" t="str">
            <v>WARes001</v>
          </cell>
        </row>
        <row r="1076">
          <cell r="F1076" t="str">
            <v>WARes001</v>
          </cell>
        </row>
        <row r="1177">
          <cell r="F1177" t="str">
            <v>WARes001</v>
          </cell>
        </row>
        <row r="1279">
          <cell r="F1279" t="str">
            <v>WARes001</v>
          </cell>
          <cell r="I1279" t="str">
            <v>x</v>
          </cell>
        </row>
        <row r="1280">
          <cell r="F1280" t="str">
            <v>WARes012</v>
          </cell>
          <cell r="I1280" t="str">
            <v>x</v>
          </cell>
        </row>
        <row r="1281">
          <cell r="F1281" t="str">
            <v>WARes022</v>
          </cell>
          <cell r="I1281" t="str">
            <v>x</v>
          </cell>
        </row>
        <row r="1282">
          <cell r="F1282" t="str">
            <v>WARes032</v>
          </cell>
          <cell r="I1282" t="str">
            <v>x</v>
          </cell>
        </row>
        <row r="1283">
          <cell r="F1283" t="str">
            <v>WARes04X</v>
          </cell>
        </row>
        <row r="1284">
          <cell r="F1284" t="str">
            <v>WARes095</v>
          </cell>
        </row>
        <row r="1285">
          <cell r="F1285" t="str">
            <v>WACom011</v>
          </cell>
          <cell r="I1285" t="str">
            <v>x</v>
          </cell>
        </row>
        <row r="1286">
          <cell r="F1286" t="str">
            <v>WACom021</v>
          </cell>
          <cell r="I1286" t="str">
            <v>x</v>
          </cell>
        </row>
        <row r="1287">
          <cell r="F1287" t="str">
            <v>WACom025</v>
          </cell>
        </row>
        <row r="1288">
          <cell r="F1288" t="str">
            <v>WACom031</v>
          </cell>
          <cell r="I1288" t="str">
            <v>x</v>
          </cell>
        </row>
        <row r="1289">
          <cell r="F1289" t="str">
            <v>WACom04X</v>
          </cell>
        </row>
        <row r="1290">
          <cell r="F1290" t="str">
            <v>WACom095</v>
          </cell>
        </row>
        <row r="1291">
          <cell r="F1291" t="str">
            <v>WAInd011</v>
          </cell>
          <cell r="I1291" t="str">
            <v>x</v>
          </cell>
        </row>
        <row r="1292">
          <cell r="F1292" t="str">
            <v>WAInd021</v>
          </cell>
          <cell r="I1292" t="str">
            <v>x</v>
          </cell>
        </row>
        <row r="1293">
          <cell r="F1293" t="str">
            <v>WAInd025</v>
          </cell>
        </row>
        <row r="1294">
          <cell r="F1294" t="str">
            <v>WAInd028</v>
          </cell>
        </row>
        <row r="1295">
          <cell r="F1295" t="str">
            <v>WAInd031</v>
          </cell>
          <cell r="I1295" t="str">
            <v>x</v>
          </cell>
        </row>
        <row r="1296">
          <cell r="F1296" t="str">
            <v>WAInd032</v>
          </cell>
          <cell r="I1296" t="str">
            <v>x</v>
          </cell>
        </row>
        <row r="1297">
          <cell r="F1297" t="str">
            <v>WAInd04X</v>
          </cell>
        </row>
        <row r="1298">
          <cell r="F1298" t="str">
            <v>WASL04X</v>
          </cell>
        </row>
        <row r="1299">
          <cell r="F1299" t="str">
            <v>WAIntdpt011</v>
          </cell>
          <cell r="I1299" t="str">
            <v>x</v>
          </cell>
        </row>
        <row r="1300">
          <cell r="F1300" t="str">
            <v>WAIntdpt021</v>
          </cell>
          <cell r="I1300" t="str">
            <v>x</v>
          </cell>
        </row>
        <row r="1301">
          <cell r="F1301" t="str">
            <v>IDRes001</v>
          </cell>
          <cell r="I1301" t="str">
            <v>x</v>
          </cell>
        </row>
        <row r="1302">
          <cell r="F1302" t="str">
            <v>IDRes012</v>
          </cell>
          <cell r="I1302" t="str">
            <v>x</v>
          </cell>
        </row>
        <row r="1303">
          <cell r="F1303" t="str">
            <v>IDRes022</v>
          </cell>
          <cell r="I1303" t="str">
            <v>x</v>
          </cell>
        </row>
        <row r="1304">
          <cell r="F1304" t="str">
            <v>IDRes032</v>
          </cell>
          <cell r="I1304" t="str">
            <v>x</v>
          </cell>
        </row>
        <row r="1305">
          <cell r="F1305" t="str">
            <v>IDRes04X</v>
          </cell>
        </row>
        <row r="1306">
          <cell r="F1306" t="str">
            <v>IDRes095</v>
          </cell>
        </row>
        <row r="1307">
          <cell r="F1307" t="str">
            <v>IDCom011</v>
          </cell>
          <cell r="I1307" t="str">
            <v>x</v>
          </cell>
        </row>
        <row r="1308">
          <cell r="F1308" t="str">
            <v>IDCom021</v>
          </cell>
          <cell r="I1308" t="str">
            <v>x</v>
          </cell>
        </row>
        <row r="1309">
          <cell r="F1309" t="str">
            <v>IDCom025</v>
          </cell>
        </row>
        <row r="1310">
          <cell r="F1310" t="str">
            <v>IDCom031</v>
          </cell>
          <cell r="I1310" t="str">
            <v>x</v>
          </cell>
        </row>
        <row r="1311">
          <cell r="F1311" t="str">
            <v>IDCom04X</v>
          </cell>
        </row>
        <row r="1312">
          <cell r="F1312" t="str">
            <v>IDCom095</v>
          </cell>
        </row>
        <row r="1313">
          <cell r="F1313" t="str">
            <v>IDInd011</v>
          </cell>
          <cell r="I1313" t="str">
            <v>x</v>
          </cell>
        </row>
        <row r="1314">
          <cell r="F1314" t="str">
            <v>IDInd021</v>
          </cell>
          <cell r="I1314" t="str">
            <v>x</v>
          </cell>
        </row>
        <row r="1315">
          <cell r="F1315" t="str">
            <v>IDInd025</v>
          </cell>
        </row>
        <row r="1316">
          <cell r="F1316" t="str">
            <v>IDInd025P</v>
          </cell>
        </row>
        <row r="1317">
          <cell r="F1317" t="str">
            <v>IDInd031</v>
          </cell>
          <cell r="I1317" t="str">
            <v>x</v>
          </cell>
        </row>
        <row r="1318">
          <cell r="F1318" t="str">
            <v>IDInd032</v>
          </cell>
          <cell r="I1318" t="str">
            <v>x</v>
          </cell>
        </row>
        <row r="1319">
          <cell r="F1319" t="str">
            <v>IDInd04X</v>
          </cell>
        </row>
        <row r="1320">
          <cell r="F1320" t="str">
            <v>IDSL04X</v>
          </cell>
        </row>
        <row r="1321">
          <cell r="F1321" t="str">
            <v>IDIntdpt011</v>
          </cell>
          <cell r="I1321" t="str">
            <v>x</v>
          </cell>
        </row>
        <row r="1322">
          <cell r="F1322" t="str">
            <v>IDIntdpt021</v>
          </cell>
          <cell r="I1322" t="str">
            <v>x</v>
          </cell>
        </row>
      </sheetData>
      <sheetData sheetId="8"/>
      <sheetData sheetId="9">
        <row r="30">
          <cell r="E30">
            <v>1</v>
          </cell>
        </row>
      </sheetData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 &amp; Prop Rev"/>
      <sheetName val="Rate Design"/>
      <sheetName val="Exh 1"/>
      <sheetName val="Exh 2"/>
      <sheetName val="Exh 3"/>
      <sheetName val="ERM"/>
      <sheetName val="ROR"/>
      <sheetName val="Bill Determ"/>
      <sheetName val="WA Sch 25"/>
      <sheetName val="Lighting summary"/>
      <sheetName val="St Lts"/>
      <sheetName val="Area Lts"/>
      <sheetName val="Block Data"/>
      <sheetName val="Rev Runs 12MEJUNE2013"/>
      <sheetName val="Rev Runs 2011"/>
    </sheetNames>
    <sheetDataSet>
      <sheetData sheetId="0" refreshError="1"/>
      <sheetData sheetId="1" refreshError="1">
        <row r="45">
          <cell r="D4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Design"/>
      <sheetName val="Exh 1"/>
      <sheetName val="Exh 2"/>
      <sheetName val="Exh 3"/>
      <sheetName val="ROR"/>
      <sheetName val="Bill Determ"/>
      <sheetName val="WA Sch 25"/>
      <sheetName val="Lighting summary"/>
      <sheetName val="St Lts"/>
      <sheetName val="Area Lts"/>
      <sheetName val="Rev Runs CY"/>
      <sheetName val="Rev Runs LY"/>
    </sheetNames>
    <sheetDataSet>
      <sheetData sheetId="0">
        <row r="45">
          <cell r="D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J SUMMARY"/>
      <sheetName val="2011 CBR FIT fix"/>
      <sheetName val="LEAD SHEETS-DO NOT ENTER"/>
      <sheetName val="CF "/>
      <sheetName val="ROO INPUT"/>
      <sheetName val="DEBT CALC"/>
      <sheetName val="not used PROPOSED RATES"/>
      <sheetName val="not used RR SUMMARY"/>
      <sheetName val="not used RETAIL REVENUE CREDIT"/>
    </sheetNames>
    <sheetDataSet>
      <sheetData sheetId="0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56 Revenue"/>
      <sheetName val="Macro1"/>
    </sheetNames>
    <sheetDataSet>
      <sheetData sheetId="0" refreshError="1"/>
      <sheetData sheetId="1">
        <row r="92">
          <cell r="A92" t="str">
            <v>Recover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09.2014 to 2016"/>
      <sheetName val="Cost Trends"/>
      <sheetName val="Net Plant"/>
      <sheetName val="Dep-Amort"/>
      <sheetName val="Adj Taxes"/>
      <sheetName val="Other Revenue"/>
      <sheetName val="Adj Operating Exp-2007-2014"/>
      <sheetName val="Adj Operating Exp"/>
      <sheetName val="Plant Trends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/>
      <sheetData sheetId="1"/>
      <sheetData sheetId="2"/>
      <sheetData sheetId="3">
        <row r="103">
          <cell r="M103">
            <v>92211.7999895299</v>
          </cell>
          <cell r="O103">
            <v>108289.20367903885</v>
          </cell>
          <cell r="P103">
            <v>113649.52340035603</v>
          </cell>
          <cell r="Q103">
            <v>123418.7529832047</v>
          </cell>
          <cell r="R103">
            <v>134594.49114962851</v>
          </cell>
          <cell r="S103">
            <v>128510</v>
          </cell>
          <cell r="T103">
            <v>130891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OR"/>
      <sheetName val="Attrition 12.2014 to 2016"/>
      <sheetName val="Cost Trends"/>
      <sheetName val="Plant trends"/>
      <sheetName val="Adj Op Exp"/>
      <sheetName val="Dep Amort"/>
      <sheetName val="Adj Taxes"/>
      <sheetName val="Net plant after DFIT"/>
      <sheetName val="Adj Other Revenue"/>
      <sheetName val="Weighted Revenue Growth"/>
      <sheetName val="09.2014 Rev Model"/>
      <sheetName val="2016 Customers and Demand"/>
      <sheetName val="2016 Forecast Energy"/>
      <sheetName val="12.2014 CB Power Supply"/>
      <sheetName val="456 Revenue"/>
      <sheetName val="incremental load expense"/>
      <sheetName val="CS2-Colstrip 2016 Incrmntl Exp"/>
      <sheetName val="PF Power Supply 09.2014 load"/>
      <sheetName val="PF Power Supply 2016 load"/>
      <sheetName val="Reg Amorts"/>
      <sheetName val="DSM"/>
      <sheetName val="ResX"/>
      <sheetName val="CBR Hist"/>
      <sheetName val="PS Consolidated"/>
      <sheetName val="Other Rev"/>
      <sheetName val="Sheet1"/>
    </sheetNames>
    <sheetDataSet>
      <sheetData sheetId="0" refreshError="1"/>
      <sheetData sheetId="1" refreshError="1"/>
      <sheetData sheetId="2" refreshError="1"/>
      <sheetData sheetId="3"/>
      <sheetData sheetId="4">
        <row r="23">
          <cell r="E23">
            <v>2009</v>
          </cell>
          <cell r="F23">
            <v>2010</v>
          </cell>
          <cell r="G23">
            <v>2011</v>
          </cell>
          <cell r="H23">
            <v>2012</v>
          </cell>
          <cell r="I23">
            <v>2013</v>
          </cell>
          <cell r="J23">
            <v>2014</v>
          </cell>
        </row>
        <row r="24">
          <cell r="B24" t="str">
            <v xml:space="preserve">Intangible  </v>
          </cell>
          <cell r="E24">
            <v>47814</v>
          </cell>
          <cell r="F24">
            <v>69349</v>
          </cell>
          <cell r="G24">
            <v>80337</v>
          </cell>
          <cell r="H24">
            <v>80878</v>
          </cell>
          <cell r="I24">
            <v>73799</v>
          </cell>
          <cell r="J24">
            <v>82378</v>
          </cell>
        </row>
        <row r="25">
          <cell r="B25" t="str">
            <v xml:space="preserve">General  </v>
          </cell>
          <cell r="E25">
            <v>59574</v>
          </cell>
          <cell r="F25">
            <v>77177</v>
          </cell>
          <cell r="G25">
            <v>83524</v>
          </cell>
          <cell r="H25">
            <v>93233</v>
          </cell>
          <cell r="I25">
            <v>120777</v>
          </cell>
          <cell r="J25">
            <v>131147</v>
          </cell>
        </row>
        <row r="26">
          <cell r="E26">
            <v>2009</v>
          </cell>
          <cell r="F26">
            <v>2010</v>
          </cell>
          <cell r="G26">
            <v>2011</v>
          </cell>
          <cell r="H26">
            <v>2012</v>
          </cell>
          <cell r="I26">
            <v>2013</v>
          </cell>
          <cell r="J26">
            <v>2014</v>
          </cell>
        </row>
        <row r="27">
          <cell r="B27" t="str">
            <v xml:space="preserve">Production  </v>
          </cell>
          <cell r="E27">
            <v>422256</v>
          </cell>
          <cell r="F27">
            <v>420349</v>
          </cell>
          <cell r="G27">
            <v>420594</v>
          </cell>
          <cell r="H27">
            <v>417278</v>
          </cell>
          <cell r="I27">
            <v>423716</v>
          </cell>
          <cell r="J27">
            <v>420570</v>
          </cell>
        </row>
        <row r="28">
          <cell r="B28" t="str">
            <v xml:space="preserve">Distribution  </v>
          </cell>
          <cell r="E28">
            <v>420874</v>
          </cell>
          <cell r="F28">
            <v>447550</v>
          </cell>
          <cell r="G28">
            <v>486981</v>
          </cell>
          <cell r="H28">
            <v>522324</v>
          </cell>
          <cell r="I28">
            <v>560439</v>
          </cell>
          <cell r="J28">
            <v>590073</v>
          </cell>
        </row>
        <row r="29">
          <cell r="E29">
            <v>2009</v>
          </cell>
          <cell r="F29">
            <v>2010</v>
          </cell>
          <cell r="G29">
            <v>2011</v>
          </cell>
          <cell r="H29">
            <v>2012</v>
          </cell>
          <cell r="I29">
            <v>2013</v>
          </cell>
          <cell r="J29">
            <v>2014</v>
          </cell>
        </row>
        <row r="30">
          <cell r="B30" t="str">
            <v xml:space="preserve">Transmission  </v>
          </cell>
          <cell r="E30">
            <v>200441</v>
          </cell>
          <cell r="F30">
            <v>206464</v>
          </cell>
          <cell r="G30">
            <v>216868</v>
          </cell>
          <cell r="H30">
            <v>226066</v>
          </cell>
          <cell r="I30">
            <v>237633</v>
          </cell>
          <cell r="J30">
            <v>248102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9"/>
  <sheetViews>
    <sheetView tabSelected="1" view="pageLayout" zoomScaleNormal="100" zoomScaleSheetLayoutView="115" workbookViewId="0">
      <selection activeCell="F14" sqref="F14"/>
    </sheetView>
  </sheetViews>
  <sheetFormatPr defaultRowHeight="12.75"/>
  <cols>
    <col min="1" max="1" width="7" customWidth="1"/>
    <col min="2" max="2" width="2.140625" customWidth="1"/>
    <col min="3" max="3" width="38.140625" customWidth="1"/>
    <col min="4" max="4" width="2.140625" customWidth="1"/>
    <col min="5" max="5" width="0.140625" hidden="1" customWidth="1"/>
    <col min="6" max="6" width="10.5703125" customWidth="1"/>
    <col min="7" max="7" width="12.42578125" customWidth="1"/>
    <col min="8" max="8" width="15.5703125" customWidth="1"/>
    <col min="9" max="9" width="13.140625" style="505" customWidth="1"/>
    <col min="10" max="10" width="12.28515625" style="505" bestFit="1" customWidth="1"/>
    <col min="11" max="11" width="14" customWidth="1"/>
    <col min="12" max="12" width="11" customWidth="1"/>
    <col min="15" max="15" width="14.140625" customWidth="1"/>
    <col min="16" max="16" width="18" customWidth="1"/>
  </cols>
  <sheetData>
    <row r="1" spans="1:10" s="509" customFormat="1" ht="14.25">
      <c r="A1" s="918"/>
      <c r="B1" s="918"/>
      <c r="C1" s="918"/>
      <c r="D1" s="918"/>
      <c r="E1" s="918"/>
      <c r="F1" s="918"/>
      <c r="G1" s="918"/>
      <c r="H1" s="918"/>
      <c r="I1" s="807"/>
      <c r="J1" s="814"/>
    </row>
    <row r="2" spans="1:10" s="509" customFormat="1" ht="14.25">
      <c r="A2" s="912" t="s">
        <v>766</v>
      </c>
      <c r="B2" s="913"/>
      <c r="C2" s="913"/>
      <c r="D2" s="913"/>
      <c r="E2" s="913"/>
      <c r="F2" s="913"/>
      <c r="G2" s="913"/>
      <c r="H2" s="914"/>
      <c r="I2" s="808"/>
      <c r="J2" s="814"/>
    </row>
    <row r="3" spans="1:10" s="509" customFormat="1" ht="14.25">
      <c r="A3" s="917" t="s">
        <v>736</v>
      </c>
      <c r="B3" s="917"/>
      <c r="C3" s="917"/>
      <c r="D3" s="917"/>
      <c r="E3" s="917"/>
      <c r="F3" s="917"/>
      <c r="G3" s="917"/>
      <c r="H3" s="917"/>
      <c r="I3" s="808"/>
      <c r="J3" s="814"/>
    </row>
    <row r="4" spans="1:10" s="509" customFormat="1" ht="14.25">
      <c r="A4" s="918" t="s">
        <v>767</v>
      </c>
      <c r="B4" s="918"/>
      <c r="C4" s="918"/>
      <c r="D4" s="918"/>
      <c r="E4" s="918"/>
      <c r="F4" s="918"/>
      <c r="G4" s="918"/>
      <c r="H4" s="918"/>
      <c r="I4" s="808"/>
      <c r="J4" s="814"/>
    </row>
    <row r="5" spans="1:10" s="509" customFormat="1" ht="15">
      <c r="A5" s="926" t="s">
        <v>768</v>
      </c>
      <c r="B5" s="926"/>
      <c r="C5" s="926"/>
      <c r="D5" s="926"/>
      <c r="E5" s="926"/>
      <c r="F5" s="926"/>
      <c r="G5" s="926"/>
      <c r="H5" s="926"/>
      <c r="I5" s="808"/>
      <c r="J5" s="814"/>
    </row>
    <row r="6" spans="1:10" s="509" customFormat="1" ht="6.75" customHeight="1">
      <c r="A6" s="918"/>
      <c r="B6" s="918"/>
      <c r="C6" s="918"/>
      <c r="D6" s="918"/>
      <c r="E6" s="918"/>
      <c r="F6" s="918"/>
      <c r="G6" s="918"/>
      <c r="H6" s="918"/>
      <c r="I6" s="808"/>
      <c r="J6" s="814"/>
    </row>
    <row r="7" spans="1:10" s="509" customFormat="1" ht="14.25">
      <c r="A7" s="917" t="s">
        <v>599</v>
      </c>
      <c r="B7" s="917"/>
      <c r="C7" s="917"/>
      <c r="D7" s="917"/>
      <c r="E7" s="917"/>
      <c r="F7" s="917"/>
      <c r="G7" s="917"/>
      <c r="H7" s="917"/>
      <c r="I7" s="808"/>
      <c r="J7" s="814"/>
    </row>
    <row r="8" spans="1:10" s="509" customFormat="1" ht="14.25">
      <c r="A8" s="918" t="s">
        <v>471</v>
      </c>
      <c r="B8" s="918"/>
      <c r="C8" s="918"/>
      <c r="D8" s="918"/>
      <c r="E8" s="918"/>
      <c r="F8" s="918"/>
      <c r="G8" s="918"/>
      <c r="H8" s="918"/>
      <c r="I8" s="808"/>
      <c r="J8" s="814"/>
    </row>
    <row r="9" spans="1:10" ht="6.75" customHeight="1">
      <c r="A9" s="506"/>
      <c r="B9" s="506"/>
      <c r="C9" s="506"/>
      <c r="D9" s="506"/>
      <c r="E9" s="506"/>
      <c r="F9" s="506"/>
      <c r="G9" s="506"/>
      <c r="H9" s="506"/>
    </row>
    <row r="10" spans="1:10">
      <c r="A10" s="490"/>
      <c r="B10" s="490"/>
      <c r="C10" s="490"/>
      <c r="D10" s="490"/>
      <c r="E10" s="490"/>
      <c r="F10" s="506" t="s">
        <v>472</v>
      </c>
      <c r="G10" s="506" t="s">
        <v>473</v>
      </c>
      <c r="H10" s="506" t="s">
        <v>474</v>
      </c>
      <c r="I10" s="809"/>
    </row>
    <row r="11" spans="1:10" ht="13.15" customHeight="1">
      <c r="A11" s="919" t="s">
        <v>480</v>
      </c>
      <c r="B11" s="925"/>
      <c r="C11" s="924" t="s">
        <v>407</v>
      </c>
      <c r="D11" s="915"/>
      <c r="E11" s="457"/>
      <c r="F11" s="919" t="s">
        <v>711</v>
      </c>
      <c r="G11" s="919" t="s">
        <v>116</v>
      </c>
      <c r="H11" s="919" t="s">
        <v>717</v>
      </c>
      <c r="I11" s="921"/>
      <c r="J11" s="911"/>
    </row>
    <row r="12" spans="1:10" ht="17.45" customHeight="1">
      <c r="A12" s="923"/>
      <c r="B12" s="916"/>
      <c r="C12" s="923"/>
      <c r="D12" s="916"/>
      <c r="E12" s="459"/>
      <c r="F12" s="923"/>
      <c r="G12" s="923"/>
      <c r="H12" s="920"/>
      <c r="I12" s="922"/>
      <c r="J12" s="911"/>
    </row>
    <row r="13" spans="1:10" ht="6.75" customHeight="1">
      <c r="A13" s="456"/>
      <c r="B13" s="456"/>
      <c r="C13" s="456"/>
      <c r="D13" s="456"/>
      <c r="E13" s="456"/>
      <c r="F13" s="456"/>
      <c r="G13" s="456"/>
      <c r="H13" s="456"/>
      <c r="I13" s="810"/>
    </row>
    <row r="14" spans="1:10">
      <c r="A14" s="460">
        <v>1</v>
      </c>
      <c r="B14" s="456"/>
      <c r="C14" s="456" t="s">
        <v>719</v>
      </c>
      <c r="D14" s="456"/>
      <c r="E14" s="456"/>
      <c r="F14" s="493">
        <f>'Attrition 09.2014 to 2016'!U79</f>
        <v>1315891</v>
      </c>
      <c r="G14" s="501">
        <v>1.013115</v>
      </c>
      <c r="H14" s="493">
        <f>F14/G14</f>
        <v>1298856.4970413034</v>
      </c>
      <c r="I14" s="810"/>
    </row>
    <row r="15" spans="1:10" ht="6.75" customHeight="1">
      <c r="A15" s="460"/>
      <c r="B15" s="456"/>
      <c r="C15" s="456"/>
      <c r="D15" s="456"/>
      <c r="E15" s="456"/>
      <c r="F15" s="491"/>
      <c r="G15" s="491"/>
      <c r="H15" s="491"/>
      <c r="I15" s="810"/>
    </row>
    <row r="16" spans="1:10">
      <c r="A16" s="460">
        <v>2</v>
      </c>
      <c r="B16" s="456"/>
      <c r="C16" s="456" t="s">
        <v>704</v>
      </c>
      <c r="D16" s="456"/>
      <c r="E16" s="456"/>
      <c r="F16" s="498"/>
      <c r="G16" s="492"/>
      <c r="H16" s="878">
        <f>ROR!F15</f>
        <v>7.2900000000000006E-2</v>
      </c>
      <c r="I16" s="810"/>
    </row>
    <row r="17" spans="1:19" ht="6.75" customHeight="1">
      <c r="A17" s="460"/>
      <c r="B17" s="456"/>
      <c r="C17" s="456"/>
      <c r="D17" s="456"/>
      <c r="E17" s="456"/>
      <c r="F17" s="492"/>
      <c r="G17" s="492"/>
      <c r="H17" s="492"/>
      <c r="I17" s="810"/>
    </row>
    <row r="18" spans="1:19">
      <c r="A18" s="460">
        <v>3</v>
      </c>
      <c r="B18" s="456"/>
      <c r="C18" s="503" t="s">
        <v>470</v>
      </c>
      <c r="D18" s="503"/>
      <c r="E18" s="503"/>
      <c r="F18" s="782"/>
      <c r="G18" s="495"/>
      <c r="H18" s="782">
        <f>ROUND(H14*H16,0)</f>
        <v>94687</v>
      </c>
      <c r="I18" s="784"/>
    </row>
    <row r="19" spans="1:19" ht="6.75" customHeight="1">
      <c r="A19" s="460"/>
      <c r="B19" s="456"/>
      <c r="C19" s="456"/>
      <c r="D19" s="456"/>
      <c r="E19" s="456"/>
      <c r="F19" s="491"/>
      <c r="G19" s="491"/>
      <c r="H19" s="491"/>
      <c r="I19" s="784"/>
    </row>
    <row r="20" spans="1:19">
      <c r="A20" s="460">
        <v>4</v>
      </c>
      <c r="B20" s="456"/>
      <c r="C20" s="456" t="s">
        <v>714</v>
      </c>
      <c r="D20" s="456"/>
      <c r="E20" s="456"/>
      <c r="F20" s="880">
        <f>'Attrition 09.2014 to 2016'!U54</f>
        <v>110852.4075193399</v>
      </c>
      <c r="G20" s="881">
        <f>G14</f>
        <v>1.013115</v>
      </c>
      <c r="H20" s="494">
        <f>F20/G20</f>
        <v>109417.39834010937</v>
      </c>
      <c r="I20" s="784"/>
    </row>
    <row r="21" spans="1:19" s="604" customFormat="1" ht="6.75" customHeight="1">
      <c r="A21" s="460"/>
      <c r="B21" s="456"/>
      <c r="C21" s="456"/>
      <c r="D21" s="456"/>
      <c r="E21" s="456"/>
      <c r="F21" s="495"/>
      <c r="G21" s="502"/>
      <c r="H21" s="495"/>
      <c r="I21" s="784"/>
      <c r="J21" s="505"/>
    </row>
    <row r="22" spans="1:19" s="604" customFormat="1">
      <c r="A22" s="460">
        <v>5</v>
      </c>
      <c r="B22" s="456"/>
      <c r="C22" s="503" t="s">
        <v>712</v>
      </c>
      <c r="D22" s="505"/>
      <c r="E22" s="505"/>
      <c r="F22" s="505"/>
      <c r="G22" s="505"/>
      <c r="H22" s="819">
        <f>H20/H14</f>
        <v>8.4241329653702235E-2</v>
      </c>
      <c r="I22" s="784"/>
      <c r="J22" s="505"/>
    </row>
    <row r="23" spans="1:19" ht="6.75" customHeight="1">
      <c r="A23" s="460"/>
      <c r="B23" s="456"/>
      <c r="C23" s="456"/>
      <c r="D23" s="456"/>
      <c r="E23" s="456"/>
      <c r="F23" s="456"/>
      <c r="G23" s="456"/>
      <c r="H23" s="456"/>
      <c r="I23" s="784"/>
    </row>
    <row r="24" spans="1:19">
      <c r="A24" s="460">
        <v>6</v>
      </c>
      <c r="B24" s="456"/>
      <c r="C24" s="456" t="s">
        <v>713</v>
      </c>
      <c r="D24" s="456"/>
      <c r="E24" s="456"/>
      <c r="F24" s="491"/>
      <c r="G24" s="491"/>
      <c r="H24" s="491">
        <f>H18-H20</f>
        <v>-14730.398340109372</v>
      </c>
      <c r="I24" s="811"/>
    </row>
    <row r="25" spans="1:19" ht="6.75" customHeight="1">
      <c r="A25" s="460"/>
      <c r="B25" s="456"/>
      <c r="C25" s="456"/>
      <c r="D25" s="456"/>
      <c r="E25" s="456"/>
      <c r="F25" s="456"/>
      <c r="G25" s="456"/>
      <c r="H25" s="456"/>
      <c r="I25" s="784"/>
      <c r="S25" s="236"/>
    </row>
    <row r="26" spans="1:19">
      <c r="A26" s="460">
        <v>7</v>
      </c>
      <c r="B26" s="456"/>
      <c r="C26" s="456" t="s">
        <v>705</v>
      </c>
      <c r="D26" s="503"/>
      <c r="E26" s="456"/>
      <c r="F26" s="496"/>
      <c r="G26" s="456"/>
      <c r="H26" s="496">
        <f>ROR!F39</f>
        <v>0.62017999999999995</v>
      </c>
      <c r="I26" s="784"/>
      <c r="K26" s="505"/>
      <c r="L26" s="505"/>
      <c r="O26" s="505"/>
    </row>
    <row r="27" spans="1:19" ht="6.75" customHeight="1">
      <c r="A27" s="460"/>
      <c r="B27" s="456"/>
      <c r="C27" s="456"/>
      <c r="D27" s="503"/>
      <c r="E27" s="456"/>
      <c r="F27" s="503"/>
      <c r="G27" s="456"/>
      <c r="H27" s="456"/>
      <c r="I27" s="812"/>
      <c r="K27" s="624"/>
      <c r="L27" s="625"/>
      <c r="M27" s="505"/>
    </row>
    <row r="28" spans="1:19">
      <c r="A28" s="460">
        <v>8</v>
      </c>
      <c r="B28" s="456"/>
      <c r="C28" s="503" t="s">
        <v>733</v>
      </c>
      <c r="D28" s="503"/>
      <c r="E28" s="773"/>
      <c r="F28" s="504"/>
      <c r="G28" s="495"/>
      <c r="H28" s="782">
        <f>ROUND(H24/H26,0)</f>
        <v>-23752</v>
      </c>
      <c r="J28" s="785"/>
      <c r="K28" s="842"/>
      <c r="L28" s="626"/>
      <c r="M28" s="505"/>
    </row>
    <row r="29" spans="1:19" ht="6.75" customHeight="1">
      <c r="A29" s="460"/>
      <c r="B29" s="456"/>
      <c r="C29" s="503"/>
      <c r="D29" s="503"/>
      <c r="E29" s="456"/>
      <c r="F29" s="504"/>
      <c r="G29" s="495"/>
      <c r="H29" s="504"/>
      <c r="I29" s="813"/>
      <c r="K29" s="505"/>
      <c r="L29" s="505"/>
      <c r="M29" s="505"/>
    </row>
    <row r="30" spans="1:19">
      <c r="A30" s="460">
        <v>9</v>
      </c>
      <c r="B30" s="497"/>
      <c r="C30" s="503" t="s">
        <v>718</v>
      </c>
      <c r="D30" s="503"/>
      <c r="E30" s="456"/>
      <c r="F30" s="495"/>
      <c r="G30" s="495"/>
      <c r="H30" s="495">
        <f>'Attrition 09.2014 to 2016'!N7+'Attrition 09.2014 to 2016'!N8</f>
        <v>499982</v>
      </c>
      <c r="I30" s="817"/>
      <c r="J30" s="840"/>
      <c r="K30" s="840"/>
      <c r="L30" s="840"/>
      <c r="M30" s="505"/>
      <c r="P30" s="844"/>
    </row>
    <row r="31" spans="1:19" ht="6.75" customHeight="1">
      <c r="A31" s="499"/>
      <c r="B31" s="497"/>
      <c r="C31" s="503"/>
      <c r="D31" s="503"/>
      <c r="E31" s="456"/>
      <c r="F31" s="503"/>
      <c r="G31" s="503"/>
      <c r="H31" s="456"/>
      <c r="I31" s="784"/>
      <c r="K31" s="505"/>
      <c r="L31" s="505"/>
      <c r="M31" s="505"/>
    </row>
    <row r="32" spans="1:19" s="604" customFormat="1">
      <c r="A32" s="460">
        <v>10</v>
      </c>
      <c r="C32" s="503" t="s">
        <v>715</v>
      </c>
      <c r="D32" s="505"/>
      <c r="E32" s="765"/>
      <c r="F32" s="505"/>
      <c r="G32" s="505"/>
      <c r="H32" s="782">
        <f>H30+H28</f>
        <v>476230</v>
      </c>
      <c r="I32" s="811"/>
      <c r="J32" s="840"/>
      <c r="K32" s="842"/>
      <c r="L32" s="842"/>
      <c r="P32" s="844"/>
    </row>
    <row r="33" spans="1:15" ht="6.75" customHeight="1">
      <c r="A33" s="604"/>
      <c r="B33" s="499"/>
      <c r="C33" s="500"/>
      <c r="D33" s="500"/>
      <c r="E33" s="499"/>
      <c r="F33" s="500"/>
      <c r="G33" s="500"/>
      <c r="H33" s="499"/>
      <c r="I33" s="784"/>
      <c r="K33" s="505"/>
      <c r="L33" s="505"/>
      <c r="M33" s="505"/>
    </row>
    <row r="34" spans="1:15" s="604" customFormat="1">
      <c r="A34" s="875">
        <v>11</v>
      </c>
      <c r="B34" s="765"/>
      <c r="C34" s="773" t="s">
        <v>716</v>
      </c>
      <c r="D34" s="773"/>
      <c r="E34" s="773"/>
      <c r="F34" s="876"/>
      <c r="G34" s="877"/>
      <c r="H34" s="818">
        <f>H28/H30</f>
        <v>-4.7505710205567403E-2</v>
      </c>
      <c r="I34" s="811"/>
      <c r="J34" s="505"/>
      <c r="K34" s="843"/>
      <c r="L34" s="843"/>
      <c r="M34" s="505"/>
      <c r="O34" s="842"/>
    </row>
    <row r="35" spans="1:15" ht="6.75" customHeight="1">
      <c r="A35" s="460"/>
      <c r="C35" s="505"/>
      <c r="D35" s="505"/>
      <c r="F35" s="505"/>
      <c r="I35" s="811"/>
    </row>
    <row r="36" spans="1:15" s="779" customFormat="1" ht="14.25">
      <c r="A36" s="912" t="s">
        <v>756</v>
      </c>
      <c r="B36" s="913"/>
      <c r="C36" s="913"/>
      <c r="D36" s="913"/>
      <c r="E36" s="913"/>
      <c r="F36" s="913"/>
      <c r="G36" s="913"/>
      <c r="H36" s="914"/>
    </row>
    <row r="37" spans="1:15" s="779" customFormat="1" ht="6.75" customHeight="1"/>
    <row r="38" spans="1:15" s="779" customFormat="1">
      <c r="A38" s="783">
        <v>12</v>
      </c>
      <c r="C38" s="781" t="s">
        <v>757</v>
      </c>
      <c r="H38" s="782">
        <f>16187-52629</f>
        <v>-36442</v>
      </c>
      <c r="I38" s="784"/>
    </row>
    <row r="39" spans="1:15" s="779" customFormat="1" ht="6.75" customHeight="1">
      <c r="A39" s="783"/>
      <c r="C39" s="781"/>
      <c r="H39" s="782"/>
      <c r="I39" s="784"/>
    </row>
    <row r="40" spans="1:15">
      <c r="A40" s="783">
        <v>13</v>
      </c>
      <c r="B40" s="779"/>
      <c r="C40" s="503" t="s">
        <v>758</v>
      </c>
      <c r="D40" s="779"/>
      <c r="E40" s="779"/>
      <c r="F40" s="779"/>
      <c r="G40" s="779"/>
      <c r="H40" s="782">
        <f>H32-H30</f>
        <v>-23752</v>
      </c>
      <c r="I40" s="784"/>
    </row>
    <row r="41" spans="1:15" ht="6.75" customHeight="1" thickBot="1">
      <c r="A41" s="779"/>
      <c r="B41" s="786"/>
      <c r="C41" s="837"/>
      <c r="D41" s="837"/>
      <c r="E41" s="837"/>
      <c r="F41" s="837"/>
      <c r="G41" s="837"/>
      <c r="H41" s="837"/>
      <c r="I41" s="837"/>
    </row>
    <row r="42" spans="1:15" ht="13.5" thickBot="1">
      <c r="A42" s="783">
        <v>14</v>
      </c>
      <c r="B42" s="604"/>
      <c r="C42" s="503" t="s">
        <v>764</v>
      </c>
      <c r="D42" s="604"/>
      <c r="E42" s="604"/>
      <c r="F42" s="604"/>
      <c r="G42" s="604"/>
      <c r="H42" s="874">
        <f>H40-H38</f>
        <v>12690</v>
      </c>
    </row>
    <row r="43" spans="1:15" ht="6.75" customHeight="1">
      <c r="A43" s="604"/>
      <c r="B43" s="604"/>
      <c r="C43" s="604"/>
      <c r="D43" s="604"/>
      <c r="E43" s="604"/>
      <c r="F43" s="604"/>
      <c r="G43" s="604"/>
      <c r="H43" s="604"/>
    </row>
    <row r="44" spans="1:15">
      <c r="A44" s="783">
        <v>15</v>
      </c>
      <c r="B44" s="604"/>
      <c r="C44" s="503" t="s">
        <v>765</v>
      </c>
      <c r="D44" s="604"/>
      <c r="E44" s="604"/>
      <c r="F44" s="604"/>
      <c r="G44" s="604"/>
      <c r="H44" s="782">
        <v>28332</v>
      </c>
    </row>
    <row r="45" spans="1:15" ht="6.75" customHeight="1" thickBot="1"/>
    <row r="46" spans="1:15" ht="13.5" thickBot="1">
      <c r="A46" s="879">
        <v>16</v>
      </c>
      <c r="B46" s="765"/>
      <c r="C46" s="773" t="s">
        <v>759</v>
      </c>
      <c r="D46" s="765"/>
      <c r="E46" s="765"/>
      <c r="F46" s="765"/>
      <c r="G46" s="883" t="s">
        <v>763</v>
      </c>
      <c r="H46" s="874">
        <f>H44-H42</f>
        <v>15642</v>
      </c>
    </row>
    <row r="47" spans="1:15" ht="6.75" customHeight="1"/>
    <row r="48" spans="1:15">
      <c r="A48" s="455"/>
      <c r="B48" s="455"/>
      <c r="C48" s="455"/>
      <c r="D48" s="455"/>
      <c r="E48" s="455"/>
      <c r="F48" s="455"/>
      <c r="G48" s="503" t="s">
        <v>761</v>
      </c>
      <c r="H48" s="782">
        <f>(339/366)*H46</f>
        <v>14488.081967213115</v>
      </c>
    </row>
    <row r="49" spans="1:19" ht="6.75" customHeight="1"/>
    <row r="50" spans="1:19">
      <c r="A50" s="765"/>
      <c r="B50" s="765"/>
      <c r="C50" s="765"/>
      <c r="D50" s="765"/>
      <c r="E50" s="765"/>
      <c r="F50" s="765"/>
      <c r="G50" s="773" t="s">
        <v>762</v>
      </c>
      <c r="H50" s="880">
        <f>2.3*H46</f>
        <v>35976.6</v>
      </c>
    </row>
    <row r="53" spans="1:19">
      <c r="S53" s="604" t="s">
        <v>682</v>
      </c>
    </row>
    <row r="99" spans="19:19">
      <c r="S99" s="761" t="s">
        <v>683</v>
      </c>
    </row>
    <row r="109" spans="19:19">
      <c r="S109" s="761" t="s">
        <v>683</v>
      </c>
    </row>
    <row r="155" spans="19:19">
      <c r="S155" s="761" t="s">
        <v>683</v>
      </c>
    </row>
    <row r="169" spans="19:19">
      <c r="S169" s="761" t="s">
        <v>683</v>
      </c>
    </row>
    <row r="189" spans="13:19">
      <c r="M189" s="761"/>
      <c r="N189" s="761"/>
      <c r="O189" s="761"/>
      <c r="P189" s="761"/>
      <c r="Q189" s="761"/>
      <c r="R189" s="761"/>
      <c r="S189" s="761" t="s">
        <v>683</v>
      </c>
    </row>
  </sheetData>
  <mergeCells count="18">
    <mergeCell ref="A1:H1"/>
    <mergeCell ref="A2:H2"/>
    <mergeCell ref="A5:H5"/>
    <mergeCell ref="A6:H6"/>
    <mergeCell ref="A7:H7"/>
    <mergeCell ref="A4:H4"/>
    <mergeCell ref="J11:J12"/>
    <mergeCell ref="A36:H36"/>
    <mergeCell ref="D11:D12"/>
    <mergeCell ref="A3:H3"/>
    <mergeCell ref="A8:H8"/>
    <mergeCell ref="H11:H12"/>
    <mergeCell ref="I11:I12"/>
    <mergeCell ref="F11:F12"/>
    <mergeCell ref="G11:G12"/>
    <mergeCell ref="C11:C12"/>
    <mergeCell ref="A11:A12"/>
    <mergeCell ref="B11:B12"/>
  </mergeCells>
  <printOptions horizontalCentered="1"/>
  <pageMargins left="0.7" right="0.7" top="0.75" bottom="0.75" header="0.3" footer="0.3"/>
  <pageSetup orientation="portrait" r:id="rId1"/>
  <headerFooter scaleWithDoc="0">
    <oddHeader>&amp;RExh. CRM-8
Dockets UE-150204/UG-150205</oddHeader>
    <oddFooter>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BreakPreview" topLeftCell="A15" zoomScale="60" zoomScaleNormal="100" workbookViewId="0">
      <selection activeCell="H36" sqref="H36"/>
    </sheetView>
  </sheetViews>
  <sheetFormatPr defaultColWidth="8.85546875" defaultRowHeight="12.75"/>
  <cols>
    <col min="1" max="1" width="8.85546875" style="604"/>
    <col min="2" max="2" width="12.28515625" style="604" customWidth="1"/>
    <col min="3" max="16384" width="8.85546875" style="604"/>
  </cols>
  <sheetData>
    <row r="1" spans="1:8" hidden="1">
      <c r="C1" s="764">
        <v>2009</v>
      </c>
      <c r="D1" s="764">
        <v>2010</v>
      </c>
      <c r="E1" s="764">
        <v>2011</v>
      </c>
      <c r="F1" s="764">
        <v>2012</v>
      </c>
      <c r="G1" s="764">
        <v>2013</v>
      </c>
      <c r="H1" s="764">
        <v>2014</v>
      </c>
    </row>
    <row r="2" spans="1:8" hidden="1">
      <c r="A2" s="604" t="s">
        <v>60</v>
      </c>
    </row>
    <row r="3" spans="1:8" hidden="1">
      <c r="B3" s="604" t="s">
        <v>59</v>
      </c>
      <c r="C3" s="604">
        <v>57116</v>
      </c>
      <c r="D3" s="604">
        <v>81955</v>
      </c>
      <c r="E3" s="604">
        <v>84081</v>
      </c>
      <c r="F3" s="604">
        <v>85247</v>
      </c>
      <c r="G3" s="604">
        <v>91466</v>
      </c>
      <c r="H3" s="604">
        <v>102620</v>
      </c>
    </row>
    <row r="4" spans="1:8" hidden="1">
      <c r="B4" s="604" t="s">
        <v>58</v>
      </c>
      <c r="C4" s="604">
        <v>677646</v>
      </c>
      <c r="D4" s="604">
        <v>692689</v>
      </c>
      <c r="E4" s="604">
        <v>706894</v>
      </c>
      <c r="F4" s="604">
        <v>717448</v>
      </c>
      <c r="G4" s="604">
        <v>738315</v>
      </c>
      <c r="H4" s="604">
        <v>746101</v>
      </c>
    </row>
    <row r="5" spans="1:8" hidden="1">
      <c r="B5" s="604" t="s">
        <v>57</v>
      </c>
      <c r="C5" s="604">
        <v>301090</v>
      </c>
      <c r="D5" s="604">
        <v>312505</v>
      </c>
      <c r="E5" s="604">
        <v>328012</v>
      </c>
      <c r="F5" s="604">
        <v>342382</v>
      </c>
      <c r="G5" s="604">
        <v>359941</v>
      </c>
      <c r="H5" s="604">
        <v>371971</v>
      </c>
    </row>
    <row r="6" spans="1:8" hidden="1">
      <c r="B6" s="604" t="s">
        <v>56</v>
      </c>
      <c r="C6" s="604">
        <v>602201</v>
      </c>
      <c r="D6" s="604">
        <v>642143</v>
      </c>
      <c r="E6" s="604">
        <v>696082</v>
      </c>
      <c r="F6" s="604">
        <v>743732</v>
      </c>
      <c r="G6" s="604">
        <v>796640</v>
      </c>
      <c r="H6" s="604">
        <v>842795</v>
      </c>
    </row>
    <row r="7" spans="1:8" hidden="1">
      <c r="B7" s="765" t="s">
        <v>55</v>
      </c>
      <c r="C7" s="765">
        <v>98727</v>
      </c>
      <c r="D7" s="765">
        <v>120996</v>
      </c>
      <c r="E7" s="765">
        <v>140218</v>
      </c>
      <c r="F7" s="765">
        <v>155104</v>
      </c>
      <c r="G7" s="765">
        <v>179134</v>
      </c>
      <c r="H7" s="765">
        <v>196867</v>
      </c>
    </row>
    <row r="8" spans="1:8" hidden="1">
      <c r="A8" s="604" t="s">
        <v>688</v>
      </c>
    </row>
    <row r="9" spans="1:8" hidden="1">
      <c r="B9" s="604" t="s">
        <v>59</v>
      </c>
      <c r="C9" s="604">
        <v>9302</v>
      </c>
      <c r="D9" s="604">
        <v>12606</v>
      </c>
      <c r="E9" s="604">
        <v>3744</v>
      </c>
      <c r="F9" s="604">
        <v>4369</v>
      </c>
      <c r="G9" s="604">
        <v>17667</v>
      </c>
      <c r="H9" s="604">
        <v>20242</v>
      </c>
    </row>
    <row r="10" spans="1:8" hidden="1">
      <c r="B10" s="604" t="s">
        <v>58</v>
      </c>
      <c r="C10" s="604">
        <v>255390</v>
      </c>
      <c r="D10" s="604">
        <v>272340</v>
      </c>
      <c r="E10" s="604">
        <v>286300</v>
      </c>
      <c r="F10" s="604">
        <v>300170</v>
      </c>
      <c r="G10" s="604">
        <v>314599</v>
      </c>
      <c r="H10" s="604">
        <v>325531</v>
      </c>
    </row>
    <row r="11" spans="1:8" hidden="1">
      <c r="B11" s="604" t="s">
        <v>57</v>
      </c>
      <c r="C11" s="604">
        <v>100649</v>
      </c>
      <c r="D11" s="604">
        <v>106041</v>
      </c>
      <c r="E11" s="604">
        <v>111144</v>
      </c>
      <c r="F11" s="604">
        <v>116316</v>
      </c>
      <c r="G11" s="604">
        <v>122308</v>
      </c>
      <c r="H11" s="604">
        <v>123869</v>
      </c>
    </row>
    <row r="12" spans="1:8" hidden="1">
      <c r="B12" s="604" t="s">
        <v>56</v>
      </c>
      <c r="C12" s="604">
        <v>181327</v>
      </c>
      <c r="D12" s="604">
        <v>194593</v>
      </c>
      <c r="E12" s="604">
        <v>209101</v>
      </c>
      <c r="F12" s="604">
        <v>221408</v>
      </c>
      <c r="G12" s="604">
        <v>236201</v>
      </c>
      <c r="H12" s="604">
        <v>252722</v>
      </c>
    </row>
    <row r="13" spans="1:8" hidden="1">
      <c r="B13" s="765" t="s">
        <v>55</v>
      </c>
      <c r="C13" s="765">
        <v>39153</v>
      </c>
      <c r="D13" s="765">
        <v>43819</v>
      </c>
      <c r="E13" s="765">
        <v>56694</v>
      </c>
      <c r="F13" s="765">
        <v>61871</v>
      </c>
      <c r="G13" s="765">
        <v>58357</v>
      </c>
      <c r="H13" s="765">
        <v>65720</v>
      </c>
    </row>
    <row r="14" spans="1:8" hidden="1"/>
    <row r="15" spans="1:8">
      <c r="A15" s="604" t="s">
        <v>689</v>
      </c>
      <c r="C15" s="764">
        <v>2009</v>
      </c>
      <c r="D15" s="764">
        <v>2010</v>
      </c>
      <c r="E15" s="764">
        <v>2011</v>
      </c>
      <c r="F15" s="764">
        <v>2012</v>
      </c>
      <c r="G15" s="764">
        <v>2013</v>
      </c>
      <c r="H15" s="764">
        <v>2014</v>
      </c>
    </row>
    <row r="16" spans="1:8">
      <c r="B16" s="604" t="s">
        <v>59</v>
      </c>
      <c r="C16" s="604">
        <f t="shared" ref="C16:H20" si="0">C3-C9</f>
        <v>47814</v>
      </c>
      <c r="D16" s="604">
        <f t="shared" si="0"/>
        <v>69349</v>
      </c>
      <c r="E16" s="604">
        <f t="shared" si="0"/>
        <v>80337</v>
      </c>
      <c r="F16" s="604">
        <f t="shared" si="0"/>
        <v>80878</v>
      </c>
      <c r="G16" s="604">
        <f t="shared" si="0"/>
        <v>73799</v>
      </c>
      <c r="H16" s="604">
        <f t="shared" si="0"/>
        <v>82378</v>
      </c>
    </row>
    <row r="17" spans="2:8">
      <c r="B17" s="604" t="s">
        <v>58</v>
      </c>
      <c r="C17" s="604">
        <f t="shared" si="0"/>
        <v>422256</v>
      </c>
      <c r="D17" s="604">
        <f t="shared" si="0"/>
        <v>420349</v>
      </c>
      <c r="E17" s="604">
        <f t="shared" si="0"/>
        <v>420594</v>
      </c>
      <c r="F17" s="604">
        <f t="shared" si="0"/>
        <v>417278</v>
      </c>
      <c r="G17" s="604">
        <f t="shared" si="0"/>
        <v>423716</v>
      </c>
      <c r="H17" s="604">
        <f t="shared" si="0"/>
        <v>420570</v>
      </c>
    </row>
    <row r="18" spans="2:8">
      <c r="B18" s="604" t="s">
        <v>57</v>
      </c>
      <c r="C18" s="604">
        <f t="shared" si="0"/>
        <v>200441</v>
      </c>
      <c r="D18" s="604">
        <f t="shared" si="0"/>
        <v>206464</v>
      </c>
      <c r="E18" s="604">
        <f t="shared" si="0"/>
        <v>216868</v>
      </c>
      <c r="F18" s="604">
        <f t="shared" si="0"/>
        <v>226066</v>
      </c>
      <c r="G18" s="604">
        <f t="shared" si="0"/>
        <v>237633</v>
      </c>
      <c r="H18" s="604">
        <f t="shared" si="0"/>
        <v>248102</v>
      </c>
    </row>
    <row r="19" spans="2:8">
      <c r="B19" s="604" t="s">
        <v>56</v>
      </c>
      <c r="C19" s="604">
        <f t="shared" si="0"/>
        <v>420874</v>
      </c>
      <c r="D19" s="604">
        <f t="shared" si="0"/>
        <v>447550</v>
      </c>
      <c r="E19" s="604">
        <f t="shared" si="0"/>
        <v>486981</v>
      </c>
      <c r="F19" s="604">
        <f t="shared" si="0"/>
        <v>522324</v>
      </c>
      <c r="G19" s="604">
        <f t="shared" si="0"/>
        <v>560439</v>
      </c>
      <c r="H19" s="604">
        <f t="shared" si="0"/>
        <v>590073</v>
      </c>
    </row>
    <row r="20" spans="2:8">
      <c r="B20" s="604" t="s">
        <v>55</v>
      </c>
      <c r="C20" s="765">
        <f t="shared" si="0"/>
        <v>59574</v>
      </c>
      <c r="D20" s="765">
        <f t="shared" si="0"/>
        <v>77177</v>
      </c>
      <c r="E20" s="765">
        <f t="shared" si="0"/>
        <v>83524</v>
      </c>
      <c r="F20" s="765">
        <f t="shared" si="0"/>
        <v>93233</v>
      </c>
      <c r="G20" s="765">
        <f t="shared" si="0"/>
        <v>120777</v>
      </c>
      <c r="H20" s="765">
        <f t="shared" si="0"/>
        <v>131147</v>
      </c>
    </row>
    <row r="23" spans="2:8" hidden="1">
      <c r="C23" s="764">
        <v>2009</v>
      </c>
      <c r="D23" s="764">
        <v>2010</v>
      </c>
      <c r="E23" s="764">
        <v>2011</v>
      </c>
      <c r="F23" s="764">
        <v>2012</v>
      </c>
      <c r="G23" s="764">
        <v>2013</v>
      </c>
      <c r="H23" s="764">
        <v>2014</v>
      </c>
    </row>
    <row r="24" spans="2:8" hidden="1">
      <c r="B24" s="604" t="s">
        <v>59</v>
      </c>
      <c r="C24" s="604">
        <v>47814</v>
      </c>
      <c r="D24" s="604">
        <v>69349</v>
      </c>
      <c r="E24" s="604">
        <v>80337</v>
      </c>
      <c r="F24" s="604">
        <v>80878</v>
      </c>
      <c r="G24" s="604">
        <v>73799</v>
      </c>
      <c r="H24" s="604">
        <v>82378</v>
      </c>
    </row>
    <row r="25" spans="2:8" hidden="1">
      <c r="B25" s="604" t="s">
        <v>55</v>
      </c>
      <c r="C25" s="604">
        <v>59574</v>
      </c>
      <c r="D25" s="604">
        <v>77177</v>
      </c>
      <c r="E25" s="604">
        <v>83524</v>
      </c>
      <c r="F25" s="604">
        <v>93233</v>
      </c>
      <c r="G25" s="604">
        <v>120777</v>
      </c>
      <c r="H25" s="604">
        <v>131147</v>
      </c>
    </row>
    <row r="26" spans="2:8" hidden="1">
      <c r="C26" s="764">
        <v>2009</v>
      </c>
      <c r="D26" s="764">
        <v>2010</v>
      </c>
      <c r="E26" s="764">
        <v>2011</v>
      </c>
      <c r="F26" s="764">
        <v>2012</v>
      </c>
      <c r="G26" s="764">
        <v>2013</v>
      </c>
      <c r="H26" s="764">
        <v>2014</v>
      </c>
    </row>
    <row r="27" spans="2:8" hidden="1">
      <c r="B27" s="604" t="s">
        <v>58</v>
      </c>
      <c r="C27" s="604">
        <v>422256</v>
      </c>
      <c r="D27" s="604">
        <v>420349</v>
      </c>
      <c r="E27" s="604">
        <v>420594</v>
      </c>
      <c r="F27" s="604">
        <v>417278</v>
      </c>
      <c r="G27" s="604">
        <v>423716</v>
      </c>
      <c r="H27" s="604">
        <v>420570</v>
      </c>
    </row>
    <row r="28" spans="2:8" hidden="1">
      <c r="B28" s="604" t="s">
        <v>56</v>
      </c>
      <c r="C28" s="604">
        <v>420874</v>
      </c>
      <c r="D28" s="604">
        <v>447550</v>
      </c>
      <c r="E28" s="604">
        <v>486981</v>
      </c>
      <c r="F28" s="604">
        <v>522324</v>
      </c>
      <c r="G28" s="604">
        <v>560439</v>
      </c>
      <c r="H28" s="604">
        <v>590073</v>
      </c>
    </row>
    <row r="29" spans="2:8" hidden="1">
      <c r="C29" s="764">
        <v>2009</v>
      </c>
      <c r="D29" s="764">
        <v>2010</v>
      </c>
      <c r="E29" s="764">
        <v>2011</v>
      </c>
      <c r="F29" s="764">
        <v>2012</v>
      </c>
      <c r="G29" s="764">
        <v>2013</v>
      </c>
      <c r="H29" s="764">
        <v>2014</v>
      </c>
    </row>
    <row r="30" spans="2:8" hidden="1">
      <c r="B30" s="604" t="s">
        <v>57</v>
      </c>
      <c r="C30" s="604">
        <v>200441</v>
      </c>
      <c r="D30" s="604">
        <v>206464</v>
      </c>
      <c r="E30" s="604">
        <v>216868</v>
      </c>
      <c r="F30" s="604">
        <v>226066</v>
      </c>
      <c r="G30" s="604">
        <v>237633</v>
      </c>
      <c r="H30" s="604">
        <v>248102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2"/>
  <sheetViews>
    <sheetView topLeftCell="A16" workbookViewId="0">
      <selection activeCell="A10" sqref="A10"/>
    </sheetView>
  </sheetViews>
  <sheetFormatPr defaultColWidth="9.140625" defaultRowHeight="15"/>
  <cols>
    <col min="1" max="1" width="7.28515625" style="66" customWidth="1"/>
    <col min="2" max="2" width="17.7109375" style="66" customWidth="1"/>
    <col min="3" max="3" width="17" style="66" customWidth="1"/>
    <col min="4" max="4" width="19" style="66" customWidth="1"/>
    <col min="5" max="5" width="14.28515625" style="69" customWidth="1"/>
    <col min="6" max="6" width="15.85546875" style="69" customWidth="1"/>
    <col min="7" max="7" width="18.85546875" style="66" customWidth="1"/>
    <col min="8" max="8" width="15.28515625" style="69" customWidth="1"/>
    <col min="9" max="9" width="17.5703125" style="66" customWidth="1"/>
    <col min="10" max="10" width="14.140625" style="66" customWidth="1"/>
    <col min="11" max="11" width="16.5703125" style="66" hidden="1" customWidth="1"/>
    <col min="12" max="12" width="12.5703125" style="66" hidden="1" customWidth="1"/>
    <col min="13" max="13" width="22.28515625" style="66" hidden="1" customWidth="1"/>
    <col min="14" max="15" width="0" style="66" hidden="1" customWidth="1"/>
    <col min="16" max="16" width="10.28515625" style="66" hidden="1" customWidth="1"/>
    <col min="17" max="19" width="0" style="66" hidden="1" customWidth="1"/>
    <col min="20" max="20" width="4.42578125" style="66" customWidth="1"/>
    <col min="21" max="21" width="9.7109375" style="66" customWidth="1"/>
    <col min="22" max="22" width="8.42578125" style="66" customWidth="1"/>
    <col min="23" max="23" width="7.5703125" style="66" customWidth="1"/>
    <col min="24" max="24" width="18.7109375" style="66" customWidth="1"/>
    <col min="25" max="25" width="18.7109375" style="66" hidden="1" customWidth="1"/>
    <col min="26" max="27" width="9.140625" style="66"/>
    <col min="28" max="29" width="17" style="66" customWidth="1"/>
    <col min="30" max="16384" width="9.140625" style="66"/>
  </cols>
  <sheetData>
    <row r="1" spans="1:30" s="40" customFormat="1" ht="20.25">
      <c r="A1" s="514"/>
      <c r="B1" s="954" t="s">
        <v>483</v>
      </c>
      <c r="C1" s="954"/>
      <c r="D1" s="954"/>
      <c r="E1" s="954"/>
      <c r="F1" s="954"/>
      <c r="G1" s="954"/>
      <c r="H1" s="954"/>
      <c r="I1" s="954"/>
      <c r="J1" s="954"/>
      <c r="K1" s="514"/>
      <c r="L1" s="514"/>
      <c r="M1" s="514"/>
      <c r="N1" s="514"/>
      <c r="P1" s="41"/>
      <c r="Q1" s="84"/>
    </row>
    <row r="2" spans="1:30" ht="21" thickBot="1">
      <c r="B2" s="966" t="s">
        <v>505</v>
      </c>
      <c r="C2" s="966"/>
      <c r="D2" s="966"/>
      <c r="E2" s="966"/>
      <c r="F2" s="966"/>
      <c r="G2" s="966"/>
      <c r="H2" s="966"/>
      <c r="I2" s="966"/>
      <c r="J2" s="966"/>
    </row>
    <row r="3" spans="1:30">
      <c r="B3" s="67"/>
      <c r="C3" s="67"/>
      <c r="D3" s="67"/>
      <c r="E3" s="68"/>
      <c r="F3" s="68"/>
      <c r="G3" s="67"/>
      <c r="H3" s="68"/>
      <c r="I3" s="67"/>
      <c r="J3" s="67"/>
    </row>
    <row r="4" spans="1:30" ht="15.6" customHeight="1">
      <c r="A4" s="331" t="s">
        <v>3</v>
      </c>
      <c r="B4" s="291"/>
      <c r="C4" s="291"/>
      <c r="D4" s="291"/>
      <c r="E4" s="292" t="s">
        <v>231</v>
      </c>
      <c r="F4" s="292" t="s">
        <v>30</v>
      </c>
      <c r="G4" s="293" t="s">
        <v>113</v>
      </c>
      <c r="H4" s="292" t="s">
        <v>48</v>
      </c>
      <c r="I4" s="293"/>
      <c r="J4" s="294" t="s">
        <v>125</v>
      </c>
      <c r="U4" s="464"/>
      <c r="V4" s="463"/>
      <c r="W4" s="186"/>
    </row>
    <row r="5" spans="1:30" ht="14.45" customHeight="1">
      <c r="A5" s="331" t="s">
        <v>498</v>
      </c>
      <c r="B5" s="295" t="s">
        <v>99</v>
      </c>
      <c r="C5" s="295"/>
      <c r="D5" s="295" t="s">
        <v>100</v>
      </c>
      <c r="E5" s="292" t="s">
        <v>506</v>
      </c>
      <c r="F5" s="292">
        <v>2016</v>
      </c>
      <c r="G5" s="292" t="s">
        <v>119</v>
      </c>
      <c r="H5" s="292" t="s">
        <v>506</v>
      </c>
      <c r="I5" s="293" t="s">
        <v>499</v>
      </c>
      <c r="J5" s="297"/>
      <c r="U5" s="464"/>
      <c r="V5" s="464"/>
      <c r="W5" s="186"/>
      <c r="AB5" s="186"/>
    </row>
    <row r="6" spans="1:30">
      <c r="A6" s="188"/>
      <c r="B6" s="298"/>
      <c r="C6" s="298"/>
      <c r="D6" s="298"/>
      <c r="E6" s="299" t="s">
        <v>121</v>
      </c>
      <c r="F6" s="299" t="s">
        <v>122</v>
      </c>
      <c r="G6" s="299" t="s">
        <v>417</v>
      </c>
      <c r="H6" s="299" t="s">
        <v>123</v>
      </c>
      <c r="I6" s="300" t="s">
        <v>124</v>
      </c>
      <c r="J6" s="299" t="s">
        <v>253</v>
      </c>
      <c r="K6" s="180" t="s">
        <v>256</v>
      </c>
      <c r="L6" s="180" t="s">
        <v>133</v>
      </c>
      <c r="M6" s="181" t="s">
        <v>257</v>
      </c>
      <c r="U6" s="462"/>
      <c r="V6" s="188"/>
      <c r="W6" s="188"/>
      <c r="X6" s="188"/>
      <c r="Y6" s="188"/>
      <c r="Z6" s="186"/>
    </row>
    <row r="7" spans="1:30">
      <c r="A7" s="188">
        <v>1</v>
      </c>
      <c r="B7" s="301" t="s">
        <v>101</v>
      </c>
      <c r="C7" s="301" t="s">
        <v>120</v>
      </c>
      <c r="D7" s="302" t="s">
        <v>102</v>
      </c>
      <c r="E7" s="303">
        <f>'09.2014 Rev Model'!D25</f>
        <v>2462067</v>
      </c>
      <c r="F7" s="303">
        <f>'2016 Customers and Demand'!H6</f>
        <v>2512732</v>
      </c>
      <c r="G7" s="305">
        <f>(F7-E7)/E7</f>
        <v>2.0578237716520308E-2</v>
      </c>
      <c r="H7" s="303">
        <f>'09.2014 Rev Model'!D111</f>
        <v>20927569.5</v>
      </c>
      <c r="I7" s="305">
        <f>H7/$H$25</f>
        <v>4.1856674749836911E-2</v>
      </c>
      <c r="J7" s="305">
        <f>I7*G7</f>
        <v>8.6133660302521709E-4</v>
      </c>
      <c r="K7" s="175">
        <f>E7/$E$27</f>
        <v>0.85482590253375035</v>
      </c>
      <c r="L7" s="176">
        <f>I7-K7</f>
        <v>-0.81296922778391345</v>
      </c>
      <c r="M7" s="179">
        <f>L7*G7</f>
        <v>-1.6729474025553318E-2</v>
      </c>
      <c r="N7" s="173"/>
      <c r="O7" s="183" t="s">
        <v>254</v>
      </c>
      <c r="P7" s="172" t="s">
        <v>255</v>
      </c>
      <c r="Q7" s="173"/>
      <c r="T7" s="380"/>
      <c r="U7" s="461"/>
      <c r="V7" s="189"/>
      <c r="W7" s="187"/>
      <c r="X7" s="187"/>
      <c r="Y7" s="187"/>
      <c r="AB7" s="187"/>
      <c r="AC7" s="187"/>
    </row>
    <row r="8" spans="1:30">
      <c r="A8" s="188">
        <v>2</v>
      </c>
      <c r="B8" s="301" t="s">
        <v>103</v>
      </c>
      <c r="C8" s="301" t="s">
        <v>120</v>
      </c>
      <c r="D8" s="302" t="s">
        <v>104</v>
      </c>
      <c r="E8" s="303">
        <f>'09.2014 Rev Model'!E25</f>
        <v>364551.99999999994</v>
      </c>
      <c r="F8" s="303">
        <f>'2016 Customers and Demand'!H7+'2016 Customers and Demand'!H8</f>
        <v>379313.78865559708</v>
      </c>
      <c r="G8" s="305">
        <f t="shared" ref="G8:G22" si="0">(F8-E8)/E8</f>
        <v>4.0492957535816942E-2</v>
      </c>
      <c r="H8" s="303">
        <f>'09.2014 Rev Model'!E111</f>
        <v>6561935.9999999991</v>
      </c>
      <c r="I8" s="305">
        <f>H8/$H$25</f>
        <v>1.3124353541449033E-2</v>
      </c>
      <c r="J8" s="305">
        <f>I8*G8</f>
        <v>5.3144389063894436E-4</v>
      </c>
      <c r="K8" s="175">
        <f>E8/$E$27</f>
        <v>0.1265718976861652</v>
      </c>
      <c r="L8" s="176">
        <f>I8-K8</f>
        <v>-0.11344754414471617</v>
      </c>
      <c r="M8" s="179">
        <f>L8*G8</f>
        <v>-4.5938265875947095E-3</v>
      </c>
      <c r="N8" s="173"/>
      <c r="O8" s="173"/>
      <c r="P8" s="173"/>
      <c r="T8" s="380"/>
      <c r="U8" s="461"/>
      <c r="V8" s="189"/>
      <c r="W8" s="187"/>
      <c r="X8" s="187"/>
      <c r="Y8" s="187"/>
      <c r="AB8" s="187"/>
      <c r="AC8" s="187"/>
    </row>
    <row r="9" spans="1:30">
      <c r="A9" s="188">
        <v>3</v>
      </c>
      <c r="B9" s="301" t="s">
        <v>105</v>
      </c>
      <c r="C9" s="301" t="s">
        <v>362</v>
      </c>
      <c r="D9" s="302" t="s">
        <v>106</v>
      </c>
      <c r="E9" s="303">
        <f>'09.2014 Rev Model'!F25</f>
        <v>24110</v>
      </c>
      <c r="F9" s="303">
        <f>'2016 Customers and Demand'!H9+'2016 Customers and Demand'!H10</f>
        <v>24225.282700404532</v>
      </c>
      <c r="G9" s="305">
        <f t="shared" si="0"/>
        <v>4.7815305020544206E-3</v>
      </c>
      <c r="H9" s="303">
        <f>'09.2014 Rev Model'!F117</f>
        <v>12055000</v>
      </c>
      <c r="I9" s="305">
        <f t="shared" ref="I9:I10" si="1">H9/$H$25</f>
        <v>2.4110884644740229E-2</v>
      </c>
      <c r="J9" s="305">
        <f t="shared" ref="J9:J10" si="2">I9*G9</f>
        <v>1.1528693036034097E-4</v>
      </c>
      <c r="K9" s="175"/>
      <c r="L9" s="173"/>
      <c r="M9" s="173"/>
      <c r="N9" s="173"/>
      <c r="O9" s="173"/>
      <c r="P9" s="173"/>
      <c r="T9" s="380"/>
      <c r="U9" s="461"/>
      <c r="V9" s="189"/>
      <c r="W9" s="187"/>
      <c r="X9" s="187"/>
      <c r="Y9" s="187"/>
      <c r="AB9" s="187"/>
      <c r="AC9" s="187"/>
    </row>
    <row r="10" spans="1:30">
      <c r="A10" s="188">
        <v>4</v>
      </c>
      <c r="B10" s="301" t="s">
        <v>107</v>
      </c>
      <c r="C10" s="301" t="s">
        <v>362</v>
      </c>
      <c r="D10" s="302" t="s">
        <v>108</v>
      </c>
      <c r="E10" s="303">
        <f>'09.2014 Rev Model'!G25</f>
        <v>252</v>
      </c>
      <c r="F10" s="303">
        <f>'2016 Customers and Demand'!H11</f>
        <v>251.68890808275614</v>
      </c>
      <c r="G10" s="305">
        <f t="shared" si="0"/>
        <v>-1.234491735094671E-3</v>
      </c>
      <c r="H10" s="303">
        <f>'09.2014 Rev Model'!G117</f>
        <v>5292000</v>
      </c>
      <c r="I10" s="305">
        <f t="shared" si="1"/>
        <v>1.0584388348400272E-2</v>
      </c>
      <c r="J10" s="305">
        <f t="shared" si="2"/>
        <v>-1.3066339937132471E-5</v>
      </c>
      <c r="K10" s="175"/>
      <c r="L10" s="173"/>
      <c r="M10" s="173"/>
      <c r="N10" s="173"/>
      <c r="O10" s="173"/>
      <c r="P10" s="173"/>
      <c r="T10" s="380"/>
      <c r="U10" s="461"/>
      <c r="V10" s="189"/>
      <c r="W10" s="187"/>
      <c r="X10" s="187"/>
      <c r="Y10" s="187"/>
      <c r="AB10" s="187"/>
      <c r="AC10" s="187"/>
    </row>
    <row r="11" spans="1:30">
      <c r="A11" s="188">
        <v>5</v>
      </c>
      <c r="B11" s="301" t="s">
        <v>109</v>
      </c>
      <c r="C11" s="301" t="s">
        <v>120</v>
      </c>
      <c r="D11" s="302" t="s">
        <v>110</v>
      </c>
      <c r="E11" s="303">
        <f>'09.2014 Rev Model'!H25</f>
        <v>29215.99999999996</v>
      </c>
      <c r="F11" s="303">
        <f>'2016 Customers and Demand'!H13+'2016 Customers and Demand'!H14+'2016 Customers and Demand'!H15</f>
        <v>34477.714392681184</v>
      </c>
      <c r="G11" s="305">
        <f t="shared" si="0"/>
        <v>0.18009701508355802</v>
      </c>
      <c r="H11" s="303">
        <f>'09.2014 Rev Model'!H111</f>
        <v>525887.9999999993</v>
      </c>
      <c r="I11" s="305">
        <f t="shared" ref="I11:I22" si="3">H11/$H$25</f>
        <v>1.0518145917920475E-3</v>
      </c>
      <c r="J11" s="306">
        <f>I11*G11</f>
        <v>1.8942866840307882E-4</v>
      </c>
      <c r="K11" s="175">
        <f>E11/$E$28</f>
        <v>5.1674664491588651E-6</v>
      </c>
      <c r="L11" s="176">
        <f>I11-K11</f>
        <v>1.0466471253428886E-3</v>
      </c>
      <c r="M11" s="179">
        <f>L11*G11</f>
        <v>1.8849802312004084E-4</v>
      </c>
      <c r="N11" s="174">
        <f>SUM(M7:M11)</f>
        <v>-2.1134802590027989E-2</v>
      </c>
      <c r="O11" s="174">
        <f>SUM(I7:I11)</f>
        <v>9.0728115876218485E-2</v>
      </c>
      <c r="P11" s="177">
        <f>N11*O11</f>
        <v>-1.9175208184090619E-3</v>
      </c>
      <c r="T11" s="380"/>
      <c r="U11" s="461"/>
      <c r="V11" s="189"/>
      <c r="W11" s="187"/>
      <c r="X11" s="187"/>
      <c r="Y11" s="187"/>
      <c r="AB11" s="187"/>
      <c r="AC11" s="187"/>
    </row>
    <row r="12" spans="1:30">
      <c r="A12" s="188">
        <v>6</v>
      </c>
      <c r="B12" s="307" t="s">
        <v>111</v>
      </c>
      <c r="C12" s="307" t="s">
        <v>120</v>
      </c>
      <c r="D12" s="307" t="s">
        <v>112</v>
      </c>
      <c r="E12" s="308"/>
      <c r="F12" s="308"/>
      <c r="G12" s="309"/>
      <c r="H12" s="308"/>
      <c r="I12" s="309"/>
      <c r="J12" s="309"/>
      <c r="K12" s="173"/>
      <c r="L12" s="173"/>
      <c r="M12" s="173"/>
      <c r="N12" s="173"/>
      <c r="O12" s="173"/>
      <c r="P12" s="173"/>
      <c r="U12" s="187"/>
      <c r="V12" s="187"/>
      <c r="W12" s="187"/>
      <c r="X12" s="187"/>
      <c r="Y12" s="187"/>
      <c r="AB12" s="187"/>
      <c r="AC12" s="187"/>
    </row>
    <row r="13" spans="1:30">
      <c r="A13" s="188">
        <v>7</v>
      </c>
      <c r="B13" s="301" t="s">
        <v>101</v>
      </c>
      <c r="C13" s="301" t="s">
        <v>114</v>
      </c>
      <c r="D13" s="302" t="s">
        <v>102</v>
      </c>
      <c r="E13" s="303">
        <f>'09.2014 Rev Model'!D23</f>
        <v>2378478031</v>
      </c>
      <c r="F13" s="303">
        <f>'2016 Forecast Energy'!D5</f>
        <v>2447894612.94909</v>
      </c>
      <c r="G13" s="305">
        <f t="shared" si="0"/>
        <v>2.9185294564148111E-2</v>
      </c>
      <c r="H13" s="303">
        <f>'09.2014 Rev Model'!D152-H7</f>
        <v>193913529.98999998</v>
      </c>
      <c r="I13" s="305">
        <f t="shared" si="3"/>
        <v>0.38784129014046159</v>
      </c>
      <c r="J13" s="305">
        <f t="shared" ref="J13:J18" si="4">I13*G13</f>
        <v>1.1319262296888604E-2</v>
      </c>
      <c r="K13" s="175">
        <f t="shared" ref="K13:K18" si="5">E13/$E$28</f>
        <v>0.42068405754565841</v>
      </c>
      <c r="L13" s="176">
        <f>I13-K13</f>
        <v>-3.2842767405196815E-2</v>
      </c>
      <c r="M13" s="179">
        <f t="shared" ref="M13:M18" si="6">L13*G13</f>
        <v>-9.5852584102247139E-4</v>
      </c>
      <c r="N13" s="173"/>
      <c r="O13" s="173"/>
      <c r="P13" s="173"/>
      <c r="U13" s="461"/>
      <c r="V13" s="189"/>
      <c r="W13" s="189"/>
      <c r="X13" s="187"/>
      <c r="Y13" s="187"/>
      <c r="Z13" s="189"/>
      <c r="AA13" s="189"/>
      <c r="AB13" s="187"/>
      <c r="AC13" s="187"/>
      <c r="AD13" s="189"/>
    </row>
    <row r="14" spans="1:30">
      <c r="A14" s="188">
        <v>8</v>
      </c>
      <c r="B14" s="301" t="s">
        <v>103</v>
      </c>
      <c r="C14" s="301" t="s">
        <v>114</v>
      </c>
      <c r="D14" s="302" t="s">
        <v>104</v>
      </c>
      <c r="E14" s="303">
        <f>'09.2014 Rev Model'!E23</f>
        <v>588401236</v>
      </c>
      <c r="F14" s="303">
        <f>'2016 Forecast Energy'!D6+'2016 Forecast Energy'!D7</f>
        <v>591388923.24195552</v>
      </c>
      <c r="G14" s="305">
        <f t="shared" si="0"/>
        <v>5.0776359041426605E-3</v>
      </c>
      <c r="H14" s="303">
        <f>'09.2014 Rev Model'!E152-H8-H20</f>
        <v>62328506.609999999</v>
      </c>
      <c r="I14" s="305">
        <f t="shared" si="3"/>
        <v>0.12466158713833586</v>
      </c>
      <c r="J14" s="305">
        <f t="shared" si="4"/>
        <v>6.3298615072102311E-4</v>
      </c>
      <c r="K14" s="175">
        <f t="shared" si="5"/>
        <v>0.10407118173855462</v>
      </c>
      <c r="L14" s="176">
        <f t="shared" ref="L14:L22" si="7">I14-K14</f>
        <v>2.0590405399781242E-2</v>
      </c>
      <c r="M14" s="179">
        <f t="shared" si="6"/>
        <v>1.0455058173878214E-4</v>
      </c>
      <c r="N14" s="173"/>
      <c r="O14" s="173"/>
      <c r="P14" s="173"/>
      <c r="U14" s="461"/>
      <c r="V14" s="189"/>
      <c r="W14" s="189"/>
      <c r="X14" s="187"/>
      <c r="Y14" s="187"/>
      <c r="Z14" s="189"/>
      <c r="AA14" s="189"/>
      <c r="AB14" s="187"/>
      <c r="AC14" s="187"/>
      <c r="AD14" s="189"/>
    </row>
    <row r="15" spans="1:30">
      <c r="A15" s="188">
        <v>9</v>
      </c>
      <c r="B15" s="301" t="s">
        <v>105</v>
      </c>
      <c r="C15" s="301" t="s">
        <v>114</v>
      </c>
      <c r="D15" s="302" t="s">
        <v>106</v>
      </c>
      <c r="E15" s="303">
        <f>'09.2014 Rev Model'!F23</f>
        <v>1419228270.9999998</v>
      </c>
      <c r="F15" s="303">
        <f>'2016 Forecast Energy'!D8+'2016 Forecast Energy'!D9+'2016 Forecast Energy'!D11</f>
        <v>1431149605.8904219</v>
      </c>
      <c r="G15" s="305">
        <f t="shared" si="0"/>
        <v>8.3998713484070026E-3</v>
      </c>
      <c r="H15" s="303">
        <f>'09.2014 Rev Model'!F152-H9-H21</f>
        <v>101678503.13000001</v>
      </c>
      <c r="I15" s="305">
        <f t="shared" si="3"/>
        <v>0.20336446784050505</v>
      </c>
      <c r="J15" s="305">
        <f t="shared" si="4"/>
        <v>1.7082353666974957E-3</v>
      </c>
      <c r="K15" s="175">
        <f t="shared" si="5"/>
        <v>0.25102048446365877</v>
      </c>
      <c r="L15" s="176">
        <f t="shared" si="7"/>
        <v>-4.7656016623153719E-2</v>
      </c>
      <c r="M15" s="179">
        <f t="shared" si="6"/>
        <v>-4.0030440861203677E-4</v>
      </c>
      <c r="N15" s="173"/>
      <c r="O15" s="173"/>
      <c r="P15" s="173"/>
      <c r="U15" s="461"/>
      <c r="V15" s="189"/>
      <c r="W15" s="189"/>
      <c r="X15" s="187"/>
      <c r="Y15" s="187"/>
      <c r="Z15" s="189"/>
      <c r="AA15" s="189"/>
      <c r="AB15" s="187"/>
      <c r="AC15" s="187"/>
      <c r="AD15" s="189"/>
    </row>
    <row r="16" spans="1:30">
      <c r="A16" s="188">
        <v>10</v>
      </c>
      <c r="B16" s="301" t="s">
        <v>107</v>
      </c>
      <c r="C16" s="301" t="s">
        <v>114</v>
      </c>
      <c r="D16" s="302" t="s">
        <v>108</v>
      </c>
      <c r="E16" s="303">
        <f>'09.2014 Rev Model'!G23</f>
        <v>1105372136</v>
      </c>
      <c r="F16" s="303">
        <f>'2016 Forecast Energy'!D10</f>
        <v>1114987712.0720894</v>
      </c>
      <c r="G16" s="305">
        <f t="shared" si="0"/>
        <v>8.6989492126020394E-3</v>
      </c>
      <c r="H16" s="303">
        <f>'09.2014 Rev Model'!G152-H10-H22</f>
        <v>53481705.540000007</v>
      </c>
      <c r="I16" s="305">
        <f t="shared" si="3"/>
        <v>0.10696733578423098</v>
      </c>
      <c r="J16" s="305">
        <f t="shared" si="4"/>
        <v>9.305034213943741E-4</v>
      </c>
      <c r="K16" s="175">
        <f t="shared" si="5"/>
        <v>0.1955084004180955</v>
      </c>
      <c r="L16" s="176">
        <f t="shared" si="7"/>
        <v>-8.8541064633864519E-2</v>
      </c>
      <c r="M16" s="179">
        <f t="shared" si="6"/>
        <v>-7.7021422447970205E-4</v>
      </c>
      <c r="N16" s="173"/>
      <c r="O16" s="173"/>
      <c r="P16" s="173"/>
      <c r="U16" s="461"/>
      <c r="V16" s="189"/>
      <c r="W16" s="189"/>
      <c r="X16" s="187"/>
      <c r="Y16" s="187"/>
      <c r="Z16" s="189"/>
      <c r="AA16" s="189"/>
      <c r="AB16" s="187"/>
      <c r="AC16" s="187"/>
      <c r="AD16" s="189"/>
    </row>
    <row r="17" spans="1:30">
      <c r="A17" s="188">
        <v>11</v>
      </c>
      <c r="B17" s="301" t="s">
        <v>109</v>
      </c>
      <c r="C17" s="301" t="s">
        <v>114</v>
      </c>
      <c r="D17" s="302" t="s">
        <v>110</v>
      </c>
      <c r="E17" s="303">
        <f>'09.2014 Rev Model'!H23</f>
        <v>137227044</v>
      </c>
      <c r="F17" s="303">
        <f>'2016 Forecast Energy'!D12+'2016 Forecast Energy'!D13</f>
        <v>131725347.36303267</v>
      </c>
      <c r="G17" s="305">
        <f t="shared" si="0"/>
        <v>-4.0091927047319703E-2</v>
      </c>
      <c r="H17" s="303">
        <f>'09.2014 Rev Model'!H152-H11-H23</f>
        <v>10944582.789999997</v>
      </c>
      <c r="I17" s="305">
        <f>H17/$H$25</f>
        <v>2.1889968737826553E-2</v>
      </c>
      <c r="J17" s="306">
        <f t="shared" si="4"/>
        <v>-8.7761102970505107E-4</v>
      </c>
      <c r="K17" s="175">
        <f t="shared" si="5"/>
        <v>2.4271500061173616E-2</v>
      </c>
      <c r="L17" s="176">
        <f t="shared" si="7"/>
        <v>-2.3815313233470636E-3</v>
      </c>
      <c r="M17" s="179">
        <f t="shared" si="6"/>
        <v>9.5480180076537233E-5</v>
      </c>
      <c r="N17" s="173"/>
      <c r="O17" s="173"/>
      <c r="P17" s="173"/>
      <c r="U17" s="461"/>
      <c r="V17" s="189"/>
      <c r="W17" s="189"/>
      <c r="X17" s="187"/>
      <c r="Y17" s="187"/>
      <c r="Z17" s="189"/>
      <c r="AA17" s="189"/>
      <c r="AB17" s="187"/>
      <c r="AC17" s="187"/>
      <c r="AD17" s="189"/>
    </row>
    <row r="18" spans="1:30">
      <c r="A18" s="188">
        <v>12</v>
      </c>
      <c r="B18" s="307" t="s">
        <v>111</v>
      </c>
      <c r="C18" s="307" t="s">
        <v>114</v>
      </c>
      <c r="D18" s="307" t="s">
        <v>112</v>
      </c>
      <c r="E18" s="308">
        <f>'09.2014 Rev Model'!I23</f>
        <v>25127765</v>
      </c>
      <c r="F18" s="308">
        <f>'2016 Forecast Energy'!D14</f>
        <v>24890112.090452805</v>
      </c>
      <c r="G18" s="309">
        <f t="shared" si="0"/>
        <v>-9.4577814440398832E-3</v>
      </c>
      <c r="H18" s="308">
        <f>'09.2014 Rev Model'!I152</f>
        <v>7019745.6002651993</v>
      </c>
      <c r="I18" s="309">
        <f t="shared" si="3"/>
        <v>1.4040006337902694E-2</v>
      </c>
      <c r="J18" s="309">
        <f t="shared" si="4"/>
        <v>-1.3278731141681845E-4</v>
      </c>
      <c r="K18" s="175">
        <f t="shared" si="5"/>
        <v>4.444375772859002E-3</v>
      </c>
      <c r="L18" s="176">
        <f t="shared" si="7"/>
        <v>9.5956305650436932E-3</v>
      </c>
      <c r="M18" s="179">
        <f t="shared" si="6"/>
        <v>-9.0753376701932184E-5</v>
      </c>
      <c r="N18" s="174">
        <f>SUM(M13:M18)</f>
        <v>-2.0197670890008228E-3</v>
      </c>
      <c r="O18" s="174">
        <f>SUM(I13:I18)</f>
        <v>0.85876465597926277</v>
      </c>
      <c r="P18" s="177">
        <f>N18*O18</f>
        <v>-1.7345045893440287E-3</v>
      </c>
      <c r="U18" s="461"/>
      <c r="V18" s="189"/>
      <c r="W18" s="189"/>
      <c r="X18" s="187"/>
      <c r="Y18" s="187"/>
      <c r="Z18" s="189"/>
      <c r="AA18" s="189"/>
      <c r="AB18" s="187"/>
      <c r="AC18" s="187"/>
      <c r="AD18" s="189"/>
    </row>
    <row r="19" spans="1:30">
      <c r="A19" s="188">
        <v>13</v>
      </c>
      <c r="B19" s="301" t="s">
        <v>101</v>
      </c>
      <c r="C19" s="301" t="s">
        <v>115</v>
      </c>
      <c r="D19" s="302" t="s">
        <v>102</v>
      </c>
      <c r="E19" s="303"/>
      <c r="F19" s="310"/>
      <c r="G19" s="305"/>
      <c r="H19" s="303">
        <v>0</v>
      </c>
      <c r="I19" s="305"/>
      <c r="J19" s="305"/>
      <c r="K19" s="178"/>
      <c r="L19" s="176"/>
      <c r="M19" s="179"/>
      <c r="N19" s="173"/>
      <c r="O19" s="173"/>
      <c r="P19" s="173"/>
      <c r="U19" s="187"/>
      <c r="V19" s="187"/>
      <c r="W19" s="187"/>
      <c r="X19" s="187"/>
      <c r="Y19" s="187"/>
      <c r="Z19" s="189"/>
      <c r="AA19" s="189"/>
      <c r="AB19" s="187"/>
      <c r="AC19" s="187"/>
    </row>
    <row r="20" spans="1:30">
      <c r="A20" s="188">
        <v>14</v>
      </c>
      <c r="B20" s="301" t="s">
        <v>103</v>
      </c>
      <c r="C20" s="301" t="s">
        <v>115</v>
      </c>
      <c r="D20" s="302" t="s">
        <v>104</v>
      </c>
      <c r="E20" s="303">
        <f>'09.2014 Rev Model'!E27</f>
        <v>402284</v>
      </c>
      <c r="F20" s="303">
        <f>'2016 Customers and Demand'!G42+'2016 Customers and Demand'!G43</f>
        <v>364641</v>
      </c>
      <c r="G20" s="305">
        <f t="shared" si="0"/>
        <v>-9.3573197044873768E-2</v>
      </c>
      <c r="H20" s="303">
        <f>'09.2014 Rev Model'!E118</f>
        <v>2413704</v>
      </c>
      <c r="I20" s="305">
        <f t="shared" si="3"/>
        <v>4.8275851273785206E-3</v>
      </c>
      <c r="J20" s="305">
        <f>I20*G20</f>
        <v>-4.5173257437509235E-4</v>
      </c>
      <c r="K20" s="179">
        <f>E20/$E$29</f>
        <v>9.0866400298337341E-2</v>
      </c>
      <c r="L20" s="176">
        <f t="shared" si="7"/>
        <v>-8.6038815170958821E-2</v>
      </c>
      <c r="M20" s="179">
        <f>L20*G20</f>
        <v>8.0509270054996036E-3</v>
      </c>
      <c r="N20" s="173"/>
      <c r="O20" s="173"/>
      <c r="P20" s="173"/>
      <c r="U20" s="461"/>
      <c r="V20" s="189"/>
      <c r="W20" s="187"/>
      <c r="X20" s="187"/>
      <c r="Y20" s="187"/>
      <c r="Z20" s="189"/>
      <c r="AA20" s="189"/>
      <c r="AB20" s="187"/>
      <c r="AC20" s="187"/>
    </row>
    <row r="21" spans="1:30">
      <c r="A21" s="188">
        <v>15</v>
      </c>
      <c r="B21" s="301" t="s">
        <v>105</v>
      </c>
      <c r="C21" s="301" t="s">
        <v>115</v>
      </c>
      <c r="D21" s="302" t="s">
        <v>106</v>
      </c>
      <c r="E21" s="303">
        <f>'09.2014 Rev Model'!F27</f>
        <v>2748136</v>
      </c>
      <c r="F21" s="303">
        <f>'2016 Customers and Demand'!G44+'2016 Customers and Demand'!G45</f>
        <v>2697553.041666667</v>
      </c>
      <c r="G21" s="305">
        <f t="shared" si="0"/>
        <v>-1.8406279140964283E-2</v>
      </c>
      <c r="H21" s="303">
        <f>'09.2014 Rev Model'!F118+'09.2014 Rev Model'!F120</f>
        <v>16418326</v>
      </c>
      <c r="I21" s="305">
        <f t="shared" si="3"/>
        <v>3.2837856843279903E-2</v>
      </c>
      <c r="J21" s="305">
        <f>I21*G21</f>
        <v>-6.0442275944843412E-4</v>
      </c>
      <c r="K21" s="179">
        <f>E21/$E$29</f>
        <v>0.62073864695158543</v>
      </c>
      <c r="L21" s="176">
        <f t="shared" si="7"/>
        <v>-0.58790079010830554</v>
      </c>
      <c r="M21" s="179">
        <f>L21*G21</f>
        <v>1.0821066049926926E-2</v>
      </c>
      <c r="N21" s="173"/>
      <c r="O21" s="173"/>
      <c r="P21" s="173"/>
      <c r="U21" s="762"/>
      <c r="V21" s="189"/>
      <c r="W21" s="187"/>
      <c r="X21" s="187"/>
      <c r="Y21" s="187"/>
      <c r="Z21" s="189"/>
      <c r="AA21" s="189"/>
      <c r="AB21" s="187"/>
      <c r="AC21" s="187"/>
    </row>
    <row r="22" spans="1:30">
      <c r="A22" s="188">
        <v>16</v>
      </c>
      <c r="B22" s="301" t="s">
        <v>107</v>
      </c>
      <c r="C22" s="301" t="s">
        <v>115</v>
      </c>
      <c r="D22" s="302" t="s">
        <v>108</v>
      </c>
      <c r="E22" s="303">
        <f>'09.2014 Rev Model'!G27</f>
        <v>1276783</v>
      </c>
      <c r="F22" s="303">
        <f>'2016 Customers and Demand'!G46</f>
        <v>1168073</v>
      </c>
      <c r="G22" s="305">
        <f t="shared" si="0"/>
        <v>-8.5143677508237495E-2</v>
      </c>
      <c r="H22" s="303">
        <f>'09.2014 Rev Model'!G118+'09.2014 Rev Model'!G120</f>
        <v>6420657.5</v>
      </c>
      <c r="I22" s="305">
        <f t="shared" si="3"/>
        <v>1.2841786173860323E-2</v>
      </c>
      <c r="J22" s="305">
        <f>I22*G22</f>
        <v>-1.0933969006169063E-3</v>
      </c>
      <c r="K22" s="179">
        <f>E22/$E$29</f>
        <v>0.2883949527500772</v>
      </c>
      <c r="L22" s="176">
        <f t="shared" si="7"/>
        <v>-0.27555316657621687</v>
      </c>
      <c r="M22" s="179">
        <f>L22*G22</f>
        <v>2.3461609951339057E-2</v>
      </c>
      <c r="N22" s="174">
        <f>SUM(M20:M22)</f>
        <v>4.2333603006765586E-2</v>
      </c>
      <c r="O22" s="174">
        <f>SUM(I20:I22)</f>
        <v>5.0507228144518745E-2</v>
      </c>
      <c r="P22" s="177">
        <f>N22*O22</f>
        <v>2.1381529452421943E-3</v>
      </c>
      <c r="U22" s="461"/>
      <c r="V22" s="189"/>
      <c r="W22" s="187"/>
      <c r="X22" s="187"/>
      <c r="Y22" s="187"/>
      <c r="Z22" s="189"/>
      <c r="AA22" s="189"/>
      <c r="AB22" s="187"/>
      <c r="AC22" s="187"/>
    </row>
    <row r="23" spans="1:30">
      <c r="A23" s="188">
        <v>17</v>
      </c>
      <c r="B23" s="301" t="s">
        <v>109</v>
      </c>
      <c r="C23" s="301" t="s">
        <v>115</v>
      </c>
      <c r="D23" s="302" t="s">
        <v>110</v>
      </c>
      <c r="E23" s="303"/>
      <c r="F23" s="311"/>
      <c r="G23" s="312"/>
      <c r="H23" s="303"/>
      <c r="I23" s="305"/>
      <c r="J23" s="305"/>
      <c r="N23" s="173"/>
      <c r="O23" s="173"/>
      <c r="P23" s="173"/>
      <c r="U23" s="187"/>
      <c r="V23" s="187"/>
      <c r="W23" s="187"/>
      <c r="X23" s="187"/>
      <c r="Y23" s="187"/>
      <c r="Z23" s="189"/>
      <c r="AA23" s="189"/>
      <c r="AB23" s="187"/>
      <c r="AC23" s="187"/>
    </row>
    <row r="24" spans="1:30" ht="15.75" thickBot="1">
      <c r="A24" s="188">
        <v>18</v>
      </c>
      <c r="B24" s="313" t="s">
        <v>111</v>
      </c>
      <c r="C24" s="313" t="s">
        <v>115</v>
      </c>
      <c r="D24" s="313" t="s">
        <v>112</v>
      </c>
      <c r="E24" s="394"/>
      <c r="F24" s="314"/>
      <c r="G24" s="315"/>
      <c r="H24" s="394"/>
      <c r="I24" s="316"/>
      <c r="J24" s="306"/>
      <c r="M24" s="517"/>
      <c r="N24" s="173"/>
      <c r="O24" s="174">
        <f>O11+O18+O22</f>
        <v>1</v>
      </c>
      <c r="P24" s="174">
        <f>P11+P18+P22</f>
        <v>-1.5138724625108962E-3</v>
      </c>
      <c r="U24" s="187"/>
      <c r="V24" s="187"/>
      <c r="W24" s="187"/>
      <c r="X24" s="187"/>
      <c r="Y24" s="187"/>
      <c r="Z24" s="189"/>
      <c r="AA24" s="189"/>
      <c r="AB24" s="187"/>
      <c r="AC24" s="187"/>
    </row>
    <row r="25" spans="1:30" ht="16.5" thickTop="1" thickBot="1">
      <c r="A25" s="188">
        <v>19</v>
      </c>
      <c r="B25" s="291" t="s">
        <v>8</v>
      </c>
      <c r="C25" s="291"/>
      <c r="D25" s="291"/>
      <c r="E25" s="303"/>
      <c r="F25" s="317"/>
      <c r="G25" s="294"/>
      <c r="H25" s="420">
        <f>SUM(H7:H24)</f>
        <v>499981654.66026521</v>
      </c>
      <c r="I25" s="305">
        <f>SUM(I7:I24)</f>
        <v>1</v>
      </c>
      <c r="J25" s="466">
        <f>SUM(J7:J24)</f>
        <v>1.3115466412629643E-2</v>
      </c>
      <c r="K25" s="182"/>
      <c r="L25" s="182"/>
      <c r="M25" s="182"/>
      <c r="P25" s="174">
        <f>J25-P24</f>
        <v>1.4629338875140539E-2</v>
      </c>
      <c r="V25" s="318"/>
    </row>
    <row r="26" spans="1:30" ht="16.5" thickTop="1" thickBot="1">
      <c r="A26" s="188"/>
      <c r="B26" s="291"/>
      <c r="C26" s="291"/>
      <c r="D26" s="291"/>
      <c r="E26" s="303"/>
      <c r="F26" s="317"/>
      <c r="G26" s="319"/>
      <c r="H26" s="420"/>
      <c r="I26" s="304"/>
      <c r="J26" s="318"/>
    </row>
    <row r="27" spans="1:30">
      <c r="A27" s="188"/>
      <c r="B27" s="426" t="s">
        <v>130</v>
      </c>
      <c r="C27" s="427"/>
      <c r="D27" s="427"/>
      <c r="E27" s="395">
        <f>SUM(E7:E12)</f>
        <v>2880197</v>
      </c>
      <c r="F27" s="395">
        <f>SUM(F7:F12)</f>
        <v>2951000.4746567658</v>
      </c>
      <c r="G27" s="428">
        <f t="shared" ref="G27:G29" si="8">(F27-E27)/E27</f>
        <v>2.4582858275585252E-2</v>
      </c>
      <c r="H27" s="429"/>
      <c r="I27" s="428"/>
      <c r="J27" s="430"/>
    </row>
    <row r="28" spans="1:30">
      <c r="A28" s="188"/>
      <c r="B28" s="431" t="s">
        <v>131</v>
      </c>
      <c r="C28" s="296"/>
      <c r="D28" s="296"/>
      <c r="E28" s="396">
        <f>SUM(E13:E18)</f>
        <v>5653834483</v>
      </c>
      <c r="F28" s="396">
        <f>SUM(F13:F18)</f>
        <v>5742036313.6070423</v>
      </c>
      <c r="G28" s="305">
        <f t="shared" si="8"/>
        <v>1.5600355983580411E-2</v>
      </c>
      <c r="H28" s="432"/>
      <c r="I28" s="306"/>
      <c r="J28" s="433"/>
    </row>
    <row r="29" spans="1:30">
      <c r="A29" s="188"/>
      <c r="B29" s="431" t="s">
        <v>132</v>
      </c>
      <c r="C29" s="296"/>
      <c r="D29" s="296"/>
      <c r="E29" s="396">
        <f>SUM(E19:E24)</f>
        <v>4427203</v>
      </c>
      <c r="F29" s="396">
        <f>SUM(F19:F24)</f>
        <v>4230267.041666667</v>
      </c>
      <c r="G29" s="305">
        <f t="shared" si="8"/>
        <v>-4.4483155241206024E-2</v>
      </c>
      <c r="H29" s="432"/>
      <c r="I29" s="306"/>
      <c r="J29" s="433"/>
    </row>
    <row r="30" spans="1:30" ht="15.75" thickBot="1">
      <c r="A30" s="188"/>
      <c r="B30" s="434"/>
      <c r="C30" s="435"/>
      <c r="D30" s="435"/>
      <c r="E30" s="397"/>
      <c r="F30" s="397"/>
      <c r="G30" s="436"/>
      <c r="H30" s="397"/>
      <c r="I30" s="436"/>
      <c r="J30" s="437"/>
    </row>
    <row r="31" spans="1:30">
      <c r="A31" s="188"/>
      <c r="B31" s="297"/>
      <c r="C31" s="297"/>
      <c r="D31" s="297"/>
      <c r="E31" s="297"/>
      <c r="F31" s="297"/>
      <c r="G31" s="297"/>
      <c r="H31" s="297"/>
      <c r="I31" s="297"/>
      <c r="J31" s="297"/>
    </row>
    <row r="32" spans="1:30">
      <c r="A32" s="188"/>
      <c r="B32" s="320"/>
      <c r="C32" s="320"/>
      <c r="D32" s="320"/>
      <c r="E32" s="297"/>
      <c r="F32" s="297"/>
      <c r="G32" s="320"/>
      <c r="H32" s="438"/>
      <c r="I32" s="439"/>
      <c r="J32" s="306"/>
      <c r="Z32" s="190"/>
      <c r="AD32" s="190"/>
    </row>
  </sheetData>
  <mergeCells count="2">
    <mergeCell ref="B2:J2"/>
    <mergeCell ref="B1:J1"/>
  </mergeCells>
  <phoneticPr fontId="53" type="noConversion"/>
  <pageMargins left="0.84" right="0.88" top="1" bottom="0.75" header="0.28999999999999998" footer="0.3"/>
  <pageSetup scale="76" orientation="landscape" r:id="rId1"/>
  <headerFooter scaleWithDoc="0">
    <oddHeader>&amp;RExhibit No. __(EMA-6)</oddHeader>
    <oddFooter>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theme="5" tint="0.59999389629810485"/>
  </sheetPr>
  <dimension ref="A2:R300"/>
  <sheetViews>
    <sheetView workbookViewId="0">
      <selection activeCell="T1" sqref="T1"/>
    </sheetView>
  </sheetViews>
  <sheetFormatPr defaultColWidth="10.7109375" defaultRowHeight="11.25"/>
  <cols>
    <col min="1" max="1" width="9.7109375" style="93" customWidth="1"/>
    <col min="2" max="2" width="25.7109375" style="95" customWidth="1"/>
    <col min="3" max="4" width="11.85546875" style="95" customWidth="1"/>
    <col min="5" max="5" width="11.5703125" style="95" customWidth="1"/>
    <col min="6" max="6" width="11.85546875" style="95" customWidth="1"/>
    <col min="7" max="7" width="11.7109375" style="95" customWidth="1"/>
    <col min="8" max="8" width="11.28515625" style="95" customWidth="1"/>
    <col min="9" max="9" width="11.85546875" style="95" customWidth="1"/>
    <col min="10" max="10" width="10.7109375" style="95" customWidth="1"/>
    <col min="11" max="11" width="3.7109375" style="95" customWidth="1"/>
    <col min="12" max="12" width="13.28515625" style="95" customWidth="1"/>
    <col min="13" max="13" width="3.7109375" style="95" customWidth="1"/>
    <col min="14" max="15" width="10.7109375" style="95" customWidth="1"/>
    <col min="16" max="16" width="35.7109375" style="95" customWidth="1"/>
    <col min="17" max="16384" width="10.7109375" style="95"/>
  </cols>
  <sheetData>
    <row r="2" spans="1:18" ht="22.5" customHeight="1">
      <c r="B2" s="94" t="str">
        <f>IF(Base1_Billing2=2,"BILLED","")</f>
        <v/>
      </c>
    </row>
    <row r="4" spans="1:18" s="96" customFormat="1">
      <c r="A4" s="93" t="s">
        <v>147</v>
      </c>
      <c r="C4" s="96" t="s">
        <v>96</v>
      </c>
      <c r="D4" s="96" t="s">
        <v>101</v>
      </c>
      <c r="E4" s="96" t="s">
        <v>103</v>
      </c>
      <c r="F4" s="96" t="s">
        <v>105</v>
      </c>
      <c r="G4" s="96" t="s">
        <v>107</v>
      </c>
      <c r="H4" s="96" t="s">
        <v>109</v>
      </c>
      <c r="I4" s="96" t="s">
        <v>111</v>
      </c>
    </row>
    <row r="5" spans="1:18" s="96" customFormat="1">
      <c r="A5" s="93" t="s">
        <v>148</v>
      </c>
      <c r="C5" s="97" t="s">
        <v>87</v>
      </c>
      <c r="D5" s="97" t="s">
        <v>102</v>
      </c>
      <c r="E5" s="97" t="s">
        <v>104</v>
      </c>
      <c r="F5" s="97" t="s">
        <v>106</v>
      </c>
      <c r="G5" s="97" t="s">
        <v>108</v>
      </c>
      <c r="H5" s="97" t="s">
        <v>110</v>
      </c>
      <c r="I5" s="97" t="s">
        <v>112</v>
      </c>
      <c r="P5" s="98" t="s">
        <v>149</v>
      </c>
    </row>
    <row r="6" spans="1:18" ht="11.25" customHeight="1">
      <c r="B6" s="99" t="s">
        <v>150</v>
      </c>
      <c r="K6" s="96"/>
      <c r="L6" s="100" t="s">
        <v>151</v>
      </c>
      <c r="M6" s="96"/>
      <c r="N6" s="96"/>
      <c r="P6" s="967" t="str">
        <f>"AVISTA UTILITIES
WASHINGTON ELECTRIC
PRO FORMA REVENUE UNDER PRESENT AND PROPOSED "&amp;N9&amp;" RATES
12 MONTHS ENDED SEPTEMBER 30, 2014"</f>
        <v>AVISTA UTILITIES
WASHINGTON ELECTRIC
PRO FORMA REVENUE UNDER PRESENT AND PROPOSED BASE TARIFF RATES
12 MONTHS ENDED SEPTEMBER 30, 2014</v>
      </c>
      <c r="Q6" s="967"/>
      <c r="R6" s="967"/>
    </row>
    <row r="7" spans="1:18">
      <c r="B7" s="101" t="s">
        <v>152</v>
      </c>
      <c r="K7" s="102" t="s">
        <v>153</v>
      </c>
      <c r="L7" s="95" t="s">
        <v>154</v>
      </c>
      <c r="M7" s="96"/>
      <c r="N7" s="96"/>
      <c r="P7" s="967"/>
      <c r="Q7" s="967"/>
      <c r="R7" s="967"/>
    </row>
    <row r="8" spans="1:18">
      <c r="A8" s="93" t="s">
        <v>155</v>
      </c>
      <c r="B8" s="95" t="s">
        <v>156</v>
      </c>
      <c r="C8" s="103"/>
      <c r="D8" s="562">
        <v>1562090323.9480615</v>
      </c>
      <c r="E8" s="562">
        <v>411760124.95869529</v>
      </c>
      <c r="F8" s="562">
        <v>1262061453.0310712</v>
      </c>
      <c r="G8" s="562">
        <v>126000000</v>
      </c>
      <c r="H8" s="562">
        <v>51176200.546248734</v>
      </c>
      <c r="I8" s="562"/>
      <c r="L8" s="96" t="s">
        <v>157</v>
      </c>
      <c r="N8" s="104">
        <v>1</v>
      </c>
      <c r="P8" s="967"/>
      <c r="Q8" s="967"/>
      <c r="R8" s="967"/>
    </row>
    <row r="9" spans="1:18">
      <c r="A9" s="93" t="s">
        <v>155</v>
      </c>
      <c r="B9" s="95" t="s">
        <v>158</v>
      </c>
      <c r="C9" s="103"/>
      <c r="D9" s="562">
        <v>532041223.03140402</v>
      </c>
      <c r="E9" s="562">
        <v>184890135.04130465</v>
      </c>
      <c r="F9" s="562">
        <v>166633499.96892866</v>
      </c>
      <c r="G9" s="562">
        <v>558890760</v>
      </c>
      <c r="H9" s="562">
        <v>85950103.453751266</v>
      </c>
      <c r="I9" s="562"/>
      <c r="K9" s="102" t="s">
        <v>159</v>
      </c>
      <c r="L9" s="95" t="s">
        <v>160</v>
      </c>
      <c r="N9" s="95" t="str">
        <f>CHOOSE(Base1_Billing2,L7,L9)</f>
        <v>BASE TARIFF</v>
      </c>
      <c r="P9" s="967"/>
      <c r="Q9" s="967"/>
      <c r="R9" s="967"/>
    </row>
    <row r="10" spans="1:18">
      <c r="A10" s="93" t="s">
        <v>155</v>
      </c>
      <c r="B10" s="95" t="s">
        <v>161</v>
      </c>
      <c r="C10" s="103"/>
      <c r="D10" s="562">
        <v>349561635.02053469</v>
      </c>
      <c r="E10" s="562"/>
      <c r="F10" s="562"/>
      <c r="G10" s="562">
        <v>420481376</v>
      </c>
      <c r="H10" s="562"/>
      <c r="I10" s="562"/>
      <c r="N10" s="95" t="str">
        <f>CHOOSE(Base1_Billing2,"Base","Billing")</f>
        <v>Base</v>
      </c>
      <c r="P10" s="967"/>
      <c r="Q10" s="967"/>
      <c r="R10" s="967"/>
    </row>
    <row r="11" spans="1:18">
      <c r="B11" s="95" t="s">
        <v>162</v>
      </c>
      <c r="C11" s="103"/>
      <c r="D11" s="562"/>
      <c r="E11" s="562"/>
      <c r="F11" s="562"/>
      <c r="G11" s="562"/>
      <c r="H11" s="562"/>
      <c r="I11" s="562"/>
      <c r="P11" s="967"/>
      <c r="Q11" s="967"/>
      <c r="R11" s="967"/>
    </row>
    <row r="12" spans="1:18">
      <c r="A12" s="93" t="s">
        <v>176</v>
      </c>
      <c r="B12" s="95" t="s">
        <v>163</v>
      </c>
      <c r="C12" s="105"/>
      <c r="D12" s="563"/>
      <c r="E12" s="563"/>
      <c r="F12" s="563"/>
      <c r="G12" s="563"/>
      <c r="H12" s="563"/>
      <c r="I12" s="564">
        <v>25127765</v>
      </c>
      <c r="N12" s="103"/>
    </row>
    <row r="13" spans="1:18">
      <c r="C13" s="103"/>
      <c r="D13" s="103"/>
      <c r="E13" s="103"/>
      <c r="F13" s="103"/>
      <c r="G13" s="103"/>
      <c r="H13" s="103"/>
      <c r="I13" s="169"/>
      <c r="N13" s="106"/>
    </row>
    <row r="14" spans="1:18">
      <c r="B14" s="95" t="s">
        <v>164</v>
      </c>
      <c r="C14" s="103">
        <f>SUM(D14:I14)</f>
        <v>5736664600</v>
      </c>
      <c r="D14" s="103">
        <f t="shared" ref="D14:I14" si="0">SUM(D8:D12)</f>
        <v>2443693182</v>
      </c>
      <c r="E14" s="103">
        <f t="shared" si="0"/>
        <v>596650260</v>
      </c>
      <c r="F14" s="103">
        <f t="shared" si="0"/>
        <v>1428694952.9999998</v>
      </c>
      <c r="G14" s="103">
        <f t="shared" si="0"/>
        <v>1105372136</v>
      </c>
      <c r="H14" s="103">
        <f t="shared" si="0"/>
        <v>137126304</v>
      </c>
      <c r="I14" s="103">
        <f t="shared" si="0"/>
        <v>25127765</v>
      </c>
    </row>
    <row r="15" spans="1:18" s="108" customFormat="1">
      <c r="A15" s="93"/>
      <c r="B15" s="107"/>
      <c r="C15" s="103"/>
      <c r="D15" s="103"/>
      <c r="E15" s="103"/>
      <c r="F15" s="103"/>
      <c r="G15" s="103"/>
      <c r="H15" s="103"/>
      <c r="I15" s="103"/>
    </row>
    <row r="16" spans="1:18">
      <c r="C16" s="109"/>
      <c r="D16" s="109"/>
      <c r="E16" s="109"/>
      <c r="F16" s="109"/>
      <c r="G16" s="109"/>
      <c r="H16" s="109"/>
      <c r="I16" s="109"/>
    </row>
    <row r="17" spans="1:9">
      <c r="B17" s="95" t="s">
        <v>164</v>
      </c>
      <c r="C17" s="103">
        <f>SUM(D17:I17)</f>
        <v>5736664600</v>
      </c>
      <c r="D17" s="103">
        <f>D14+D15</f>
        <v>2443693182</v>
      </c>
      <c r="E17" s="103">
        <f t="shared" ref="E17:I17" si="1">E14+E15</f>
        <v>596650260</v>
      </c>
      <c r="F17" s="103">
        <f t="shared" si="1"/>
        <v>1428694952.9999998</v>
      </c>
      <c r="G17" s="103">
        <f t="shared" si="1"/>
        <v>1105372136</v>
      </c>
      <c r="H17" s="103">
        <f t="shared" si="1"/>
        <v>137126304</v>
      </c>
      <c r="I17" s="103">
        <f t="shared" si="1"/>
        <v>25127765</v>
      </c>
    </row>
    <row r="18" spans="1:9">
      <c r="A18" s="93" t="s">
        <v>155</v>
      </c>
      <c r="B18" s="95" t="s">
        <v>165</v>
      </c>
      <c r="C18" s="103">
        <f>SUM(D18:I18)</f>
        <v>0</v>
      </c>
      <c r="D18" s="103">
        <v>0</v>
      </c>
      <c r="E18" s="103">
        <v>0</v>
      </c>
      <c r="F18" s="103">
        <v>0</v>
      </c>
      <c r="G18" s="170">
        <v>0</v>
      </c>
      <c r="H18" s="103">
        <v>0</v>
      </c>
      <c r="I18" s="170">
        <v>0</v>
      </c>
    </row>
    <row r="19" spans="1:9">
      <c r="C19" s="109"/>
      <c r="D19" s="109"/>
      <c r="E19" s="109"/>
      <c r="F19" s="109"/>
      <c r="G19" s="109"/>
      <c r="H19" s="109"/>
      <c r="I19" s="109"/>
    </row>
    <row r="20" spans="1:9">
      <c r="B20" s="95" t="s">
        <v>166</v>
      </c>
      <c r="C20" s="103">
        <f>SUM(D20:I20)</f>
        <v>5736664600</v>
      </c>
      <c r="D20" s="103">
        <f t="shared" ref="D20:I20" si="2">D17+D18</f>
        <v>2443693182</v>
      </c>
      <c r="E20" s="103">
        <f t="shared" si="2"/>
        <v>596650260</v>
      </c>
      <c r="F20" s="103">
        <f t="shared" si="2"/>
        <v>1428694952.9999998</v>
      </c>
      <c r="G20" s="103">
        <f t="shared" si="2"/>
        <v>1105372136</v>
      </c>
      <c r="H20" s="103">
        <f t="shared" si="2"/>
        <v>137126304</v>
      </c>
      <c r="I20" s="103">
        <f t="shared" si="2"/>
        <v>25127765</v>
      </c>
    </row>
    <row r="21" spans="1:9" s="108" customFormat="1">
      <c r="A21" s="93" t="s">
        <v>167</v>
      </c>
      <c r="B21" s="107" t="s">
        <v>168</v>
      </c>
      <c r="C21" s="110">
        <f>SUM(D21:I21)</f>
        <v>-82830117</v>
      </c>
      <c r="D21" s="110">
        <f t="shared" ref="D21:H21" si="3">D142+D145</f>
        <v>-65215151</v>
      </c>
      <c r="E21" s="110">
        <f t="shared" si="3"/>
        <v>-8249024</v>
      </c>
      <c r="F21" s="110">
        <f t="shared" si="3"/>
        <v>-9466682</v>
      </c>
      <c r="G21" s="171">
        <f t="shared" si="3"/>
        <v>0</v>
      </c>
      <c r="H21" s="110">
        <f t="shared" si="3"/>
        <v>100740</v>
      </c>
      <c r="I21" s="110">
        <f>I142+I145</f>
        <v>0</v>
      </c>
    </row>
    <row r="22" spans="1:9">
      <c r="C22" s="109"/>
      <c r="D22" s="109"/>
      <c r="E22" s="109"/>
      <c r="F22" s="109"/>
      <c r="G22" s="109"/>
      <c r="H22" s="109"/>
      <c r="I22" s="109"/>
    </row>
    <row r="23" spans="1:9">
      <c r="B23" s="95" t="s">
        <v>169</v>
      </c>
      <c r="C23" s="103">
        <f>IF(ROUND(SUM(D23:I23),3)&lt;&gt;ROUND(SUM(C20:C21),3),#VALUE!,SUM(D23:I23))</f>
        <v>5653834483</v>
      </c>
      <c r="D23" s="103">
        <f t="shared" ref="D23:I23" si="4">D20+D21</f>
        <v>2378478031</v>
      </c>
      <c r="E23" s="103">
        <f t="shared" si="4"/>
        <v>588401236</v>
      </c>
      <c r="F23" s="103">
        <f t="shared" si="4"/>
        <v>1419228270.9999998</v>
      </c>
      <c r="G23" s="103">
        <f t="shared" si="4"/>
        <v>1105372136</v>
      </c>
      <c r="H23" s="103">
        <f t="shared" si="4"/>
        <v>137227044</v>
      </c>
      <c r="I23" s="103">
        <f t="shared" si="4"/>
        <v>25127765</v>
      </c>
    </row>
    <row r="24" spans="1:9">
      <c r="C24" s="103"/>
      <c r="D24" s="103"/>
      <c r="E24" s="103"/>
      <c r="F24" s="103"/>
      <c r="G24" s="103"/>
      <c r="H24" s="103"/>
      <c r="I24" s="103"/>
    </row>
    <row r="25" spans="1:9">
      <c r="A25" s="93" t="s">
        <v>155</v>
      </c>
      <c r="B25" s="95" t="s">
        <v>170</v>
      </c>
      <c r="C25" s="103"/>
      <c r="D25" s="598">
        <v>2462067</v>
      </c>
      <c r="E25" s="598">
        <v>364551.99999999994</v>
      </c>
      <c r="F25" s="598">
        <v>24110</v>
      </c>
      <c r="G25" s="598">
        <v>252</v>
      </c>
      <c r="H25" s="598">
        <v>29215.99999999996</v>
      </c>
      <c r="I25" s="598"/>
    </row>
    <row r="26" spans="1:9">
      <c r="B26" s="95" t="s">
        <v>171</v>
      </c>
      <c r="C26" s="103"/>
      <c r="D26" s="598"/>
      <c r="E26" s="598"/>
      <c r="F26" s="598"/>
      <c r="G26" s="598"/>
      <c r="H26" s="598"/>
      <c r="I26" s="598"/>
    </row>
    <row r="27" spans="1:9">
      <c r="A27" s="93" t="s">
        <v>155</v>
      </c>
      <c r="B27" s="95" t="s">
        <v>172</v>
      </c>
      <c r="C27" s="103"/>
      <c r="D27" s="598"/>
      <c r="E27" s="598">
        <v>402284</v>
      </c>
      <c r="F27" s="598">
        <v>2748136</v>
      </c>
      <c r="G27" s="598">
        <v>1276783</v>
      </c>
      <c r="H27" s="598"/>
      <c r="I27" s="598"/>
    </row>
    <row r="28" spans="1:9">
      <c r="C28" s="111"/>
      <c r="D28" s="111"/>
      <c r="E28" s="111"/>
      <c r="F28" s="111"/>
      <c r="G28" s="111"/>
      <c r="H28" s="111"/>
      <c r="I28" s="111"/>
    </row>
    <row r="29" spans="1:9" ht="12.75">
      <c r="B29" s="99" t="s">
        <v>173</v>
      </c>
    </row>
    <row r="30" spans="1:9" s="113" customFormat="1">
      <c r="A30" s="112"/>
      <c r="B30" s="101" t="s">
        <v>152</v>
      </c>
    </row>
    <row r="31" spans="1:9">
      <c r="B31" s="95" t="s">
        <v>156</v>
      </c>
      <c r="C31" s="103"/>
      <c r="D31" s="103">
        <f t="shared" ref="D31:I35" si="5">D8</f>
        <v>1562090323.9480615</v>
      </c>
      <c r="E31" s="103">
        <f t="shared" si="5"/>
        <v>411760124.95869529</v>
      </c>
      <c r="F31" s="103">
        <f t="shared" si="5"/>
        <v>1262061453.0310712</v>
      </c>
      <c r="G31" s="103">
        <f t="shared" si="5"/>
        <v>126000000</v>
      </c>
      <c r="H31" s="103">
        <f t="shared" si="5"/>
        <v>51176200.546248734</v>
      </c>
      <c r="I31" s="103">
        <f t="shared" si="5"/>
        <v>0</v>
      </c>
    </row>
    <row r="32" spans="1:9">
      <c r="B32" s="95" t="s">
        <v>158</v>
      </c>
      <c r="C32" s="103"/>
      <c r="D32" s="103">
        <f t="shared" si="5"/>
        <v>532041223.03140402</v>
      </c>
      <c r="E32" s="103">
        <f t="shared" si="5"/>
        <v>184890135.04130465</v>
      </c>
      <c r="F32" s="103">
        <f t="shared" si="5"/>
        <v>166633499.96892866</v>
      </c>
      <c r="G32" s="103">
        <f t="shared" ref="G32" si="6">G9</f>
        <v>558890760</v>
      </c>
      <c r="H32" s="103">
        <f t="shared" si="5"/>
        <v>85950103.453751266</v>
      </c>
      <c r="I32" s="103">
        <f t="shared" si="5"/>
        <v>0</v>
      </c>
    </row>
    <row r="33" spans="1:9">
      <c r="B33" s="95" t="s">
        <v>161</v>
      </c>
      <c r="C33" s="103"/>
      <c r="D33" s="103">
        <f t="shared" si="5"/>
        <v>349561635.02053469</v>
      </c>
      <c r="E33" s="103">
        <f t="shared" si="5"/>
        <v>0</v>
      </c>
      <c r="F33" s="103">
        <f t="shared" si="5"/>
        <v>0</v>
      </c>
      <c r="G33" s="103">
        <f t="shared" ref="G33" si="7">G10</f>
        <v>420481376</v>
      </c>
      <c r="H33" s="103">
        <f t="shared" si="5"/>
        <v>0</v>
      </c>
      <c r="I33" s="103">
        <f t="shared" si="5"/>
        <v>0</v>
      </c>
    </row>
    <row r="34" spans="1:9">
      <c r="B34" s="95" t="s">
        <v>162</v>
      </c>
      <c r="C34" s="103"/>
      <c r="D34" s="103">
        <f t="shared" si="5"/>
        <v>0</v>
      </c>
      <c r="E34" s="103">
        <f t="shared" si="5"/>
        <v>0</v>
      </c>
      <c r="F34" s="103">
        <f t="shared" si="5"/>
        <v>0</v>
      </c>
      <c r="G34" s="103">
        <f t="shared" si="5"/>
        <v>0</v>
      </c>
      <c r="H34" s="103">
        <f t="shared" si="5"/>
        <v>0</v>
      </c>
      <c r="I34" s="103">
        <f t="shared" si="5"/>
        <v>0</v>
      </c>
    </row>
    <row r="35" spans="1:9">
      <c r="B35" s="95" t="s">
        <v>163</v>
      </c>
      <c r="C35" s="114"/>
      <c r="D35" s="103">
        <f t="shared" si="5"/>
        <v>0</v>
      </c>
      <c r="E35" s="103">
        <f t="shared" si="5"/>
        <v>0</v>
      </c>
      <c r="F35" s="103">
        <f t="shared" si="5"/>
        <v>0</v>
      </c>
      <c r="G35" s="103">
        <f t="shared" si="5"/>
        <v>0</v>
      </c>
      <c r="H35" s="103">
        <f t="shared" si="5"/>
        <v>0</v>
      </c>
      <c r="I35" s="103">
        <f t="shared" si="5"/>
        <v>25127765</v>
      </c>
    </row>
    <row r="36" spans="1:9">
      <c r="C36" s="109"/>
      <c r="D36" s="109"/>
      <c r="E36" s="109"/>
      <c r="F36" s="109"/>
      <c r="G36" s="109"/>
      <c r="H36" s="109"/>
      <c r="I36" s="109"/>
    </row>
    <row r="37" spans="1:9">
      <c r="B37" s="95" t="s">
        <v>164</v>
      </c>
      <c r="C37" s="103">
        <f>SUM(D37:I37)</f>
        <v>5736664600</v>
      </c>
      <c r="D37" s="103">
        <f t="shared" ref="D37:I37" si="8">SUM(D31:D35)</f>
        <v>2443693182</v>
      </c>
      <c r="E37" s="103">
        <f t="shared" si="8"/>
        <v>596650260</v>
      </c>
      <c r="F37" s="103">
        <f t="shared" si="8"/>
        <v>1428694952.9999998</v>
      </c>
      <c r="G37" s="103">
        <f t="shared" si="8"/>
        <v>1105372136</v>
      </c>
      <c r="H37" s="103">
        <f t="shared" si="8"/>
        <v>137126304</v>
      </c>
      <c r="I37" s="103">
        <f t="shared" si="8"/>
        <v>25127765</v>
      </c>
    </row>
    <row r="38" spans="1:9" s="108" customFormat="1">
      <c r="A38" s="115"/>
      <c r="B38" s="116"/>
      <c r="C38" s="103">
        <f>SUM(D38:I38)</f>
        <v>0</v>
      </c>
      <c r="D38" s="110">
        <f>D15</f>
        <v>0</v>
      </c>
      <c r="E38" s="110">
        <f t="shared" ref="E38:I38" si="9">E15</f>
        <v>0</v>
      </c>
      <c r="F38" s="110">
        <f t="shared" si="9"/>
        <v>0</v>
      </c>
      <c r="G38" s="110">
        <f t="shared" si="9"/>
        <v>0</v>
      </c>
      <c r="H38" s="110">
        <f t="shared" si="9"/>
        <v>0</v>
      </c>
      <c r="I38" s="110">
        <f t="shared" si="9"/>
        <v>0</v>
      </c>
    </row>
    <row r="39" spans="1:9">
      <c r="C39" s="109"/>
      <c r="D39" s="109"/>
      <c r="E39" s="109"/>
      <c r="F39" s="109"/>
      <c r="G39" s="109"/>
      <c r="H39" s="109"/>
      <c r="I39" s="109"/>
    </row>
    <row r="40" spans="1:9">
      <c r="B40" s="95" t="s">
        <v>164</v>
      </c>
      <c r="C40" s="103">
        <f>SUM(D40:I40)</f>
        <v>5736664600</v>
      </c>
      <c r="D40" s="103">
        <f t="shared" ref="D40:I40" si="10">D37+D38</f>
        <v>2443693182</v>
      </c>
      <c r="E40" s="103">
        <f t="shared" si="10"/>
        <v>596650260</v>
      </c>
      <c r="F40" s="103">
        <f t="shared" si="10"/>
        <v>1428694952.9999998</v>
      </c>
      <c r="G40" s="103">
        <f t="shared" si="10"/>
        <v>1105372136</v>
      </c>
      <c r="H40" s="103">
        <f t="shared" si="10"/>
        <v>137126304</v>
      </c>
      <c r="I40" s="103">
        <f t="shared" si="10"/>
        <v>25127765</v>
      </c>
    </row>
    <row r="41" spans="1:9">
      <c r="B41" s="95" t="s">
        <v>165</v>
      </c>
      <c r="C41" s="103">
        <f>SUM(D41:I41)</f>
        <v>0</v>
      </c>
      <c r="D41" s="103">
        <f t="shared" ref="D41:I41" si="11">D18</f>
        <v>0</v>
      </c>
      <c r="E41" s="103">
        <f t="shared" si="11"/>
        <v>0</v>
      </c>
      <c r="F41" s="103">
        <f t="shared" si="11"/>
        <v>0</v>
      </c>
      <c r="G41" s="103">
        <f t="shared" si="11"/>
        <v>0</v>
      </c>
      <c r="H41" s="103">
        <f t="shared" si="11"/>
        <v>0</v>
      </c>
      <c r="I41" s="103">
        <f t="shared" si="11"/>
        <v>0</v>
      </c>
    </row>
    <row r="42" spans="1:9">
      <c r="C42" s="109"/>
      <c r="D42" s="109"/>
      <c r="E42" s="109"/>
      <c r="F42" s="109"/>
      <c r="G42" s="109"/>
      <c r="H42" s="109"/>
      <c r="I42" s="109"/>
    </row>
    <row r="43" spans="1:9">
      <c r="B43" s="95" t="s">
        <v>166</v>
      </c>
      <c r="C43" s="103">
        <f>SUM(D43:I43)</f>
        <v>5736664600</v>
      </c>
      <c r="D43" s="103">
        <f t="shared" ref="D43:I43" si="12">D40+D41</f>
        <v>2443693182</v>
      </c>
      <c r="E43" s="103">
        <f t="shared" si="12"/>
        <v>596650260</v>
      </c>
      <c r="F43" s="103">
        <f t="shared" si="12"/>
        <v>1428694952.9999998</v>
      </c>
      <c r="G43" s="103">
        <f t="shared" si="12"/>
        <v>1105372136</v>
      </c>
      <c r="H43" s="103">
        <f t="shared" si="12"/>
        <v>137126304</v>
      </c>
      <c r="I43" s="103">
        <f t="shared" si="12"/>
        <v>25127765</v>
      </c>
    </row>
    <row r="44" spans="1:9" s="108" customFormat="1">
      <c r="A44" s="115"/>
      <c r="B44" s="107" t="s">
        <v>168</v>
      </c>
      <c r="C44" s="110">
        <f>SUM(D44:I44)</f>
        <v>-82830117</v>
      </c>
      <c r="D44" s="110">
        <f t="shared" ref="D44:I44" si="13">D21</f>
        <v>-65215151</v>
      </c>
      <c r="E44" s="110">
        <f t="shared" si="13"/>
        <v>-8249024</v>
      </c>
      <c r="F44" s="110">
        <f t="shared" si="13"/>
        <v>-9466682</v>
      </c>
      <c r="G44" s="110">
        <f t="shared" si="13"/>
        <v>0</v>
      </c>
      <c r="H44" s="110">
        <f t="shared" si="13"/>
        <v>100740</v>
      </c>
      <c r="I44" s="110">
        <f t="shared" si="13"/>
        <v>0</v>
      </c>
    </row>
    <row r="45" spans="1:9">
      <c r="C45" s="109"/>
      <c r="D45" s="109"/>
      <c r="E45" s="109"/>
      <c r="F45" s="109"/>
      <c r="G45" s="109"/>
      <c r="H45" s="109"/>
      <c r="I45" s="109"/>
    </row>
    <row r="46" spans="1:9">
      <c r="B46" s="95" t="s">
        <v>169</v>
      </c>
      <c r="C46" s="103">
        <f>IF(ROUND(SUM(D46:I46),3)&lt;&gt;ROUND(SUM(C43:C44),3),#VALUE!,SUM(D46:I46))</f>
        <v>5653834483</v>
      </c>
      <c r="D46" s="103">
        <f t="shared" ref="D46:I46" si="14">D43+D44</f>
        <v>2378478031</v>
      </c>
      <c r="E46" s="103">
        <f t="shared" si="14"/>
        <v>588401236</v>
      </c>
      <c r="F46" s="103">
        <f t="shared" si="14"/>
        <v>1419228270.9999998</v>
      </c>
      <c r="G46" s="103">
        <f t="shared" si="14"/>
        <v>1105372136</v>
      </c>
      <c r="H46" s="103">
        <f t="shared" si="14"/>
        <v>137227044</v>
      </c>
      <c r="I46" s="103">
        <f t="shared" si="14"/>
        <v>25127765</v>
      </c>
    </row>
    <row r="47" spans="1:9">
      <c r="C47" s="103"/>
      <c r="D47" s="103"/>
      <c r="E47" s="103"/>
      <c r="F47" s="103"/>
      <c r="G47" s="103"/>
      <c r="H47" s="103"/>
      <c r="I47" s="103"/>
    </row>
    <row r="48" spans="1:9">
      <c r="B48" s="95" t="s">
        <v>170</v>
      </c>
      <c r="C48" s="103"/>
      <c r="D48" s="103">
        <f>D25</f>
        <v>2462067</v>
      </c>
      <c r="E48" s="103">
        <f>E25</f>
        <v>364551.99999999994</v>
      </c>
      <c r="F48" s="103">
        <f>F25</f>
        <v>24110</v>
      </c>
      <c r="G48" s="103">
        <f>G25</f>
        <v>252</v>
      </c>
      <c r="H48" s="103">
        <f>H25</f>
        <v>29215.99999999996</v>
      </c>
      <c r="I48" s="103"/>
    </row>
    <row r="49" spans="1:14">
      <c r="B49" s="95" t="s">
        <v>171</v>
      </c>
      <c r="C49" s="103"/>
      <c r="D49" s="103"/>
      <c r="E49" s="103"/>
      <c r="F49" s="103"/>
      <c r="G49" s="103"/>
      <c r="H49" s="103"/>
      <c r="I49" s="103"/>
    </row>
    <row r="50" spans="1:14">
      <c r="B50" s="95" t="s">
        <v>172</v>
      </c>
      <c r="C50" s="103"/>
      <c r="D50" s="103"/>
      <c r="E50" s="103">
        <f>E27</f>
        <v>402284</v>
      </c>
      <c r="F50" s="103">
        <f>F27</f>
        <v>2748136</v>
      </c>
      <c r="G50" s="103">
        <f>G27</f>
        <v>1276783</v>
      </c>
      <c r="H50" s="103"/>
      <c r="I50" s="103"/>
    </row>
    <row r="51" spans="1:14" s="96" customFormat="1">
      <c r="A51" s="93"/>
      <c r="C51" s="111"/>
      <c r="D51" s="111"/>
      <c r="E51" s="111"/>
      <c r="F51" s="111"/>
      <c r="G51" s="111"/>
      <c r="H51" s="111"/>
      <c r="I51" s="111"/>
    </row>
    <row r="52" spans="1:14" s="96" customFormat="1">
      <c r="A52" s="93"/>
      <c r="C52" s="111"/>
      <c r="D52" s="111"/>
      <c r="E52" s="111"/>
      <c r="F52" s="111"/>
      <c r="G52" s="111"/>
      <c r="H52" s="111"/>
      <c r="I52" s="111"/>
    </row>
    <row r="53" spans="1:14" s="96" customFormat="1" ht="27.75" customHeight="1">
      <c r="A53" s="93"/>
      <c r="C53" s="111"/>
      <c r="D53" s="111"/>
      <c r="E53" s="111"/>
      <c r="F53" s="111"/>
      <c r="G53" s="111"/>
      <c r="H53" s="111"/>
      <c r="I53" s="111"/>
    </row>
    <row r="54" spans="1:14" s="96" customFormat="1">
      <c r="A54" s="93"/>
      <c r="C54" s="111"/>
      <c r="D54" s="111"/>
      <c r="E54" s="111"/>
      <c r="F54" s="111"/>
      <c r="G54" s="111"/>
      <c r="H54" s="111"/>
      <c r="I54" s="111"/>
    </row>
    <row r="55" spans="1:14" s="96" customFormat="1">
      <c r="A55" s="93"/>
      <c r="C55" s="111"/>
      <c r="D55" s="117">
        <v>1</v>
      </c>
      <c r="E55" s="117">
        <v>2</v>
      </c>
      <c r="F55" s="117">
        <v>3</v>
      </c>
      <c r="G55" s="117">
        <v>4</v>
      </c>
      <c r="H55" s="117">
        <v>5</v>
      </c>
      <c r="I55" s="117">
        <v>6</v>
      </c>
      <c r="L55" s="118">
        <f>SUMPRODUCT(--(ISBLANK(D55:I55)))</f>
        <v>0</v>
      </c>
    </row>
    <row r="56" spans="1:14" s="96" customFormat="1">
      <c r="A56" s="93" t="s">
        <v>147</v>
      </c>
      <c r="C56" s="96" t="s">
        <v>96</v>
      </c>
      <c r="D56" s="96" t="s">
        <v>101</v>
      </c>
      <c r="E56" s="96" t="s">
        <v>103</v>
      </c>
      <c r="F56" s="96" t="s">
        <v>105</v>
      </c>
      <c r="G56" s="96" t="s">
        <v>107</v>
      </c>
      <c r="H56" s="96" t="s">
        <v>109</v>
      </c>
      <c r="I56" s="96" t="s">
        <v>111</v>
      </c>
      <c r="L56" s="95" t="str">
        <f ca="1">"selected in cell "&amp;CELL("address",Base1_Billing2)&amp;":"</f>
        <v>selected in cell $N$8:</v>
      </c>
    </row>
    <row r="57" spans="1:14" s="96" customFormat="1">
      <c r="A57" s="93" t="s">
        <v>148</v>
      </c>
      <c r="C57" s="97" t="s">
        <v>87</v>
      </c>
      <c r="D57" s="97" t="s">
        <v>102</v>
      </c>
      <c r="E57" s="97" t="s">
        <v>104</v>
      </c>
      <c r="F57" s="97" t="s">
        <v>106</v>
      </c>
      <c r="G57" s="97" t="s">
        <v>108</v>
      </c>
      <c r="H57" s="97" t="s">
        <v>110</v>
      </c>
      <c r="I57" s="97" t="s">
        <v>112</v>
      </c>
      <c r="L57" s="113" t="str">
        <f>N10</f>
        <v>Base</v>
      </c>
    </row>
    <row r="58" spans="1:14" ht="12.75">
      <c r="B58" s="99" t="s">
        <v>174</v>
      </c>
      <c r="L58" s="95" t="str">
        <f>"Rates_"&amp;$L$57&amp;"_Present"</f>
        <v>Rates_Base_Present</v>
      </c>
      <c r="N58" s="119" t="s">
        <v>175</v>
      </c>
    </row>
    <row r="59" spans="1:14">
      <c r="A59" s="93" t="s">
        <v>377</v>
      </c>
      <c r="B59" s="95" t="s">
        <v>177</v>
      </c>
      <c r="D59" s="602">
        <v>8.5</v>
      </c>
      <c r="E59" s="602">
        <v>18</v>
      </c>
      <c r="F59" s="602">
        <v>0</v>
      </c>
      <c r="G59" s="602">
        <v>0</v>
      </c>
      <c r="H59" s="602">
        <v>18</v>
      </c>
      <c r="I59" s="120">
        <v>0</v>
      </c>
      <c r="K59" s="121">
        <v>1</v>
      </c>
      <c r="L59" s="95" t="str">
        <f>"Rates_"&amp;$L$57&amp;"_Proposed"</f>
        <v>Rates_Base_Proposed</v>
      </c>
      <c r="N59" s="119" t="s">
        <v>178</v>
      </c>
    </row>
    <row r="60" spans="1:14" ht="12.75">
      <c r="B60" s="95" t="s">
        <v>179</v>
      </c>
      <c r="D60" s="600"/>
      <c r="E60" s="599"/>
      <c r="F60" s="599"/>
      <c r="G60" s="599"/>
      <c r="H60" s="599"/>
    </row>
    <row r="62" spans="1:14">
      <c r="A62" s="93" t="s">
        <v>377</v>
      </c>
      <c r="B62" s="95" t="s">
        <v>180</v>
      </c>
      <c r="D62" s="603">
        <v>7.5250000000000004</v>
      </c>
      <c r="E62" s="603">
        <v>11.507</v>
      </c>
      <c r="F62" s="603">
        <v>7.24</v>
      </c>
      <c r="G62" s="603">
        <v>5.6159999999999997</v>
      </c>
      <c r="H62" s="603">
        <v>9.7119999999999997</v>
      </c>
      <c r="I62" s="123">
        <v>0</v>
      </c>
      <c r="K62" s="121">
        <v>2</v>
      </c>
    </row>
    <row r="63" spans="1:14">
      <c r="A63" s="93" t="s">
        <v>377</v>
      </c>
      <c r="B63" s="95" t="s">
        <v>181</v>
      </c>
      <c r="D63" s="603">
        <v>8.7550000000000008</v>
      </c>
      <c r="E63" s="603">
        <v>8.4550000000000001</v>
      </c>
      <c r="F63" s="603">
        <v>6.4749999999999996</v>
      </c>
      <c r="G63" s="603">
        <v>5.0529999999999999</v>
      </c>
      <c r="H63" s="603">
        <v>6.9359999999999999</v>
      </c>
      <c r="I63" s="123">
        <v>0</v>
      </c>
      <c r="K63" s="121">
        <v>3</v>
      </c>
    </row>
    <row r="64" spans="1:14">
      <c r="A64" s="93" t="s">
        <v>377</v>
      </c>
      <c r="B64" s="95" t="s">
        <v>182</v>
      </c>
      <c r="D64" s="603">
        <v>10.263999999999999</v>
      </c>
      <c r="E64" s="603">
        <v>0</v>
      </c>
      <c r="F64" s="603">
        <v>0</v>
      </c>
      <c r="G64" s="603">
        <v>4.32</v>
      </c>
      <c r="H64" s="603">
        <v>0</v>
      </c>
      <c r="I64" s="123">
        <v>0</v>
      </c>
      <c r="K64" s="121">
        <v>4</v>
      </c>
    </row>
    <row r="65" spans="1:12">
      <c r="B65" s="95" t="s">
        <v>183</v>
      </c>
      <c r="D65" s="601"/>
      <c r="E65" s="601"/>
      <c r="F65" s="601"/>
      <c r="G65" s="601"/>
      <c r="H65" s="601"/>
      <c r="I65" s="124"/>
      <c r="K65" s="121">
        <v>5</v>
      </c>
    </row>
    <row r="66" spans="1:12">
      <c r="D66" s="124"/>
      <c r="E66" s="124"/>
      <c r="F66" s="124"/>
      <c r="G66" s="124"/>
      <c r="H66" s="124"/>
      <c r="I66" s="124"/>
    </row>
    <row r="67" spans="1:12">
      <c r="B67" s="95" t="s">
        <v>184</v>
      </c>
      <c r="D67" s="609">
        <v>8.1846000002466752</v>
      </c>
      <c r="E67" s="609">
        <v>10.561245460615403</v>
      </c>
      <c r="F67" s="609">
        <v>7.1507754755818773</v>
      </c>
      <c r="G67" s="609"/>
      <c r="H67" s="609">
        <v>7.9720166453257555</v>
      </c>
      <c r="I67" s="123"/>
    </row>
    <row r="68" spans="1:12">
      <c r="D68" s="607"/>
      <c r="E68" s="607"/>
      <c r="F68" s="607"/>
      <c r="G68" s="607"/>
      <c r="H68" s="607"/>
      <c r="I68" s="124"/>
    </row>
    <row r="69" spans="1:12" s="122" customFormat="1">
      <c r="A69" s="93" t="s">
        <v>377</v>
      </c>
      <c r="B69" s="122" t="s">
        <v>185</v>
      </c>
      <c r="D69" s="608">
        <v>0</v>
      </c>
      <c r="E69" s="608">
        <v>0</v>
      </c>
      <c r="F69" s="608">
        <v>500</v>
      </c>
      <c r="G69" s="608">
        <v>21000</v>
      </c>
      <c r="H69" s="608">
        <v>0</v>
      </c>
      <c r="I69" s="120">
        <v>0</v>
      </c>
      <c r="K69" s="121">
        <v>6</v>
      </c>
    </row>
    <row r="70" spans="1:12" s="122" customFormat="1">
      <c r="A70" s="93" t="s">
        <v>377</v>
      </c>
      <c r="B70" s="122" t="s">
        <v>186</v>
      </c>
      <c r="D70" s="608">
        <v>0</v>
      </c>
      <c r="E70" s="608">
        <v>6</v>
      </c>
      <c r="F70" s="608">
        <v>6</v>
      </c>
      <c r="G70" s="608">
        <v>6</v>
      </c>
      <c r="H70" s="608">
        <v>0</v>
      </c>
      <c r="I70" s="120">
        <v>0</v>
      </c>
      <c r="K70" s="121">
        <v>7</v>
      </c>
    </row>
    <row r="71" spans="1:12">
      <c r="D71" s="607"/>
      <c r="E71" s="607"/>
      <c r="F71" s="607"/>
      <c r="G71" s="607"/>
      <c r="H71" s="607"/>
      <c r="I71" s="124"/>
    </row>
    <row r="72" spans="1:12">
      <c r="D72" s="607"/>
      <c r="E72" s="607"/>
      <c r="F72" s="607"/>
      <c r="G72" s="607"/>
      <c r="H72" s="607"/>
      <c r="I72" s="124"/>
    </row>
    <row r="73" spans="1:12">
      <c r="D73" s="607"/>
      <c r="E73" s="607"/>
      <c r="F73" s="607"/>
      <c r="G73" s="607"/>
      <c r="H73" s="607"/>
      <c r="I73" s="124"/>
    </row>
    <row r="74" spans="1:12">
      <c r="D74" s="607"/>
      <c r="E74" s="607"/>
      <c r="F74" s="607"/>
      <c r="G74" s="607"/>
      <c r="H74" s="607"/>
      <c r="I74" s="124"/>
    </row>
    <row r="75" spans="1:12" ht="12.75">
      <c r="B75" s="99" t="s">
        <v>187</v>
      </c>
      <c r="D75" s="604"/>
      <c r="E75" s="604"/>
      <c r="F75" s="604"/>
      <c r="G75" s="604"/>
      <c r="H75" s="604"/>
    </row>
    <row r="76" spans="1:12">
      <c r="B76" s="95" t="s">
        <v>177</v>
      </c>
      <c r="D76" s="608">
        <v>8.5</v>
      </c>
      <c r="E76" s="608">
        <v>18</v>
      </c>
      <c r="F76" s="608"/>
      <c r="G76" s="608"/>
      <c r="H76" s="608">
        <v>18</v>
      </c>
      <c r="I76" s="120"/>
      <c r="K76" s="121">
        <v>1</v>
      </c>
      <c r="L76" s="125"/>
    </row>
    <row r="77" spans="1:12" ht="12.75">
      <c r="B77" s="95" t="s">
        <v>179</v>
      </c>
      <c r="D77" s="606"/>
      <c r="E77" s="604"/>
      <c r="F77" s="604"/>
      <c r="G77" s="604"/>
      <c r="H77" s="604"/>
    </row>
    <row r="79" spans="1:12">
      <c r="B79" s="95" t="s">
        <v>180</v>
      </c>
      <c r="C79" s="126"/>
      <c r="D79" s="609">
        <v>7.5250000000000004</v>
      </c>
      <c r="E79" s="609">
        <v>11.507</v>
      </c>
      <c r="F79" s="609">
        <v>7.24</v>
      </c>
      <c r="G79" s="609">
        <v>5.6159999999999997</v>
      </c>
      <c r="H79" s="609">
        <v>9.7119999999999997</v>
      </c>
      <c r="I79" s="123"/>
      <c r="K79" s="121">
        <v>2</v>
      </c>
    </row>
    <row r="80" spans="1:12">
      <c r="B80" s="95" t="s">
        <v>181</v>
      </c>
      <c r="C80" s="126"/>
      <c r="D80" s="609">
        <v>8.7550000000000008</v>
      </c>
      <c r="E80" s="609">
        <v>8.4550000000000001</v>
      </c>
      <c r="F80" s="609">
        <v>6.4749999999999996</v>
      </c>
      <c r="G80" s="609">
        <v>5.0529999999999999</v>
      </c>
      <c r="H80" s="609">
        <v>6.9359999999999999</v>
      </c>
      <c r="I80" s="123"/>
      <c r="K80" s="121">
        <v>3</v>
      </c>
    </row>
    <row r="81" spans="1:11">
      <c r="B81" s="95" t="s">
        <v>182</v>
      </c>
      <c r="C81" s="126"/>
      <c r="D81" s="609">
        <v>10.263999999999999</v>
      </c>
      <c r="E81" s="609"/>
      <c r="F81" s="609"/>
      <c r="G81" s="609">
        <v>4.32</v>
      </c>
      <c r="H81" s="609"/>
      <c r="I81" s="123"/>
      <c r="K81" s="121">
        <v>4</v>
      </c>
    </row>
    <row r="82" spans="1:11">
      <c r="B82" s="95" t="s">
        <v>183</v>
      </c>
      <c r="D82" s="607"/>
      <c r="E82" s="607"/>
      <c r="F82" s="607"/>
      <c r="G82" s="607"/>
      <c r="H82" s="607"/>
      <c r="I82" s="124"/>
      <c r="K82" s="121">
        <v>5</v>
      </c>
    </row>
    <row r="83" spans="1:11">
      <c r="D83" s="607"/>
      <c r="E83" s="607"/>
      <c r="F83" s="607"/>
      <c r="G83" s="607"/>
      <c r="H83" s="607"/>
      <c r="I83" s="124"/>
    </row>
    <row r="84" spans="1:11">
      <c r="B84" s="95" t="s">
        <v>184</v>
      </c>
      <c r="D84" s="609">
        <v>8.1846000002466752</v>
      </c>
      <c r="E84" s="609">
        <v>10.561245460615403</v>
      </c>
      <c r="F84" s="609">
        <v>7.1507754755818773</v>
      </c>
      <c r="G84" s="609"/>
      <c r="H84" s="609">
        <v>7.9720166453257555</v>
      </c>
      <c r="I84" s="123"/>
    </row>
    <row r="85" spans="1:11">
      <c r="D85" s="607"/>
      <c r="E85" s="607"/>
      <c r="F85" s="607"/>
      <c r="G85" s="607"/>
      <c r="H85" s="607"/>
      <c r="I85" s="124"/>
    </row>
    <row r="86" spans="1:11" s="122" customFormat="1">
      <c r="A86" s="93"/>
      <c r="B86" s="122" t="s">
        <v>185</v>
      </c>
      <c r="D86" s="608"/>
      <c r="E86" s="608"/>
      <c r="F86" s="608">
        <v>500</v>
      </c>
      <c r="G86" s="608">
        <v>21000</v>
      </c>
      <c r="H86" s="608"/>
      <c r="I86" s="120"/>
      <c r="K86" s="121">
        <v>6</v>
      </c>
    </row>
    <row r="87" spans="1:11" s="122" customFormat="1">
      <c r="A87" s="93"/>
      <c r="B87" s="122" t="s">
        <v>186</v>
      </c>
      <c r="D87" s="608"/>
      <c r="E87" s="608">
        <v>6</v>
      </c>
      <c r="F87" s="608">
        <v>6</v>
      </c>
      <c r="G87" s="608">
        <v>6</v>
      </c>
      <c r="H87" s="608"/>
      <c r="I87" s="120"/>
      <c r="K87" s="121">
        <v>7</v>
      </c>
    </row>
    <row r="88" spans="1:11" s="122" customFormat="1">
      <c r="A88" s="93"/>
      <c r="D88" s="605"/>
      <c r="E88" s="606"/>
      <c r="F88" s="606"/>
      <c r="G88" s="606"/>
      <c r="H88" s="606"/>
    </row>
    <row r="89" spans="1:11" s="122" customFormat="1">
      <c r="A89" s="93"/>
      <c r="D89" s="95"/>
    </row>
    <row r="90" spans="1:11" s="122" customFormat="1">
      <c r="A90" s="93"/>
      <c r="D90" s="95"/>
    </row>
    <row r="91" spans="1:11" s="122" customFormat="1">
      <c r="A91" s="93"/>
      <c r="D91" s="95"/>
    </row>
    <row r="92" spans="1:11" s="122" customFormat="1">
      <c r="A92" s="93"/>
      <c r="D92" s="95"/>
    </row>
    <row r="93" spans="1:11" s="122" customFormat="1">
      <c r="A93" s="93"/>
      <c r="D93" s="95"/>
    </row>
    <row r="94" spans="1:11" s="122" customFormat="1">
      <c r="A94" s="93"/>
      <c r="D94" s="95"/>
    </row>
    <row r="95" spans="1:11" s="122" customFormat="1">
      <c r="A95" s="93"/>
      <c r="B95" s="968" t="str">
        <f>CHOOSE(Base1_Billing2,"Note: Rates do not include BPA Residential Exchange Program Schedule 59, Energy Efficiency Rider Adjustment Schedule 91, or Power Cost Surcharge Schedule 93.","")</f>
        <v>Note: Rates do not include BPA Residential Exchange Program Schedule 59, Energy Efficiency Rider Adjustment Schedule 91, or Power Cost Surcharge Schedule 93.</v>
      </c>
      <c r="C95" s="969"/>
      <c r="D95" s="969"/>
      <c r="E95" s="969"/>
      <c r="F95" s="969"/>
      <c r="G95" s="969"/>
      <c r="H95" s="969"/>
    </row>
    <row r="96" spans="1:11" s="122" customFormat="1">
      <c r="A96" s="93"/>
      <c r="B96" s="969"/>
      <c r="C96" s="969"/>
      <c r="D96" s="969"/>
      <c r="E96" s="969"/>
      <c r="F96" s="969"/>
      <c r="G96" s="969"/>
      <c r="H96" s="969"/>
    </row>
    <row r="97" spans="1:9" s="122" customFormat="1">
      <c r="A97" s="93"/>
      <c r="D97" s="95"/>
    </row>
    <row r="98" spans="1:9" s="122" customFormat="1">
      <c r="A98" s="93"/>
      <c r="D98" s="95"/>
    </row>
    <row r="99" spans="1:9" s="122" customFormat="1">
      <c r="A99" s="93"/>
      <c r="D99" s="95"/>
    </row>
    <row r="100" spans="1:9" s="122" customFormat="1">
      <c r="A100" s="93"/>
      <c r="D100" s="95"/>
    </row>
    <row r="101" spans="1:9" s="122" customFormat="1">
      <c r="A101" s="93"/>
      <c r="D101" s="95"/>
    </row>
    <row r="102" spans="1:9" s="122" customFormat="1">
      <c r="A102" s="93"/>
      <c r="D102" s="95"/>
    </row>
    <row r="103" spans="1:9" s="122" customFormat="1">
      <c r="A103" s="93"/>
      <c r="D103" s="95"/>
    </row>
    <row r="104" spans="1:9" s="122" customFormat="1">
      <c r="A104" s="93"/>
      <c r="D104" s="95"/>
    </row>
    <row r="105" spans="1:9" s="122" customFormat="1">
      <c r="A105" s="93"/>
      <c r="D105" s="95"/>
    </row>
    <row r="106" spans="1:9" s="122" customFormat="1">
      <c r="A106" s="93"/>
      <c r="D106" s="95"/>
    </row>
    <row r="107" spans="1:9" s="96" customFormat="1">
      <c r="A107" s="93" t="s">
        <v>147</v>
      </c>
      <c r="C107" s="96" t="s">
        <v>96</v>
      </c>
      <c r="D107" s="96" t="s">
        <v>101</v>
      </c>
      <c r="E107" s="96" t="s">
        <v>103</v>
      </c>
      <c r="F107" s="96" t="s">
        <v>105</v>
      </c>
      <c r="G107" s="96" t="s">
        <v>107</v>
      </c>
      <c r="H107" s="96" t="s">
        <v>109</v>
      </c>
      <c r="I107" s="96" t="s">
        <v>111</v>
      </c>
    </row>
    <row r="108" spans="1:9" s="96" customFormat="1">
      <c r="A108" s="93" t="s">
        <v>148</v>
      </c>
      <c r="C108" s="97" t="s">
        <v>87</v>
      </c>
      <c r="D108" s="97" t="s">
        <v>102</v>
      </c>
      <c r="E108" s="97" t="s">
        <v>104</v>
      </c>
      <c r="F108" s="97" t="s">
        <v>106</v>
      </c>
      <c r="G108" s="97" t="s">
        <v>108</v>
      </c>
      <c r="H108" s="97" t="s">
        <v>110</v>
      </c>
      <c r="I108" s="97" t="s">
        <v>112</v>
      </c>
    </row>
    <row r="109" spans="1:9" ht="12.75">
      <c r="B109" s="99" t="s">
        <v>188</v>
      </c>
      <c r="C109" s="106"/>
      <c r="D109" s="106"/>
      <c r="E109" s="106"/>
      <c r="F109" s="106"/>
      <c r="G109" s="106"/>
      <c r="H109" s="106"/>
      <c r="I109" s="106"/>
    </row>
    <row r="110" spans="1:9">
      <c r="B110" s="95" t="str">
        <f>UPPER(CHOOSE(Base1_Billing2,$N$9,$N$10))&amp;" REVENUE"</f>
        <v>BASE TARIFF REVENUE</v>
      </c>
      <c r="C110" s="106"/>
      <c r="D110" s="106"/>
      <c r="E110" s="106"/>
      <c r="F110" s="106"/>
      <c r="G110" s="106"/>
      <c r="H110" s="106"/>
      <c r="I110" s="106"/>
    </row>
    <row r="111" spans="1:9">
      <c r="B111" s="127" t="s">
        <v>177</v>
      </c>
      <c r="C111" s="106">
        <f t="shared" ref="C111:C122" si="15">SUM(D111:I111)</f>
        <v>28015393.5</v>
      </c>
      <c r="D111" s="106">
        <f>D25*D59</f>
        <v>20927569.5</v>
      </c>
      <c r="E111" s="106">
        <f>E25*E59</f>
        <v>6561935.9999999991</v>
      </c>
      <c r="F111" s="106"/>
      <c r="G111" s="106"/>
      <c r="H111" s="106">
        <f>H25*H59</f>
        <v>525887.9999999993</v>
      </c>
      <c r="I111" s="106"/>
    </row>
    <row r="112" spans="1:9">
      <c r="B112" s="127" t="s">
        <v>179</v>
      </c>
      <c r="C112" s="103">
        <f t="shared" si="15"/>
        <v>0</v>
      </c>
      <c r="D112" s="103"/>
      <c r="E112" s="103"/>
      <c r="F112" s="103"/>
      <c r="G112" s="103"/>
      <c r="H112" s="103"/>
      <c r="I112" s="103"/>
    </row>
    <row r="113" spans="1:9">
      <c r="B113" s="127" t="s">
        <v>156</v>
      </c>
      <c r="C113" s="103">
        <f t="shared" si="15"/>
        <v>268348176.25999996</v>
      </c>
      <c r="D113" s="103">
        <f t="shared" ref="D113:H115" si="16">ROUND(D8*D62/100,2)</f>
        <v>117547296.88</v>
      </c>
      <c r="E113" s="103">
        <f t="shared" si="16"/>
        <v>47381237.579999998</v>
      </c>
      <c r="F113" s="103">
        <f t="shared" si="16"/>
        <v>91373249.200000003</v>
      </c>
      <c r="G113" s="103">
        <f t="shared" si="16"/>
        <v>7076160</v>
      </c>
      <c r="H113" s="103">
        <f t="shared" si="16"/>
        <v>4970232.5999999996</v>
      </c>
      <c r="I113" s="103"/>
    </row>
    <row r="114" spans="1:9">
      <c r="B114" s="127" t="s">
        <v>158</v>
      </c>
      <c r="C114" s="103">
        <f t="shared" si="15"/>
        <v>107204438.40000001</v>
      </c>
      <c r="D114" s="103">
        <f t="shared" si="16"/>
        <v>46580209.079999998</v>
      </c>
      <c r="E114" s="103">
        <f t="shared" si="16"/>
        <v>15632460.92</v>
      </c>
      <c r="F114" s="103">
        <f t="shared" si="16"/>
        <v>10789519.119999999</v>
      </c>
      <c r="G114" s="103">
        <f t="shared" si="16"/>
        <v>28240750.100000001</v>
      </c>
      <c r="H114" s="103">
        <f t="shared" si="16"/>
        <v>5961499.1799999997</v>
      </c>
      <c r="I114" s="103"/>
    </row>
    <row r="115" spans="1:9">
      <c r="B115" s="127" t="s">
        <v>161</v>
      </c>
      <c r="C115" s="103">
        <f t="shared" si="15"/>
        <v>54043801.659999996</v>
      </c>
      <c r="D115" s="103">
        <f>ROUND(D10*D64/100,2)</f>
        <v>35879006.219999999</v>
      </c>
      <c r="E115" s="103"/>
      <c r="F115" s="103"/>
      <c r="G115" s="103">
        <f t="shared" si="16"/>
        <v>18164795.440000001</v>
      </c>
      <c r="H115" s="103"/>
      <c r="I115" s="103"/>
    </row>
    <row r="116" spans="1:9">
      <c r="B116" s="127" t="s">
        <v>162</v>
      </c>
      <c r="C116" s="103">
        <f t="shared" si="15"/>
        <v>0</v>
      </c>
      <c r="D116" s="103"/>
      <c r="E116" s="103"/>
      <c r="F116" s="103"/>
      <c r="G116" s="103"/>
      <c r="H116" s="103"/>
      <c r="I116" s="103"/>
    </row>
    <row r="117" spans="1:9">
      <c r="B117" s="127" t="s">
        <v>185</v>
      </c>
      <c r="C117" s="103">
        <f t="shared" si="15"/>
        <v>17347000</v>
      </c>
      <c r="D117" s="103"/>
      <c r="E117" s="103"/>
      <c r="F117" s="103">
        <f>F25*F69</f>
        <v>12055000</v>
      </c>
      <c r="G117" s="103">
        <f>G25*G69</f>
        <v>5292000</v>
      </c>
      <c r="H117" s="103"/>
      <c r="I117" s="103"/>
    </row>
    <row r="118" spans="1:9">
      <c r="B118" s="127" t="s">
        <v>186</v>
      </c>
      <c r="C118" s="103">
        <f t="shared" si="15"/>
        <v>26563218</v>
      </c>
      <c r="D118" s="103"/>
      <c r="E118" s="103">
        <f>E27*E70</f>
        <v>2413704</v>
      </c>
      <c r="F118" s="103">
        <f>F27*F70</f>
        <v>16488816</v>
      </c>
      <c r="G118" s="103">
        <f>G27*G70</f>
        <v>7660698</v>
      </c>
      <c r="H118" s="103"/>
      <c r="I118" s="103"/>
    </row>
    <row r="119" spans="1:9">
      <c r="A119" s="93" t="s">
        <v>378</v>
      </c>
      <c r="B119" s="127" t="s">
        <v>189</v>
      </c>
      <c r="C119" s="103">
        <f t="shared" si="15"/>
        <v>139528</v>
      </c>
      <c r="D119" s="103"/>
      <c r="E119" s="615">
        <v>7411.5</v>
      </c>
      <c r="F119" s="615">
        <v>127296.5</v>
      </c>
      <c r="G119" s="615"/>
      <c r="H119" s="615">
        <v>4820</v>
      </c>
      <c r="I119" s="612"/>
    </row>
    <row r="120" spans="1:9">
      <c r="A120" s="93" t="s">
        <v>379</v>
      </c>
      <c r="B120" s="127" t="s">
        <v>190</v>
      </c>
      <c r="C120" s="103">
        <f t="shared" si="15"/>
        <v>-1310530.5</v>
      </c>
      <c r="D120" s="103"/>
      <c r="E120" s="612"/>
      <c r="F120" s="616">
        <v>-70490</v>
      </c>
      <c r="G120" s="612">
        <v>-1240040.5</v>
      </c>
      <c r="H120" s="612"/>
      <c r="I120" s="612"/>
    </row>
    <row r="121" spans="1:9" ht="12.75">
      <c r="A121" s="381"/>
      <c r="B121" s="127" t="s">
        <v>191</v>
      </c>
      <c r="C121" s="103">
        <f t="shared" si="15"/>
        <v>0</v>
      </c>
      <c r="D121" s="103"/>
      <c r="E121" s="612"/>
      <c r="F121" s="612"/>
      <c r="G121" s="612"/>
      <c r="H121" s="612"/>
      <c r="I121" s="612"/>
    </row>
    <row r="122" spans="1:9">
      <c r="A122" s="93" t="s">
        <v>192</v>
      </c>
      <c r="B122" s="127" t="s">
        <v>193</v>
      </c>
      <c r="C122" s="105">
        <f t="shared" si="15"/>
        <v>7019745.6002651993</v>
      </c>
      <c r="D122" s="130"/>
      <c r="E122" s="613"/>
      <c r="F122" s="613"/>
      <c r="G122" s="613"/>
      <c r="H122" s="613"/>
      <c r="I122" s="614">
        <v>7019745.6002651993</v>
      </c>
    </row>
    <row r="123" spans="1:9">
      <c r="C123" s="106"/>
      <c r="D123" s="106"/>
      <c r="E123" s="106"/>
      <c r="F123" s="106"/>
      <c r="G123" s="106"/>
      <c r="H123" s="106"/>
      <c r="I123" s="106"/>
    </row>
    <row r="124" spans="1:9">
      <c r="B124" s="95" t="s">
        <v>164</v>
      </c>
      <c r="C124" s="106">
        <f>IF(ROUND(SUM(C111:C122),3)&lt;&gt;ROUND(SUM(D124:I124),3),#VALUE!,SUM(D124:I124))</f>
        <v>507370770.92026514</v>
      </c>
      <c r="D124" s="106">
        <f t="shared" ref="D124:I124" si="17">SUM(D111:D122)</f>
        <v>220934081.67999998</v>
      </c>
      <c r="E124" s="106">
        <f t="shared" si="17"/>
        <v>71996750</v>
      </c>
      <c r="F124" s="106">
        <f t="shared" si="17"/>
        <v>130763390.82000001</v>
      </c>
      <c r="G124" s="106">
        <f t="shared" si="17"/>
        <v>65194363.040000007</v>
      </c>
      <c r="H124" s="106">
        <f t="shared" si="17"/>
        <v>11462439.779999997</v>
      </c>
      <c r="I124" s="106">
        <f t="shared" si="17"/>
        <v>7019745.6002651993</v>
      </c>
    </row>
    <row r="125" spans="1:9">
      <c r="B125" s="107"/>
      <c r="C125" s="105">
        <f>SUM(D125:I125)</f>
        <v>0</v>
      </c>
      <c r="D125" s="105">
        <f>ROUND(D15*D67/100,2)</f>
        <v>0</v>
      </c>
      <c r="E125" s="105">
        <f t="shared" ref="E125:H125" si="18">ROUND(E15*E67/100,2)</f>
        <v>0</v>
      </c>
      <c r="F125" s="105">
        <f t="shared" si="18"/>
        <v>0</v>
      </c>
      <c r="G125" s="105">
        <f>ROUND(G15*G63/100,2)</f>
        <v>0</v>
      </c>
      <c r="H125" s="105">
        <f t="shared" si="18"/>
        <v>0</v>
      </c>
      <c r="I125" s="105"/>
    </row>
    <row r="126" spans="1:9">
      <c r="C126" s="106"/>
      <c r="D126" s="106"/>
      <c r="E126" s="106"/>
      <c r="F126" s="106"/>
      <c r="G126" s="106"/>
      <c r="H126" s="106"/>
      <c r="I126" s="106"/>
    </row>
    <row r="127" spans="1:9">
      <c r="B127" s="95" t="s">
        <v>164</v>
      </c>
      <c r="C127" s="106">
        <f>SUM(D127:I127)</f>
        <v>507370770.92026514</v>
      </c>
      <c r="D127" s="106">
        <f t="shared" ref="D127:I127" si="19">D124+D125</f>
        <v>220934081.67999998</v>
      </c>
      <c r="E127" s="106">
        <f t="shared" si="19"/>
        <v>71996750</v>
      </c>
      <c r="F127" s="106">
        <f t="shared" si="19"/>
        <v>130763390.82000001</v>
      </c>
      <c r="G127" s="106">
        <f t="shared" si="19"/>
        <v>65194363.040000007</v>
      </c>
      <c r="H127" s="106">
        <f t="shared" si="19"/>
        <v>11462439.779999997</v>
      </c>
      <c r="I127" s="106">
        <f t="shared" si="19"/>
        <v>7019745.6002651993</v>
      </c>
    </row>
    <row r="128" spans="1:9">
      <c r="B128" s="95" t="s">
        <v>194</v>
      </c>
      <c r="C128" s="105">
        <f>SUM(D128:I128)</f>
        <v>0</v>
      </c>
      <c r="D128" s="105">
        <f>ROUND(D18*D67/100,2)</f>
        <v>0</v>
      </c>
      <c r="E128" s="105">
        <f t="shared" ref="E128:I128" si="20">ROUND(E18*E67/100,2)</f>
        <v>0</v>
      </c>
      <c r="F128" s="105">
        <f t="shared" si="20"/>
        <v>0</v>
      </c>
      <c r="G128" s="105">
        <f t="shared" si="20"/>
        <v>0</v>
      </c>
      <c r="H128" s="105">
        <f t="shared" si="20"/>
        <v>0</v>
      </c>
      <c r="I128" s="105">
        <f t="shared" si="20"/>
        <v>0</v>
      </c>
    </row>
    <row r="129" spans="1:9">
      <c r="C129" s="106"/>
      <c r="D129" s="106"/>
      <c r="E129" s="106"/>
      <c r="F129" s="106"/>
      <c r="G129" s="106"/>
      <c r="H129" s="106"/>
      <c r="I129" s="106"/>
    </row>
    <row r="130" spans="1:9">
      <c r="B130" s="95" t="str">
        <f>"TOTAL "&amp;UPPER(CHOOSE(Base1_Billing2,$N$9,$N$10))&amp;" REVENUE"</f>
        <v>TOTAL BASE TARIFF REVENUE</v>
      </c>
      <c r="C130" s="106">
        <f>IF(ROUND(SUM(D130:I130),3)&lt;&gt;ROUND(SUM(C127:C128),3),#VALUE!,SUM(D130:I130))</f>
        <v>507370770.92026514</v>
      </c>
      <c r="D130" s="106">
        <f t="shared" ref="D130:I130" si="21">D127+D128</f>
        <v>220934081.67999998</v>
      </c>
      <c r="E130" s="106">
        <f t="shared" si="21"/>
        <v>71996750</v>
      </c>
      <c r="F130" s="106">
        <f t="shared" si="21"/>
        <v>130763390.82000001</v>
      </c>
      <c r="G130" s="106">
        <f t="shared" si="21"/>
        <v>65194363.040000007</v>
      </c>
      <c r="H130" s="106">
        <f t="shared" si="21"/>
        <v>11462439.779999997</v>
      </c>
      <c r="I130" s="106">
        <f t="shared" si="21"/>
        <v>7019745.6002651993</v>
      </c>
    </row>
    <row r="131" spans="1:9">
      <c r="C131" s="106"/>
      <c r="D131" s="106"/>
      <c r="E131" s="106"/>
      <c r="F131" s="106"/>
      <c r="G131" s="106"/>
      <c r="H131" s="106"/>
      <c r="I131" s="106"/>
    </row>
    <row r="132" spans="1:9">
      <c r="B132" s="95" t="s">
        <v>195</v>
      </c>
      <c r="C132" s="106"/>
      <c r="D132" s="106"/>
      <c r="E132" s="106"/>
      <c r="F132" s="106"/>
      <c r="G132" s="106"/>
      <c r="H132" s="106"/>
      <c r="I132" s="106"/>
    </row>
    <row r="133" spans="1:9">
      <c r="B133" s="131" t="s">
        <v>196</v>
      </c>
      <c r="C133" s="106"/>
      <c r="D133" s="106"/>
      <c r="E133" s="106"/>
      <c r="F133" s="106"/>
      <c r="G133" s="106"/>
      <c r="H133" s="106"/>
      <c r="I133" s="106"/>
    </row>
    <row r="134" spans="1:9" s="103" customFormat="1">
      <c r="A134" s="132" t="s">
        <v>380</v>
      </c>
      <c r="B134" s="133" t="s">
        <v>197</v>
      </c>
      <c r="C134" s="103">
        <f>SUM(D134:I134)</f>
        <v>-2786906</v>
      </c>
      <c r="D134" s="617">
        <v>-3326043</v>
      </c>
      <c r="E134" s="617">
        <v>230343</v>
      </c>
      <c r="F134" s="617">
        <v>208054</v>
      </c>
      <c r="G134" s="617"/>
      <c r="H134" s="617">
        <v>100740</v>
      </c>
      <c r="I134" s="398"/>
    </row>
    <row r="135" spans="1:9" s="124" customFormat="1">
      <c r="A135" s="93" t="s">
        <v>198</v>
      </c>
      <c r="B135" s="134" t="s">
        <v>199</v>
      </c>
      <c r="D135" s="124">
        <f>D67</f>
        <v>8.1846000002466752</v>
      </c>
      <c r="E135" s="124">
        <f>E67</f>
        <v>10.561245460615403</v>
      </c>
      <c r="F135" s="124">
        <f>F67</f>
        <v>7.1507754755818773</v>
      </c>
      <c r="H135" s="135">
        <f>H67</f>
        <v>7.9720166453257555</v>
      </c>
    </row>
    <row r="136" spans="1:9" s="106" customFormat="1">
      <c r="A136" s="93"/>
      <c r="B136" s="136" t="s">
        <v>200</v>
      </c>
      <c r="C136" s="106">
        <f>SUM(D136:I136)</f>
        <v>-224987.75</v>
      </c>
      <c r="D136" s="137">
        <f>ROUND(D134*D135/100,2)</f>
        <v>-272223.32</v>
      </c>
      <c r="E136" s="137">
        <f>ROUND(E134*E135/100,2)</f>
        <v>24327.09</v>
      </c>
      <c r="F136" s="137">
        <f>ROUND(F134*F135/100,2)</f>
        <v>14877.47</v>
      </c>
      <c r="G136" s="137"/>
      <c r="H136" s="137">
        <f>ROUND(H134*H135/100,2)</f>
        <v>8031.01</v>
      </c>
      <c r="I136" s="137"/>
    </row>
    <row r="137" spans="1:9" s="106" customFormat="1">
      <c r="A137" s="93"/>
      <c r="B137" s="136"/>
    </row>
    <row r="138" spans="1:9" s="108" customFormat="1">
      <c r="A138" s="93" t="s">
        <v>201</v>
      </c>
      <c r="B138" s="136" t="s">
        <v>202</v>
      </c>
      <c r="C138" s="110">
        <f>SUM(D138:I138)</f>
        <v>0</v>
      </c>
      <c r="D138" s="399">
        <v>0</v>
      </c>
      <c r="E138" s="399">
        <v>0</v>
      </c>
      <c r="F138" s="399">
        <v>0</v>
      </c>
      <c r="G138" s="138"/>
      <c r="H138" s="138"/>
      <c r="I138" s="138"/>
    </row>
    <row r="139" spans="1:9" s="124" customFormat="1">
      <c r="A139" s="93" t="s">
        <v>198</v>
      </c>
      <c r="B139" s="134" t="s">
        <v>203</v>
      </c>
      <c r="D139" s="135">
        <f>I226</f>
        <v>9.4051426186336364</v>
      </c>
      <c r="E139" s="135">
        <f>I245</f>
        <v>8.4550000000000018</v>
      </c>
      <c r="F139" s="124">
        <f>I278</f>
        <v>6.4750000000000005</v>
      </c>
    </row>
    <row r="140" spans="1:9" s="106" customFormat="1">
      <c r="A140" s="93"/>
      <c r="B140" s="136" t="s">
        <v>204</v>
      </c>
      <c r="C140" s="106">
        <f>SUM(D140:I140)</f>
        <v>0</v>
      </c>
      <c r="D140" s="139">
        <f>ROUND(D138*D139/100,2)</f>
        <v>0</v>
      </c>
      <c r="E140" s="139">
        <f>ROUND(E138*E139/100,2)</f>
        <v>0</v>
      </c>
      <c r="F140" s="139">
        <f>ROUND(F138*F139/100,2)</f>
        <v>0</v>
      </c>
      <c r="G140" s="137"/>
      <c r="H140" s="137"/>
      <c r="I140" s="137"/>
    </row>
    <row r="141" spans="1:9" s="106" customFormat="1">
      <c r="A141" s="93"/>
      <c r="B141" s="136"/>
      <c r="D141" s="140"/>
      <c r="E141" s="140"/>
    </row>
    <row r="142" spans="1:9" s="111" customFormat="1">
      <c r="A142" s="132" t="s">
        <v>380</v>
      </c>
      <c r="B142" s="141" t="s">
        <v>205</v>
      </c>
      <c r="C142" s="103">
        <f>IF(ROUND(C134+C138,3)&lt;&gt;ROUND(SUM(D142:I142),3),#VALUE!,C134+C138)</f>
        <v>-2786906</v>
      </c>
      <c r="D142" s="128">
        <f>D134+D138</f>
        <v>-3326043</v>
      </c>
      <c r="E142" s="128">
        <f>E134+E138</f>
        <v>230343</v>
      </c>
      <c r="F142" s="103">
        <f>F134+F138</f>
        <v>208054</v>
      </c>
      <c r="G142" s="103"/>
      <c r="H142" s="103">
        <f>H134+H138</f>
        <v>100740</v>
      </c>
      <c r="I142" s="103">
        <f>I134+I138</f>
        <v>0</v>
      </c>
    </row>
    <row r="143" spans="1:9" s="106" customFormat="1">
      <c r="A143" s="93"/>
      <c r="B143" s="136" t="s">
        <v>206</v>
      </c>
      <c r="C143" s="106">
        <f>IF(ROUND(C136+C140,3)&lt;&gt;ROUND(SUM(D143:I143),3),#VALUE!,C136+C140)</f>
        <v>-224987.75</v>
      </c>
      <c r="D143" s="140">
        <f>D136+D140</f>
        <v>-272223.32</v>
      </c>
      <c r="E143" s="140">
        <f>E136+E140</f>
        <v>24327.09</v>
      </c>
      <c r="F143" s="106">
        <f>F136+F140</f>
        <v>14877.47</v>
      </c>
      <c r="H143" s="106">
        <f>H136+H140</f>
        <v>8031.01</v>
      </c>
    </row>
    <row r="144" spans="1:9" ht="12.75">
      <c r="A144" s="381"/>
      <c r="B144" s="131" t="s">
        <v>207</v>
      </c>
      <c r="C144" s="106"/>
      <c r="D144" s="140"/>
      <c r="E144" s="140"/>
      <c r="F144" s="106"/>
      <c r="G144" s="106"/>
      <c r="H144" s="106"/>
      <c r="I144" s="106"/>
    </row>
    <row r="145" spans="1:9" s="108" customFormat="1">
      <c r="A145" s="132" t="s">
        <v>381</v>
      </c>
      <c r="B145" s="134" t="s">
        <v>202</v>
      </c>
      <c r="C145" s="108">
        <f>SUM(D145:I145)</f>
        <v>-80043211</v>
      </c>
      <c r="D145" s="619">
        <v>-61889108</v>
      </c>
      <c r="E145" s="619">
        <v>-8479367</v>
      </c>
      <c r="F145" s="620">
        <v>-9674736</v>
      </c>
      <c r="G145" s="619"/>
      <c r="H145" s="618"/>
      <c r="I145" s="618"/>
    </row>
    <row r="146" spans="1:9" s="124" customFormat="1">
      <c r="A146" s="93" t="s">
        <v>198</v>
      </c>
      <c r="B146" s="134" t="s">
        <v>203</v>
      </c>
      <c r="C146" s="142"/>
      <c r="D146" s="124">
        <f>I226</f>
        <v>9.4051426186336364</v>
      </c>
      <c r="E146" s="124">
        <f>I245</f>
        <v>8.4550000000000018</v>
      </c>
      <c r="F146" s="124">
        <f>I278</f>
        <v>6.4750000000000005</v>
      </c>
    </row>
    <row r="147" spans="1:9" s="106" customFormat="1">
      <c r="A147" s="93"/>
      <c r="B147" s="136" t="s">
        <v>204</v>
      </c>
      <c r="C147" s="106">
        <f>SUM(D147:I147)</f>
        <v>-7164128.5099999998</v>
      </c>
      <c r="D147" s="137">
        <f>ROUND(D145*D146/100,2)</f>
        <v>-5820758.8700000001</v>
      </c>
      <c r="E147" s="137">
        <f>ROUND(E145*E146/100,2)</f>
        <v>-716930.48</v>
      </c>
      <c r="F147" s="137">
        <f>ROUND(F145*F146/100,2)</f>
        <v>-626439.16</v>
      </c>
      <c r="G147" s="137"/>
      <c r="H147" s="137"/>
      <c r="I147" s="137"/>
    </row>
    <row r="148" spans="1:9">
      <c r="C148" s="106"/>
      <c r="D148" s="106"/>
      <c r="E148" s="106"/>
      <c r="F148" s="106"/>
      <c r="G148" s="106"/>
      <c r="H148" s="106"/>
      <c r="I148" s="106"/>
    </row>
    <row r="149" spans="1:9">
      <c r="B149" s="95" t="s">
        <v>208</v>
      </c>
      <c r="C149" s="106">
        <f>IF(ROUND(C143+C147,3)&lt;&gt;ROUND(SUM(D149:I149),3),#VALUE!,C143+C147)</f>
        <v>-7389116.2599999998</v>
      </c>
      <c r="D149" s="106">
        <f>D147+D143</f>
        <v>-6092982.1900000004</v>
      </c>
      <c r="E149" s="106">
        <f>E147+E143</f>
        <v>-692603.39</v>
      </c>
      <c r="F149" s="106">
        <f>F147+F143</f>
        <v>-611561.69000000006</v>
      </c>
      <c r="G149" s="106"/>
      <c r="H149" s="106">
        <f>H147+H143</f>
        <v>8031.01</v>
      </c>
      <c r="I149" s="106"/>
    </row>
    <row r="150" spans="1:9">
      <c r="B150" s="127" t="s">
        <v>422</v>
      </c>
      <c r="C150" s="103">
        <f t="shared" ref="C150:I150" si="22">C130</f>
        <v>507370770.92026514</v>
      </c>
      <c r="D150" s="103">
        <f t="shared" si="22"/>
        <v>220934081.67999998</v>
      </c>
      <c r="E150" s="103">
        <f t="shared" si="22"/>
        <v>71996750</v>
      </c>
      <c r="F150" s="103">
        <f t="shared" si="22"/>
        <v>130763390.82000001</v>
      </c>
      <c r="G150" s="103">
        <f t="shared" si="22"/>
        <v>65194363.040000007</v>
      </c>
      <c r="H150" s="103">
        <f t="shared" si="22"/>
        <v>11462439.779999997</v>
      </c>
      <c r="I150" s="103">
        <f t="shared" si="22"/>
        <v>7019745.6002651993</v>
      </c>
    </row>
    <row r="151" spans="1:9">
      <c r="C151" s="137"/>
      <c r="D151" s="137"/>
      <c r="E151" s="137"/>
      <c r="F151" s="137"/>
      <c r="G151" s="137"/>
      <c r="H151" s="137"/>
      <c r="I151" s="137"/>
    </row>
    <row r="152" spans="1:9">
      <c r="B152" s="127" t="s">
        <v>161</v>
      </c>
      <c r="C152" s="106">
        <f>IF(ROUND(C149+C150,3)&lt;&gt;ROUND(SUM(D152:I152),3),#VALUE!,SUM(D152:I152))</f>
        <v>499981654.66026521</v>
      </c>
      <c r="D152" s="106">
        <f t="shared" ref="D152:I152" si="23">D149+D150</f>
        <v>214841099.48999998</v>
      </c>
      <c r="E152" s="106">
        <f t="shared" si="23"/>
        <v>71304146.609999999</v>
      </c>
      <c r="F152" s="106">
        <f t="shared" si="23"/>
        <v>130151829.13000001</v>
      </c>
      <c r="G152" s="106">
        <f t="shared" si="23"/>
        <v>65194363.040000007</v>
      </c>
      <c r="H152" s="106">
        <f t="shared" si="23"/>
        <v>11470470.789999997</v>
      </c>
      <c r="I152" s="106">
        <f t="shared" si="23"/>
        <v>7019745.6002651993</v>
      </c>
    </row>
    <row r="153" spans="1:9">
      <c r="C153" s="106"/>
      <c r="D153" s="106"/>
      <c r="E153" s="143"/>
      <c r="F153" s="106"/>
      <c r="G153" s="106"/>
      <c r="H153" s="106"/>
      <c r="I153" s="106"/>
    </row>
    <row r="154" spans="1:9">
      <c r="B154" s="134" t="s">
        <v>578</v>
      </c>
      <c r="C154" s="106"/>
      <c r="D154" s="106"/>
      <c r="E154" s="106"/>
      <c r="F154" s="106"/>
      <c r="G154" s="106"/>
      <c r="H154" s="106"/>
      <c r="I154" s="106"/>
    </row>
    <row r="155" spans="1:9">
      <c r="C155" s="106"/>
      <c r="D155" s="106"/>
      <c r="E155" s="106"/>
      <c r="F155" s="106"/>
      <c r="G155" s="106"/>
      <c r="H155" s="106"/>
      <c r="I155" s="106"/>
    </row>
    <row r="156" spans="1:9">
      <c r="C156" s="106"/>
      <c r="D156" s="106"/>
      <c r="E156" s="106"/>
      <c r="F156" s="106"/>
      <c r="G156" s="106"/>
      <c r="H156" s="106"/>
      <c r="I156" s="106"/>
    </row>
    <row r="157" spans="1:9">
      <c r="C157" s="106"/>
      <c r="D157" s="106"/>
      <c r="E157" s="106"/>
      <c r="F157" s="106"/>
      <c r="G157" s="106"/>
      <c r="H157" s="106"/>
      <c r="I157" s="106"/>
    </row>
    <row r="158" spans="1:9">
      <c r="C158" s="106"/>
      <c r="D158" s="106"/>
      <c r="E158" s="106"/>
      <c r="F158" s="106"/>
      <c r="G158" s="106"/>
      <c r="H158" s="106"/>
      <c r="I158" s="106"/>
    </row>
    <row r="159" spans="1:9">
      <c r="C159" s="106"/>
      <c r="D159" s="106"/>
      <c r="E159" s="106"/>
      <c r="F159" s="106"/>
      <c r="G159" s="106"/>
      <c r="H159" s="106"/>
      <c r="I159" s="106"/>
    </row>
    <row r="160" spans="1:9" s="96" customFormat="1">
      <c r="A160" s="93" t="s">
        <v>147</v>
      </c>
      <c r="C160" s="96" t="s">
        <v>96</v>
      </c>
      <c r="D160" s="96" t="s">
        <v>101</v>
      </c>
      <c r="E160" s="96" t="s">
        <v>103</v>
      </c>
      <c r="F160" s="96" t="s">
        <v>105</v>
      </c>
      <c r="G160" s="96" t="s">
        <v>107</v>
      </c>
      <c r="H160" s="96" t="s">
        <v>109</v>
      </c>
      <c r="I160" s="96" t="s">
        <v>111</v>
      </c>
    </row>
    <row r="161" spans="1:9" s="96" customFormat="1">
      <c r="A161" s="93" t="s">
        <v>148</v>
      </c>
      <c r="C161" s="97" t="s">
        <v>87</v>
      </c>
      <c r="D161" s="97" t="s">
        <v>102</v>
      </c>
      <c r="E161" s="97" t="s">
        <v>104</v>
      </c>
      <c r="F161" s="97" t="s">
        <v>106</v>
      </c>
      <c r="G161" s="97" t="s">
        <v>108</v>
      </c>
      <c r="H161" s="97" t="s">
        <v>110</v>
      </c>
      <c r="I161" s="97" t="s">
        <v>112</v>
      </c>
    </row>
    <row r="162" spans="1:9" ht="12.75">
      <c r="B162" s="99" t="s">
        <v>210</v>
      </c>
      <c r="C162" s="106"/>
      <c r="D162" s="106"/>
      <c r="E162" s="106"/>
      <c r="F162" s="106"/>
      <c r="G162" s="106"/>
      <c r="H162" s="106"/>
      <c r="I162" s="106"/>
    </row>
    <row r="163" spans="1:9">
      <c r="B163" s="95" t="str">
        <f>UPPER(CHOOSE(Base1_Billing2,$N$9,$N$10))&amp;" REVENUE"</f>
        <v>BASE TARIFF REVENUE</v>
      </c>
      <c r="C163" s="106"/>
      <c r="D163" s="106"/>
      <c r="E163" s="106"/>
      <c r="F163" s="106"/>
      <c r="G163" s="106"/>
      <c r="H163" s="106"/>
      <c r="I163" s="106"/>
    </row>
    <row r="164" spans="1:9">
      <c r="B164" s="127" t="s">
        <v>422</v>
      </c>
      <c r="C164" s="106">
        <f t="shared" ref="C164:C175" si="24">SUM(D164:I164)</f>
        <v>28015393.5</v>
      </c>
      <c r="D164" s="106">
        <f>D48*D76</f>
        <v>20927569.5</v>
      </c>
      <c r="E164" s="106">
        <f>E48*E76</f>
        <v>6561935.9999999991</v>
      </c>
      <c r="F164" s="106"/>
      <c r="G164" s="106"/>
      <c r="H164" s="106">
        <f>H48*H76</f>
        <v>525887.9999999993</v>
      </c>
      <c r="I164" s="106"/>
    </row>
    <row r="165" spans="1:9">
      <c r="B165" s="127" t="s">
        <v>179</v>
      </c>
      <c r="C165" s="103">
        <f t="shared" si="24"/>
        <v>0</v>
      </c>
      <c r="D165" s="103">
        <f>D49*D77</f>
        <v>0</v>
      </c>
      <c r="E165" s="103"/>
      <c r="F165" s="103"/>
      <c r="G165" s="103"/>
      <c r="H165" s="103"/>
      <c r="I165" s="103"/>
    </row>
    <row r="166" spans="1:9">
      <c r="B166" s="127" t="s">
        <v>574</v>
      </c>
      <c r="C166" s="103">
        <f t="shared" si="24"/>
        <v>268348176.25999996</v>
      </c>
      <c r="D166" s="103">
        <f t="shared" ref="D166:H168" si="25">ROUND(D31*D79/100,2)</f>
        <v>117547296.88</v>
      </c>
      <c r="E166" s="103">
        <f t="shared" si="25"/>
        <v>47381237.579999998</v>
      </c>
      <c r="F166" s="103">
        <f t="shared" si="25"/>
        <v>91373249.200000003</v>
      </c>
      <c r="G166" s="103">
        <f t="shared" si="25"/>
        <v>7076160</v>
      </c>
      <c r="H166" s="103">
        <f>ROUND(H31*H79/100,2)</f>
        <v>4970232.5999999996</v>
      </c>
      <c r="I166" s="103"/>
    </row>
    <row r="167" spans="1:9">
      <c r="B167" s="127" t="s">
        <v>158</v>
      </c>
      <c r="C167" s="103">
        <f t="shared" si="24"/>
        <v>107204438.40000001</v>
      </c>
      <c r="D167" s="103">
        <f t="shared" si="25"/>
        <v>46580209.079999998</v>
      </c>
      <c r="E167" s="103">
        <f t="shared" si="25"/>
        <v>15632460.92</v>
      </c>
      <c r="F167" s="103">
        <f t="shared" si="25"/>
        <v>10789519.119999999</v>
      </c>
      <c r="G167" s="103">
        <f t="shared" si="25"/>
        <v>28240750.100000001</v>
      </c>
      <c r="H167" s="103">
        <f t="shared" si="25"/>
        <v>5961499.1799999997</v>
      </c>
      <c r="I167" s="103"/>
    </row>
    <row r="168" spans="1:9">
      <c r="B168" s="127" t="s">
        <v>161</v>
      </c>
      <c r="C168" s="103">
        <f t="shared" si="24"/>
        <v>54043801.659999996</v>
      </c>
      <c r="D168" s="103">
        <f>ROUND(D33*D81/100,2)</f>
        <v>35879006.219999999</v>
      </c>
      <c r="E168" s="103"/>
      <c r="F168" s="103"/>
      <c r="G168" s="103">
        <f t="shared" si="25"/>
        <v>18164795.440000001</v>
      </c>
      <c r="H168" s="103"/>
      <c r="I168" s="103"/>
    </row>
    <row r="169" spans="1:9">
      <c r="B169" s="127" t="s">
        <v>162</v>
      </c>
      <c r="C169" s="103">
        <f t="shared" si="24"/>
        <v>0</v>
      </c>
      <c r="D169" s="103">
        <f>ROUND(D34*D82/100,2)</f>
        <v>0</v>
      </c>
      <c r="E169" s="103"/>
      <c r="F169" s="103"/>
      <c r="G169" s="103"/>
      <c r="H169" s="103"/>
      <c r="I169" s="103"/>
    </row>
    <row r="170" spans="1:9">
      <c r="B170" s="127" t="s">
        <v>576</v>
      </c>
      <c r="C170" s="103">
        <f t="shared" si="24"/>
        <v>17347000</v>
      </c>
      <c r="D170" s="103"/>
      <c r="E170" s="103"/>
      <c r="F170" s="103">
        <f>ROUND(F48*F86,2)</f>
        <v>12055000</v>
      </c>
      <c r="G170" s="103">
        <f>ROUND(G48*G86,2)</f>
        <v>5292000</v>
      </c>
      <c r="H170" s="103"/>
      <c r="I170" s="103"/>
    </row>
    <row r="171" spans="1:9">
      <c r="B171" s="127" t="s">
        <v>186</v>
      </c>
      <c r="C171" s="103">
        <f t="shared" si="24"/>
        <v>26563218</v>
      </c>
      <c r="D171" s="103"/>
      <c r="E171" s="103">
        <f>ROUND(E50*E87,2)</f>
        <v>2413704</v>
      </c>
      <c r="F171" s="103">
        <f>ROUND(F50*F87,2)</f>
        <v>16488816</v>
      </c>
      <c r="G171" s="103">
        <f>ROUND(G50*G87,2)</f>
        <v>7660698</v>
      </c>
      <c r="H171" s="103"/>
      <c r="I171" s="103"/>
    </row>
    <row r="172" spans="1:9">
      <c r="B172" s="134" t="s">
        <v>578</v>
      </c>
      <c r="C172" s="103">
        <f t="shared" si="24"/>
        <v>139528</v>
      </c>
      <c r="D172" s="103"/>
      <c r="E172" s="103">
        <f>E119</f>
        <v>7411.5</v>
      </c>
      <c r="F172" s="103">
        <f>F119</f>
        <v>127296.5</v>
      </c>
      <c r="G172" s="103"/>
      <c r="H172" s="103">
        <f>H119</f>
        <v>4820</v>
      </c>
      <c r="I172" s="103"/>
    </row>
    <row r="173" spans="1:9">
      <c r="B173" s="127" t="s">
        <v>190</v>
      </c>
      <c r="C173" s="103">
        <f t="shared" si="24"/>
        <v>-1310530.5</v>
      </c>
      <c r="D173" s="103"/>
      <c r="E173" s="103"/>
      <c r="F173" s="103">
        <f>F120</f>
        <v>-70490</v>
      </c>
      <c r="G173" s="622">
        <v>-1240040.5</v>
      </c>
      <c r="H173" s="103"/>
      <c r="I173" s="103"/>
    </row>
    <row r="174" spans="1:9">
      <c r="B174" s="127" t="s">
        <v>191</v>
      </c>
      <c r="C174" s="103">
        <f t="shared" si="24"/>
        <v>0</v>
      </c>
      <c r="D174" s="103"/>
      <c r="E174" s="103"/>
      <c r="F174" s="103"/>
      <c r="G174" s="103"/>
      <c r="H174" s="103"/>
      <c r="I174" s="103"/>
    </row>
    <row r="175" spans="1:9">
      <c r="A175" s="93" t="s">
        <v>192</v>
      </c>
      <c r="B175" s="127" t="s">
        <v>193</v>
      </c>
      <c r="C175" s="105">
        <f t="shared" si="24"/>
        <v>7019745.6005999986</v>
      </c>
      <c r="D175" s="105"/>
      <c r="E175" s="130"/>
      <c r="F175" s="130"/>
      <c r="G175" s="130"/>
      <c r="H175" s="130"/>
      <c r="I175" s="621">
        <v>7019745.6005999986</v>
      </c>
    </row>
    <row r="176" spans="1:9">
      <c r="B176" s="95" t="s">
        <v>575</v>
      </c>
      <c r="C176" s="106"/>
      <c r="D176" s="106"/>
      <c r="E176" s="106"/>
      <c r="F176" s="106"/>
      <c r="G176" s="106"/>
      <c r="H176" s="106"/>
      <c r="I176" s="106"/>
    </row>
    <row r="177" spans="1:9">
      <c r="B177" s="95" t="s">
        <v>164</v>
      </c>
      <c r="C177" s="106">
        <f>IF(ROUND(SUM(C164:C175),3)&lt;&gt;ROUND(SUM(D177:I177),3),#VALUE!,SUM(D177:I177))</f>
        <v>507370770.92059994</v>
      </c>
      <c r="D177" s="106">
        <f t="shared" ref="D177:I177" si="26">SUM(D164:D175)</f>
        <v>220934081.67999998</v>
      </c>
      <c r="E177" s="106">
        <f t="shared" si="26"/>
        <v>71996750</v>
      </c>
      <c r="F177" s="106">
        <f t="shared" si="26"/>
        <v>130763390.82000001</v>
      </c>
      <c r="G177" s="106">
        <f t="shared" si="26"/>
        <v>65194363.040000007</v>
      </c>
      <c r="H177" s="106">
        <f t="shared" si="26"/>
        <v>11462439.779999997</v>
      </c>
      <c r="I177" s="106">
        <f t="shared" si="26"/>
        <v>7019745.6005999986</v>
      </c>
    </row>
    <row r="178" spans="1:9">
      <c r="B178" s="107"/>
      <c r="C178" s="105">
        <f>SUM(D178:I178)</f>
        <v>0</v>
      </c>
      <c r="D178" s="105">
        <f>ROUND(D38*D84/100,2)</f>
        <v>0</v>
      </c>
      <c r="E178" s="105">
        <f t="shared" ref="E178:H178" si="27">ROUND(E38*E84/100,2)</f>
        <v>0</v>
      </c>
      <c r="F178" s="105">
        <f t="shared" si="27"/>
        <v>0</v>
      </c>
      <c r="G178" s="105">
        <f>ROUND(G38*G80/100,2)</f>
        <v>0</v>
      </c>
      <c r="H178" s="105">
        <f t="shared" si="27"/>
        <v>0</v>
      </c>
      <c r="I178" s="105">
        <v>0</v>
      </c>
    </row>
    <row r="179" spans="1:9">
      <c r="C179" s="106"/>
      <c r="D179" s="106"/>
      <c r="E179" s="144"/>
      <c r="F179" s="144"/>
      <c r="G179" s="106"/>
      <c r="H179" s="106"/>
      <c r="I179" s="106"/>
    </row>
    <row r="180" spans="1:9">
      <c r="B180" s="95" t="s">
        <v>164</v>
      </c>
      <c r="C180" s="106">
        <f>SUM(D180:I180)</f>
        <v>507370770.92059994</v>
      </c>
      <c r="D180" s="106">
        <f t="shared" ref="D180:I180" si="28">D177+D178</f>
        <v>220934081.67999998</v>
      </c>
      <c r="E180" s="106">
        <f t="shared" si="28"/>
        <v>71996750</v>
      </c>
      <c r="F180" s="106">
        <f t="shared" si="28"/>
        <v>130763390.82000001</v>
      </c>
      <c r="G180" s="106">
        <f t="shared" si="28"/>
        <v>65194363.040000007</v>
      </c>
      <c r="H180" s="106">
        <f t="shared" si="28"/>
        <v>11462439.779999997</v>
      </c>
      <c r="I180" s="106">
        <f t="shared" si="28"/>
        <v>7019745.6005999986</v>
      </c>
    </row>
    <row r="181" spans="1:9">
      <c r="B181" s="95" t="s">
        <v>194</v>
      </c>
      <c r="C181" s="103">
        <f>SUM(D181:I181)</f>
        <v>0</v>
      </c>
      <c r="D181" s="103">
        <f t="shared" ref="D181:I181" si="29">ROUND(D41*D84/100,2)</f>
        <v>0</v>
      </c>
      <c r="E181" s="103">
        <f t="shared" si="29"/>
        <v>0</v>
      </c>
      <c r="F181" s="103">
        <f t="shared" si="29"/>
        <v>0</v>
      </c>
      <c r="G181" s="103">
        <f t="shared" si="29"/>
        <v>0</v>
      </c>
      <c r="H181" s="103">
        <f t="shared" si="29"/>
        <v>0</v>
      </c>
      <c r="I181" s="103">
        <f t="shared" si="29"/>
        <v>0</v>
      </c>
    </row>
    <row r="182" spans="1:9">
      <c r="C182" s="137"/>
      <c r="D182" s="137"/>
      <c r="E182" s="137"/>
      <c r="F182" s="137"/>
      <c r="G182" s="137"/>
      <c r="H182" s="137"/>
      <c r="I182" s="137"/>
    </row>
    <row r="183" spans="1:9">
      <c r="B183" s="95" t="str">
        <f>"SUBTOTAL "&amp;UPPER(CHOOSE(Base1_Billing2,$N$9,$N$10))&amp;" REVENUE"</f>
        <v>SUBTOTAL BASE TARIFF REVENUE</v>
      </c>
      <c r="C183" s="106">
        <f>IF(ROUND(SUM(D183:I183),3)&lt;&gt;ROUND(SUM(C180:C181),3),#VALUE!,SUM(D183:I183))</f>
        <v>507370770.92059994</v>
      </c>
      <c r="D183" s="106">
        <f t="shared" ref="D183:I183" si="30">D180+D181</f>
        <v>220934081.67999998</v>
      </c>
      <c r="E183" s="106">
        <f t="shared" si="30"/>
        <v>71996750</v>
      </c>
      <c r="F183" s="106">
        <f t="shared" si="30"/>
        <v>130763390.82000001</v>
      </c>
      <c r="G183" s="106">
        <f t="shared" si="30"/>
        <v>65194363.040000007</v>
      </c>
      <c r="H183" s="106">
        <f t="shared" si="30"/>
        <v>11462439.779999997</v>
      </c>
      <c r="I183" s="106">
        <f t="shared" si="30"/>
        <v>7019745.6005999986</v>
      </c>
    </row>
    <row r="184" spans="1:9">
      <c r="C184" s="106"/>
      <c r="D184" s="106"/>
      <c r="E184" s="106"/>
      <c r="F184" s="106"/>
      <c r="G184" s="106"/>
      <c r="H184" s="106"/>
      <c r="I184" s="106"/>
    </row>
    <row r="185" spans="1:9">
      <c r="B185" s="95" t="s">
        <v>195</v>
      </c>
      <c r="C185" s="106"/>
      <c r="D185" s="106"/>
      <c r="E185" s="106"/>
      <c r="F185" s="106"/>
      <c r="G185" s="106"/>
      <c r="H185" s="106"/>
      <c r="I185" s="106"/>
    </row>
    <row r="186" spans="1:9">
      <c r="B186" s="131" t="s">
        <v>574</v>
      </c>
      <c r="C186" s="106"/>
      <c r="D186" s="106"/>
      <c r="E186" s="106"/>
      <c r="F186" s="106"/>
      <c r="G186" s="106"/>
      <c r="H186" s="106"/>
      <c r="I186" s="106"/>
    </row>
    <row r="187" spans="1:9" s="108" customFormat="1">
      <c r="A187" s="93"/>
      <c r="B187" s="134" t="s">
        <v>197</v>
      </c>
      <c r="C187" s="110">
        <f>SUM(D187:I187)</f>
        <v>-2786906</v>
      </c>
      <c r="D187" s="103">
        <f>D134</f>
        <v>-3326043</v>
      </c>
      <c r="E187" s="103">
        <f>E134</f>
        <v>230343</v>
      </c>
      <c r="F187" s="103">
        <f>F134</f>
        <v>208054</v>
      </c>
      <c r="G187" s="103"/>
      <c r="H187" s="103">
        <f>H134</f>
        <v>100740</v>
      </c>
      <c r="I187" s="110"/>
    </row>
    <row r="188" spans="1:9" s="124" customFormat="1">
      <c r="A188" s="93"/>
      <c r="B188" s="134" t="s">
        <v>577</v>
      </c>
      <c r="D188" s="124">
        <f t="shared" ref="D188:E188" si="31">D84</f>
        <v>8.1846000002466752</v>
      </c>
      <c r="E188" s="124">
        <f t="shared" si="31"/>
        <v>10.561245460615403</v>
      </c>
      <c r="F188" s="124">
        <f>F84</f>
        <v>7.1507754755818773</v>
      </c>
      <c r="H188" s="135">
        <f>H84</f>
        <v>7.9720166453257555</v>
      </c>
    </row>
    <row r="189" spans="1:9" s="106" customFormat="1">
      <c r="A189" s="93"/>
      <c r="B189" s="134" t="s">
        <v>200</v>
      </c>
      <c r="C189" s="106">
        <f>SUM(D189:I189)</f>
        <v>-224987.75</v>
      </c>
      <c r="D189" s="137">
        <f>ROUND(D187*D188/100,2)</f>
        <v>-272223.32</v>
      </c>
      <c r="E189" s="137">
        <f>ROUND(E187*E188/100,2)</f>
        <v>24327.09</v>
      </c>
      <c r="F189" s="137">
        <f>ROUND(F187*F188/100,2)</f>
        <v>14877.47</v>
      </c>
      <c r="G189" s="137"/>
      <c r="H189" s="137">
        <f>ROUND(H187*H188/100,2)</f>
        <v>8031.01</v>
      </c>
      <c r="I189" s="137"/>
    </row>
    <row r="190" spans="1:9" s="106" customFormat="1">
      <c r="A190" s="93"/>
      <c r="B190" s="127" t="s">
        <v>576</v>
      </c>
    </row>
    <row r="191" spans="1:9" s="108" customFormat="1">
      <c r="A191" s="93"/>
      <c r="B191" s="134" t="s">
        <v>202</v>
      </c>
      <c r="C191" s="110">
        <f>SUM(D191:I191)</f>
        <v>0</v>
      </c>
      <c r="D191" s="110">
        <f>D138</f>
        <v>0</v>
      </c>
      <c r="E191" s="110">
        <f>E138</f>
        <v>0</v>
      </c>
      <c r="F191" s="110">
        <f>F138</f>
        <v>0</v>
      </c>
      <c r="G191" s="110"/>
      <c r="H191" s="110"/>
      <c r="I191" s="110"/>
    </row>
    <row r="192" spans="1:9" s="124" customFormat="1" ht="15">
      <c r="A192" s="93"/>
      <c r="B192" s="656" t="s">
        <v>578</v>
      </c>
      <c r="D192" s="124">
        <f>I235</f>
        <v>9.4051426186336364</v>
      </c>
      <c r="E192" s="124">
        <f>I253</f>
        <v>8.4550000000000018</v>
      </c>
      <c r="F192" s="124">
        <f>I286</f>
        <v>6.4750000000000005</v>
      </c>
    </row>
    <row r="193" spans="1:15" s="106" customFormat="1">
      <c r="A193" s="93"/>
      <c r="B193" s="134" t="s">
        <v>204</v>
      </c>
      <c r="C193" s="106">
        <f>SUM(D193:I193)</f>
        <v>0</v>
      </c>
      <c r="D193" s="137">
        <f>ROUND(D191*D192/100,2)</f>
        <v>0</v>
      </c>
      <c r="E193" s="137">
        <f>ROUND(E191*E192/100,2)</f>
        <v>0</v>
      </c>
      <c r="F193" s="137">
        <f>ROUND(F191*F192/100,2)</f>
        <v>0</v>
      </c>
      <c r="G193" s="137"/>
      <c r="H193" s="137"/>
      <c r="I193" s="137"/>
    </row>
    <row r="194" spans="1:15" s="106" customFormat="1">
      <c r="A194" s="93"/>
      <c r="B194" s="134"/>
    </row>
    <row r="195" spans="1:15" s="111" customFormat="1">
      <c r="A195" s="93"/>
      <c r="B195" s="134" t="s">
        <v>205</v>
      </c>
      <c r="C195" s="103">
        <f>IF(ROUND(C187+C191,3)&lt;&gt;ROUND(SUM(D195:I195),3),#VALUE!,SUM(D195:I195))</f>
        <v>-2786906</v>
      </c>
      <c r="D195" s="103">
        <f>D187+D191</f>
        <v>-3326043</v>
      </c>
      <c r="E195" s="103">
        <f>E187+E191</f>
        <v>230343</v>
      </c>
      <c r="F195" s="103">
        <f>F187+F191</f>
        <v>208054</v>
      </c>
      <c r="G195" s="103"/>
      <c r="H195" s="103">
        <f>H187+H191</f>
        <v>100740</v>
      </c>
      <c r="I195" s="103"/>
    </row>
    <row r="196" spans="1:15" s="106" customFormat="1">
      <c r="A196" s="93"/>
      <c r="B196" s="134" t="s">
        <v>575</v>
      </c>
      <c r="C196" s="106">
        <f>IF(ROUND(C189+C193,3)&lt;&gt;ROUND(SUM(D196:I196),3),#VALUE!,SUM(D196:I196))</f>
        <v>-224987.75</v>
      </c>
      <c r="D196" s="106">
        <f>D189+D193</f>
        <v>-272223.32</v>
      </c>
      <c r="E196" s="106">
        <f>E189+E193</f>
        <v>24327.09</v>
      </c>
      <c r="F196" s="106">
        <f>F189+F193</f>
        <v>14877.47</v>
      </c>
      <c r="H196" s="106">
        <f>H189+H193</f>
        <v>8031.01</v>
      </c>
    </row>
    <row r="197" spans="1:15">
      <c r="B197" s="131" t="s">
        <v>207</v>
      </c>
      <c r="C197" s="106"/>
      <c r="D197" s="106"/>
      <c r="E197" s="106"/>
      <c r="F197" s="106"/>
      <c r="G197" s="106"/>
      <c r="H197" s="106"/>
      <c r="I197" s="106"/>
    </row>
    <row r="198" spans="1:15" s="108" customFormat="1">
      <c r="A198" s="93"/>
      <c r="B198" s="134" t="s">
        <v>202</v>
      </c>
      <c r="C198" s="110">
        <f>SUM(D198:I198)</f>
        <v>-80043211</v>
      </c>
      <c r="D198" s="110">
        <f>D145</f>
        <v>-61889108</v>
      </c>
      <c r="E198" s="110">
        <f>E145</f>
        <v>-8479367</v>
      </c>
      <c r="F198" s="110">
        <f>F145</f>
        <v>-9674736</v>
      </c>
      <c r="G198" s="110"/>
      <c r="H198" s="110"/>
      <c r="I198" s="110"/>
    </row>
    <row r="199" spans="1:15" s="124" customFormat="1">
      <c r="A199" s="93"/>
      <c r="B199" s="134" t="s">
        <v>203</v>
      </c>
      <c r="C199" s="142" t="s">
        <v>96</v>
      </c>
      <c r="D199" s="124">
        <f>I235</f>
        <v>9.4051426186336364</v>
      </c>
      <c r="E199" s="124">
        <f>I253</f>
        <v>8.4550000000000018</v>
      </c>
      <c r="F199" s="124">
        <f>I286</f>
        <v>6.4750000000000005</v>
      </c>
    </row>
    <row r="200" spans="1:15" s="106" customFormat="1">
      <c r="A200" s="93"/>
      <c r="B200" s="136" t="s">
        <v>204</v>
      </c>
      <c r="C200" s="106">
        <f>SUM(D200:I200)</f>
        <v>-7164128.5099999998</v>
      </c>
      <c r="D200" s="137">
        <f>ROUND(D198*D199/100,2)</f>
        <v>-5820758.8700000001</v>
      </c>
      <c r="E200" s="137">
        <f>ROUND(E198*E199/100,2)</f>
        <v>-716930.48</v>
      </c>
      <c r="F200" s="137">
        <f>ROUND(F198*F199/100,2)</f>
        <v>-626439.16</v>
      </c>
      <c r="G200" s="137"/>
      <c r="H200" s="137"/>
      <c r="I200" s="137"/>
    </row>
    <row r="201" spans="1:15" s="106" customFormat="1">
      <c r="A201" s="93"/>
      <c r="C201" s="144"/>
      <c r="D201" s="144"/>
      <c r="E201" s="144"/>
      <c r="F201" s="144"/>
      <c r="G201" s="144"/>
      <c r="H201" s="144"/>
      <c r="I201" s="144"/>
    </row>
    <row r="202" spans="1:15">
      <c r="B202" s="95" t="s">
        <v>208</v>
      </c>
      <c r="C202" s="137">
        <f>IF(ROUND(SUM(D202:I202),3)&lt;&gt;ROUND(C196+C200,3),#VALUE!,SUM(D202:I202))</f>
        <v>-7389116.2600000007</v>
      </c>
      <c r="D202" s="137">
        <f>D200+D196</f>
        <v>-6092982.1900000004</v>
      </c>
      <c r="E202" s="137">
        <f>E200+E196</f>
        <v>-692603.39</v>
      </c>
      <c r="F202" s="137">
        <f>F200+F196</f>
        <v>-611561.69000000006</v>
      </c>
      <c r="G202" s="137"/>
      <c r="H202" s="137">
        <f>H200+H196</f>
        <v>8031.01</v>
      </c>
      <c r="I202" s="137"/>
    </row>
    <row r="203" spans="1:15">
      <c r="B203" s="95" t="str">
        <f>"TOTAL "&amp;UPPER(CHOOSE(Base1_Billing2,$N$9,$N$10))&amp;" REVENUE"</f>
        <v>TOTAL BASE TARIFF REVENUE</v>
      </c>
      <c r="C203" s="103">
        <f>SUM(D203:I203)</f>
        <v>507370770.92059994</v>
      </c>
      <c r="D203" s="103">
        <f t="shared" ref="D203:I203" si="32">D183</f>
        <v>220934081.67999998</v>
      </c>
      <c r="E203" s="103">
        <f t="shared" si="32"/>
        <v>71996750</v>
      </c>
      <c r="F203" s="103">
        <f t="shared" si="32"/>
        <v>130763390.82000001</v>
      </c>
      <c r="G203" s="103">
        <f t="shared" si="32"/>
        <v>65194363.040000007</v>
      </c>
      <c r="H203" s="103">
        <f t="shared" si="32"/>
        <v>11462439.779999997</v>
      </c>
      <c r="I203" s="103">
        <f t="shared" si="32"/>
        <v>7019745.6005999986</v>
      </c>
    </row>
    <row r="204" spans="1:15">
      <c r="B204" s="95" t="s">
        <v>211</v>
      </c>
      <c r="C204" s="137">
        <f>IF(ROUND(SUM(D204:I204),3)&lt;&gt;ROUND(SUM(C202:C203),3),#VALUE!,SUM(D204:I204))</f>
        <v>499981654.66060001</v>
      </c>
      <c r="D204" s="137">
        <f t="shared" ref="D204:I204" si="33">D202+D203</f>
        <v>214841099.48999998</v>
      </c>
      <c r="E204" s="137">
        <f t="shared" si="33"/>
        <v>71304146.609999999</v>
      </c>
      <c r="F204" s="137">
        <f t="shared" si="33"/>
        <v>130151829.13000001</v>
      </c>
      <c r="G204" s="137">
        <f t="shared" si="33"/>
        <v>65194363.040000007</v>
      </c>
      <c r="H204" s="137">
        <f t="shared" si="33"/>
        <v>11470470.789999997</v>
      </c>
      <c r="I204" s="137">
        <f t="shared" si="33"/>
        <v>7019745.6005999986</v>
      </c>
      <c r="L204" s="106"/>
      <c r="O204" s="106"/>
    </row>
    <row r="205" spans="1:15">
      <c r="B205" s="95" t="s">
        <v>209</v>
      </c>
      <c r="C205" s="106">
        <f>SUM(D205:I205)</f>
        <v>499981654.66026521</v>
      </c>
      <c r="D205" s="106">
        <f t="shared" ref="D205:H205" si="34">D152</f>
        <v>214841099.48999998</v>
      </c>
      <c r="E205" s="106">
        <f t="shared" si="34"/>
        <v>71304146.609999999</v>
      </c>
      <c r="F205" s="106">
        <f t="shared" si="34"/>
        <v>130151829.13000001</v>
      </c>
      <c r="G205" s="106">
        <f t="shared" si="34"/>
        <v>65194363.040000007</v>
      </c>
      <c r="H205" s="106">
        <f t="shared" si="34"/>
        <v>11470470.789999997</v>
      </c>
      <c r="I205" s="106">
        <f>I152</f>
        <v>7019745.6002651993</v>
      </c>
      <c r="L205" s="106"/>
      <c r="O205" s="106"/>
    </row>
    <row r="206" spans="1:15">
      <c r="C206" s="145"/>
      <c r="D206" s="145"/>
      <c r="E206" s="145"/>
      <c r="F206" s="145"/>
      <c r="G206" s="145"/>
      <c r="H206" s="145"/>
      <c r="I206" s="145"/>
    </row>
    <row r="207" spans="1:15" s="113" customFormat="1">
      <c r="A207" s="112"/>
      <c r="B207" s="113" t="s">
        <v>212</v>
      </c>
      <c r="C207" s="146">
        <f>SUM(D207:I207)</f>
        <v>3.3479928970336914E-4</v>
      </c>
      <c r="D207" s="146">
        <f t="shared" ref="D207:I207" si="35">D204-D205</f>
        <v>0</v>
      </c>
      <c r="E207" s="146">
        <f t="shared" si="35"/>
        <v>0</v>
      </c>
      <c r="F207" s="146">
        <f t="shared" si="35"/>
        <v>0</v>
      </c>
      <c r="G207" s="146">
        <f t="shared" si="35"/>
        <v>0</v>
      </c>
      <c r="H207" s="146">
        <f t="shared" si="35"/>
        <v>0</v>
      </c>
      <c r="I207" s="146">
        <f t="shared" si="35"/>
        <v>3.3479928970336914E-4</v>
      </c>
      <c r="L207" s="146"/>
      <c r="O207" s="146"/>
    </row>
    <row r="208" spans="1:15" s="113" customFormat="1">
      <c r="A208" s="112"/>
      <c r="B208" s="113" t="s">
        <v>213</v>
      </c>
      <c r="C208" s="147">
        <f t="shared" ref="C208:H208" si="36">C207/C205</f>
        <v>6.6962314833503924E-13</v>
      </c>
      <c r="D208" s="147">
        <f>D207/D205</f>
        <v>0</v>
      </c>
      <c r="E208" s="147">
        <f t="shared" si="36"/>
        <v>0</v>
      </c>
      <c r="F208" s="147">
        <f t="shared" si="36"/>
        <v>0</v>
      </c>
      <c r="G208" s="147">
        <f t="shared" si="36"/>
        <v>0</v>
      </c>
      <c r="H208" s="147">
        <f t="shared" si="36"/>
        <v>0</v>
      </c>
      <c r="I208" s="147">
        <f>I207/I205</f>
        <v>4.7693934904239371E-11</v>
      </c>
      <c r="J208" s="147"/>
      <c r="L208" s="147"/>
      <c r="O208" s="146"/>
    </row>
    <row r="209" spans="1:9" s="96" customFormat="1" ht="12.75">
      <c r="A209" s="93"/>
      <c r="B209" s="148" t="str">
        <f>IF(Base1_Billing2=2,"Pres and Prop Revenues may be incorrect due to Sch 59--for example all of Sch 11 gets benefit of Sch 59 but it s/only be Sch 12; see Billing Rev on Exhibit page for fix","")</f>
        <v/>
      </c>
      <c r="C209" s="149"/>
      <c r="D209" s="150"/>
      <c r="E209" s="150"/>
      <c r="F209" s="150"/>
      <c r="G209" s="150"/>
      <c r="H209" s="150"/>
      <c r="I209" s="150"/>
    </row>
    <row r="210" spans="1:9" s="96" customFormat="1" ht="12.75">
      <c r="A210" s="93"/>
      <c r="C210" s="381" t="str">
        <f>C4</f>
        <v xml:space="preserve"> </v>
      </c>
      <c r="D210" s="381"/>
      <c r="E210" s="143"/>
      <c r="F210" s="149"/>
      <c r="G210" s="149"/>
      <c r="H210" s="149"/>
      <c r="I210" s="149"/>
    </row>
    <row r="211" spans="1:9" s="96" customFormat="1" ht="12.75">
      <c r="A211" s="93"/>
      <c r="C211" s="381"/>
      <c r="D211" s="381"/>
      <c r="E211" s="143"/>
      <c r="F211" s="149"/>
      <c r="G211" s="149"/>
      <c r="H211" s="149"/>
      <c r="I211" s="149"/>
    </row>
    <row r="212" spans="1:9" s="96" customFormat="1" ht="12.75">
      <c r="A212" s="93"/>
      <c r="C212" s="381"/>
      <c r="D212" s="381"/>
      <c r="E212" s="143"/>
      <c r="F212" s="149"/>
      <c r="G212" s="149"/>
      <c r="H212" s="149"/>
      <c r="I212" s="149"/>
    </row>
    <row r="213" spans="1:9" s="96" customFormat="1" ht="12.75">
      <c r="A213" s="93"/>
      <c r="C213" s="381"/>
      <c r="D213" s="381"/>
      <c r="E213" s="143"/>
      <c r="F213" s="149"/>
      <c r="G213" s="149"/>
      <c r="H213" s="149"/>
      <c r="I213" s="149"/>
    </row>
    <row r="214" spans="1:9" s="96" customFormat="1" ht="12.75">
      <c r="A214" s="93"/>
      <c r="C214" s="381"/>
      <c r="D214" s="381"/>
      <c r="E214" s="143"/>
      <c r="F214" s="149"/>
      <c r="G214" s="149"/>
      <c r="H214" s="149"/>
      <c r="I214" s="149"/>
    </row>
    <row r="215" spans="1:9" s="96" customFormat="1">
      <c r="A215" s="93"/>
      <c r="C215" s="149"/>
      <c r="D215" s="149"/>
      <c r="E215" s="149"/>
      <c r="F215" s="149"/>
      <c r="G215" s="149"/>
      <c r="H215" s="149"/>
      <c r="I215" s="149"/>
    </row>
    <row r="216" spans="1:9" s="96" customFormat="1">
      <c r="A216" s="93" t="s">
        <v>147</v>
      </c>
      <c r="C216" s="96" t="s">
        <v>96</v>
      </c>
      <c r="D216" s="96" t="s">
        <v>87</v>
      </c>
      <c r="E216" s="96" t="s">
        <v>87</v>
      </c>
      <c r="F216" s="96" t="s">
        <v>214</v>
      </c>
      <c r="G216" s="96" t="s">
        <v>214</v>
      </c>
      <c r="H216" s="96" t="s">
        <v>215</v>
      </c>
      <c r="I216" s="96" t="s">
        <v>215</v>
      </c>
    </row>
    <row r="217" spans="1:9" s="96" customFormat="1">
      <c r="A217" s="93" t="s">
        <v>148</v>
      </c>
      <c r="C217" s="97" t="s">
        <v>216</v>
      </c>
      <c r="D217" s="97" t="s">
        <v>217</v>
      </c>
      <c r="E217" s="97" t="s">
        <v>218</v>
      </c>
      <c r="F217" s="97" t="s">
        <v>217</v>
      </c>
      <c r="G217" s="97" t="s">
        <v>218</v>
      </c>
      <c r="H217" s="97" t="s">
        <v>217</v>
      </c>
      <c r="I217" s="97" t="s">
        <v>218</v>
      </c>
    </row>
    <row r="219" spans="1:9">
      <c r="B219" s="151" t="s">
        <v>219</v>
      </c>
    </row>
    <row r="220" spans="1:9">
      <c r="B220" s="113" t="s">
        <v>102</v>
      </c>
    </row>
    <row r="221" spans="1:9">
      <c r="B221" s="127" t="s">
        <v>220</v>
      </c>
      <c r="C221" s="124">
        <f>D62</f>
        <v>7.5250000000000004</v>
      </c>
      <c r="D221" s="103">
        <f>D8</f>
        <v>1562090323.9480615</v>
      </c>
      <c r="E221" s="106">
        <f>C221*D221/100</f>
        <v>117547296.87709163</v>
      </c>
      <c r="F221" s="103">
        <f>MIN(D221,F225)</f>
        <v>1562090323.9480615</v>
      </c>
      <c r="G221" s="106">
        <f>F221*C221/100</f>
        <v>117547296.87709163</v>
      </c>
      <c r="H221" s="103">
        <f>D221-F221</f>
        <v>0</v>
      </c>
      <c r="I221" s="106">
        <f>H221*C221/100</f>
        <v>0</v>
      </c>
    </row>
    <row r="222" spans="1:9">
      <c r="B222" s="127" t="s">
        <v>221</v>
      </c>
      <c r="C222" s="124">
        <f>D63</f>
        <v>8.7550000000000008</v>
      </c>
      <c r="D222" s="103">
        <f>D9</f>
        <v>532041223.03140402</v>
      </c>
      <c r="E222" s="106">
        <f>C222*D222/100</f>
        <v>46580209.076399423</v>
      </c>
      <c r="F222" s="103">
        <f>MIN(F225-F221,D222)</f>
        <v>70260097.051938534</v>
      </c>
      <c r="G222" s="106">
        <f>F222*C222/100</f>
        <v>6151271.4968972197</v>
      </c>
      <c r="H222" s="103">
        <f>D222-F222</f>
        <v>461781125.97946548</v>
      </c>
      <c r="I222" s="106">
        <f>H222*C222/100</f>
        <v>40428937.579502203</v>
      </c>
    </row>
    <row r="223" spans="1:9">
      <c r="B223" s="127" t="s">
        <v>222</v>
      </c>
      <c r="C223" s="124">
        <f>D64</f>
        <v>10.263999999999999</v>
      </c>
      <c r="D223" s="103">
        <f>D10</f>
        <v>349561635.02053469</v>
      </c>
      <c r="E223" s="106">
        <f>C223*D223/100</f>
        <v>35879006.218507677</v>
      </c>
      <c r="F223" s="103">
        <f>MIN(F225-F221-F222,D223)</f>
        <v>0</v>
      </c>
      <c r="G223" s="106">
        <f>F223*C223/100</f>
        <v>0</v>
      </c>
      <c r="H223" s="103">
        <f>D223-F223</f>
        <v>349561635.02053469</v>
      </c>
      <c r="I223" s="106">
        <f>H223*C223/100</f>
        <v>35879006.218507677</v>
      </c>
    </row>
    <row r="224" spans="1:9">
      <c r="D224" s="109"/>
      <c r="E224" s="152"/>
      <c r="F224" s="109"/>
      <c r="G224" s="152"/>
      <c r="H224" s="109"/>
      <c r="I224" s="152"/>
    </row>
    <row r="225" spans="2:9">
      <c r="B225" s="95" t="s">
        <v>87</v>
      </c>
      <c r="D225" s="103">
        <f t="shared" ref="D225:I225" si="37">D221+D222+D223</f>
        <v>2443693182</v>
      </c>
      <c r="E225" s="106">
        <f t="shared" si="37"/>
        <v>200006512.17199874</v>
      </c>
      <c r="F225" s="129">
        <f>663*D25</f>
        <v>1632350421</v>
      </c>
      <c r="G225" s="106">
        <f t="shared" si="37"/>
        <v>123698568.37398885</v>
      </c>
      <c r="H225" s="103">
        <f t="shared" si="37"/>
        <v>811342761.00000024</v>
      </c>
      <c r="I225" s="106">
        <f t="shared" si="37"/>
        <v>76307943.798009872</v>
      </c>
    </row>
    <row r="226" spans="2:9">
      <c r="B226" s="95" t="s">
        <v>223</v>
      </c>
      <c r="D226" s="103"/>
      <c r="E226" s="124">
        <f>E225/D225*100</f>
        <v>8.18459999991925</v>
      </c>
      <c r="F226" s="124"/>
      <c r="G226" s="124">
        <f>G225/F225*100</f>
        <v>7.5779420143261538</v>
      </c>
      <c r="H226" s="103"/>
      <c r="I226" s="124">
        <f>I225/H225*100</f>
        <v>9.4051426186336364</v>
      </c>
    </row>
    <row r="227" spans="2:9">
      <c r="D227" s="103"/>
      <c r="F227" s="103"/>
      <c r="H227" s="103"/>
    </row>
    <row r="228" spans="2:9" hidden="1">
      <c r="B228" s="151" t="s">
        <v>224</v>
      </c>
      <c r="D228" s="103"/>
      <c r="F228" s="103"/>
      <c r="H228" s="103"/>
    </row>
    <row r="229" spans="2:9" hidden="1">
      <c r="B229" s="113" t="s">
        <v>102</v>
      </c>
      <c r="D229" s="103"/>
      <c r="F229" s="103"/>
      <c r="H229" s="103"/>
    </row>
    <row r="230" spans="2:9" hidden="1">
      <c r="B230" s="127" t="s">
        <v>220</v>
      </c>
      <c r="C230" s="124">
        <f>D79</f>
        <v>7.5250000000000004</v>
      </c>
      <c r="D230" s="103">
        <f>D221</f>
        <v>1562090323.9480615</v>
      </c>
      <c r="E230" s="106">
        <f>C230*D230/100</f>
        <v>117547296.87709163</v>
      </c>
      <c r="F230" s="103">
        <f>MIN(D230,F234)</f>
        <v>1562090323.9480615</v>
      </c>
      <c r="G230" s="106">
        <f>F230*C230/100</f>
        <v>117547296.87709163</v>
      </c>
      <c r="H230" s="103">
        <f>H221</f>
        <v>0</v>
      </c>
      <c r="I230" s="106">
        <f>H230*C230/100</f>
        <v>0</v>
      </c>
    </row>
    <row r="231" spans="2:9" hidden="1">
      <c r="B231" s="127" t="s">
        <v>221</v>
      </c>
      <c r="C231" s="124">
        <f>D80</f>
        <v>8.7550000000000008</v>
      </c>
      <c r="D231" s="103">
        <f>D222</f>
        <v>532041223.03140402</v>
      </c>
      <c r="E231" s="106">
        <f>C231*D231/100</f>
        <v>46580209.076399423</v>
      </c>
      <c r="F231" s="103">
        <f>MIN(F234-F230,D231)</f>
        <v>70260097.051938534</v>
      </c>
      <c r="G231" s="106">
        <f>F231*C231/100</f>
        <v>6151271.4968972197</v>
      </c>
      <c r="H231" s="103">
        <f>H222</f>
        <v>461781125.97946548</v>
      </c>
      <c r="I231" s="106">
        <f>H231*C231/100</f>
        <v>40428937.579502203</v>
      </c>
    </row>
    <row r="232" spans="2:9" hidden="1">
      <c r="B232" s="127" t="s">
        <v>222</v>
      </c>
      <c r="C232" s="124">
        <f>D81</f>
        <v>10.263999999999999</v>
      </c>
      <c r="D232" s="103">
        <f>D223</f>
        <v>349561635.02053469</v>
      </c>
      <c r="E232" s="106">
        <f>C232*D232/100</f>
        <v>35879006.218507677</v>
      </c>
      <c r="F232" s="103">
        <f>MIN(F234-F230-F231,D232)</f>
        <v>0</v>
      </c>
      <c r="G232" s="106">
        <f>F232*C232/100</f>
        <v>0</v>
      </c>
      <c r="H232" s="103">
        <f>H223</f>
        <v>349561635.02053469</v>
      </c>
      <c r="I232" s="106">
        <f>H232*C232/100</f>
        <v>35879006.218507677</v>
      </c>
    </row>
    <row r="233" spans="2:9" hidden="1">
      <c r="D233" s="109"/>
      <c r="E233" s="152"/>
      <c r="F233" s="109"/>
      <c r="G233" s="152"/>
      <c r="H233" s="109"/>
      <c r="I233" s="152"/>
    </row>
    <row r="234" spans="2:9" hidden="1">
      <c r="B234" s="95" t="s">
        <v>87</v>
      </c>
      <c r="D234" s="103">
        <f t="shared" ref="D234:I234" si="38">D230+D231+D232</f>
        <v>2443693182</v>
      </c>
      <c r="E234" s="106">
        <f t="shared" si="38"/>
        <v>200006512.17199874</v>
      </c>
      <c r="F234" s="103">
        <f>F225</f>
        <v>1632350421</v>
      </c>
      <c r="G234" s="106">
        <f t="shared" si="38"/>
        <v>123698568.37398885</v>
      </c>
      <c r="H234" s="103">
        <f t="shared" si="38"/>
        <v>811342761.00000024</v>
      </c>
      <c r="I234" s="106">
        <f t="shared" si="38"/>
        <v>76307943.798009872</v>
      </c>
    </row>
    <row r="235" spans="2:9" hidden="1">
      <c r="B235" s="95" t="s">
        <v>223</v>
      </c>
      <c r="D235" s="103"/>
      <c r="E235" s="124">
        <f t="shared" ref="E235" si="39">E234/D234*100</f>
        <v>8.18459999991925</v>
      </c>
      <c r="F235" s="124"/>
      <c r="G235" s="124">
        <f>G234/F234*100</f>
        <v>7.5779420143261538</v>
      </c>
      <c r="H235" s="103"/>
      <c r="I235" s="124">
        <f>I234/H234*100</f>
        <v>9.4051426186336364</v>
      </c>
    </row>
    <row r="236" spans="2:9" hidden="1">
      <c r="D236" s="103"/>
      <c r="F236" s="103"/>
      <c r="G236" s="124"/>
      <c r="H236" s="103"/>
      <c r="I236" s="124"/>
    </row>
    <row r="237" spans="2:9" hidden="1">
      <c r="D237" s="103"/>
      <c r="F237" s="103"/>
      <c r="H237" s="103"/>
    </row>
    <row r="238" spans="2:9">
      <c r="D238" s="103"/>
      <c r="F238" s="103"/>
      <c r="H238" s="103"/>
    </row>
    <row r="239" spans="2:9">
      <c r="B239" s="151" t="s">
        <v>219</v>
      </c>
      <c r="D239" s="103"/>
      <c r="F239" s="103"/>
      <c r="H239" s="103"/>
    </row>
    <row r="240" spans="2:9">
      <c r="B240" s="113" t="s">
        <v>225</v>
      </c>
      <c r="D240" s="103"/>
      <c r="F240" s="103"/>
      <c r="H240" s="103"/>
    </row>
    <row r="241" spans="2:9">
      <c r="B241" s="127" t="s">
        <v>226</v>
      </c>
      <c r="C241" s="124">
        <f>E62</f>
        <v>11.507</v>
      </c>
      <c r="D241" s="103">
        <f>E8</f>
        <v>411760124.95869529</v>
      </c>
      <c r="E241" s="106">
        <f>C241*D241/100</f>
        <v>47381237.578997068</v>
      </c>
      <c r="F241" s="103">
        <f>MIN(D241,F244)</f>
        <v>411760124.95869529</v>
      </c>
      <c r="G241" s="106">
        <f>F241*C241/100</f>
        <v>47381237.578997068</v>
      </c>
      <c r="H241" s="103">
        <f>D241-F241</f>
        <v>0</v>
      </c>
      <c r="I241" s="106">
        <f>H241*C241/100</f>
        <v>0</v>
      </c>
    </row>
    <row r="242" spans="2:9">
      <c r="B242" s="127" t="s">
        <v>227</v>
      </c>
      <c r="C242" s="124">
        <f>E63</f>
        <v>8.4550000000000001</v>
      </c>
      <c r="D242" s="103">
        <f>E9</f>
        <v>184890135.04130465</v>
      </c>
      <c r="E242" s="106">
        <f>C242*D242/100</f>
        <v>15632460.917742306</v>
      </c>
      <c r="F242" s="103">
        <f>MIN(F244-F241,D242)</f>
        <v>76010451.041304648</v>
      </c>
      <c r="G242" s="106">
        <f>F242*C242/100</f>
        <v>6426683.635542308</v>
      </c>
      <c r="H242" s="103">
        <f>D242-F242</f>
        <v>108879684</v>
      </c>
      <c r="I242" s="105">
        <f>H242*C242/100</f>
        <v>9205777.2822000012</v>
      </c>
    </row>
    <row r="243" spans="2:9">
      <c r="D243" s="109"/>
      <c r="E243" s="152"/>
      <c r="F243" s="109"/>
      <c r="G243" s="152"/>
      <c r="H243" s="109"/>
      <c r="I243" s="653"/>
    </row>
    <row r="244" spans="2:9">
      <c r="B244" s="95" t="s">
        <v>87</v>
      </c>
      <c r="D244" s="103">
        <f t="shared" ref="D244:H244" si="40">D241+D242</f>
        <v>596650260</v>
      </c>
      <c r="E244" s="106">
        <f t="shared" si="40"/>
        <v>63013698.496739373</v>
      </c>
      <c r="F244" s="129">
        <f>1338*E25</f>
        <v>487770575.99999994</v>
      </c>
      <c r="G244" s="106">
        <f t="shared" si="40"/>
        <v>53807921.214539379</v>
      </c>
      <c r="H244" s="103">
        <f t="shared" si="40"/>
        <v>108879684</v>
      </c>
      <c r="I244" s="106">
        <f>I241+I242</f>
        <v>9205777.2822000012</v>
      </c>
    </row>
    <row r="245" spans="2:9">
      <c r="B245" s="95" t="s">
        <v>223</v>
      </c>
      <c r="D245" s="103"/>
      <c r="E245" s="124">
        <f t="shared" ref="E245" si="41">E244/D244*100</f>
        <v>10.561245460068914</v>
      </c>
      <c r="F245" s="124"/>
      <c r="G245" s="124">
        <f>G244/F244*100</f>
        <v>11.031399568173088</v>
      </c>
      <c r="H245" s="103"/>
      <c r="I245" s="124">
        <f>I244/H244*100</f>
        <v>8.4550000000000018</v>
      </c>
    </row>
    <row r="246" spans="2:9">
      <c r="D246" s="103"/>
      <c r="F246" s="103"/>
      <c r="G246" s="124"/>
      <c r="H246" s="103"/>
      <c r="I246" s="124"/>
    </row>
    <row r="247" spans="2:9" hidden="1">
      <c r="B247" s="151" t="s">
        <v>224</v>
      </c>
      <c r="D247" s="103"/>
      <c r="F247" s="103"/>
      <c r="H247" s="103"/>
    </row>
    <row r="248" spans="2:9" hidden="1">
      <c r="B248" s="113" t="s">
        <v>225</v>
      </c>
      <c r="D248" s="103"/>
      <c r="F248" s="103"/>
      <c r="H248" s="103"/>
    </row>
    <row r="249" spans="2:9" hidden="1">
      <c r="B249" s="127" t="s">
        <v>226</v>
      </c>
      <c r="C249" s="124">
        <f>E79</f>
        <v>11.507</v>
      </c>
      <c r="D249" s="103">
        <f>E31</f>
        <v>411760124.95869529</v>
      </c>
      <c r="E249" s="106">
        <f>C249*D249/100</f>
        <v>47381237.578997068</v>
      </c>
      <c r="F249" s="103">
        <f>MIN(D249,F252)</f>
        <v>411760124.95869529</v>
      </c>
      <c r="G249" s="106">
        <f>F249*C249/100</f>
        <v>47381237.578997068</v>
      </c>
      <c r="H249" s="103">
        <f>D249-F249</f>
        <v>0</v>
      </c>
      <c r="I249" s="106">
        <f>H249*C249/100</f>
        <v>0</v>
      </c>
    </row>
    <row r="250" spans="2:9" hidden="1">
      <c r="B250" s="127" t="s">
        <v>227</v>
      </c>
      <c r="C250" s="124">
        <f>E80</f>
        <v>8.4550000000000001</v>
      </c>
      <c r="D250" s="103">
        <f>E32</f>
        <v>184890135.04130465</v>
      </c>
      <c r="E250" s="106">
        <f>C250*D250/100</f>
        <v>15632460.917742306</v>
      </c>
      <c r="F250" s="103">
        <f>MIN(F252-F249,D250)</f>
        <v>76010451.041304648</v>
      </c>
      <c r="G250" s="106">
        <f>F250*C250/100</f>
        <v>6426683.635542308</v>
      </c>
      <c r="H250" s="103">
        <f>D250-F250</f>
        <v>108879684</v>
      </c>
      <c r="I250" s="106">
        <f>H250*C250/100</f>
        <v>9205777.2822000012</v>
      </c>
    </row>
    <row r="251" spans="2:9" hidden="1">
      <c r="D251" s="109"/>
      <c r="E251" s="152"/>
      <c r="F251" s="109"/>
      <c r="G251" s="152"/>
      <c r="H251" s="109"/>
      <c r="I251" s="152"/>
    </row>
    <row r="252" spans="2:9" hidden="1">
      <c r="B252" s="95" t="s">
        <v>87</v>
      </c>
      <c r="D252" s="103">
        <f t="shared" ref="D252:I252" si="42">D249+D250</f>
        <v>596650260</v>
      </c>
      <c r="E252" s="106">
        <f t="shared" si="42"/>
        <v>63013698.496739373</v>
      </c>
      <c r="F252" s="103">
        <f>F244</f>
        <v>487770575.99999994</v>
      </c>
      <c r="G252" s="106">
        <f t="shared" si="42"/>
        <v>53807921.214539379</v>
      </c>
      <c r="H252" s="103">
        <f t="shared" si="42"/>
        <v>108879684</v>
      </c>
      <c r="I252" s="106">
        <f t="shared" si="42"/>
        <v>9205777.2822000012</v>
      </c>
    </row>
    <row r="253" spans="2:9" hidden="1">
      <c r="B253" s="95" t="s">
        <v>223</v>
      </c>
      <c r="E253" s="124">
        <f t="shared" ref="E253" si="43">E252/D252*100</f>
        <v>10.561245460068914</v>
      </c>
      <c r="F253" s="124"/>
      <c r="G253" s="124">
        <f>G252/F252*100</f>
        <v>11.031399568173088</v>
      </c>
      <c r="I253" s="124">
        <f>I252/H252*100</f>
        <v>8.4550000000000018</v>
      </c>
    </row>
    <row r="254" spans="2:9" hidden="1"/>
    <row r="255" spans="2:9" hidden="1"/>
    <row r="256" spans="2:9" hidden="1"/>
    <row r="257" spans="1:9" hidden="1"/>
    <row r="258" spans="1:9" hidden="1"/>
    <row r="261" spans="1:9">
      <c r="B261" s="153" t="s">
        <v>382</v>
      </c>
      <c r="C261" s="153"/>
      <c r="D261" s="153"/>
      <c r="E261" s="153"/>
      <c r="F261" s="153"/>
    </row>
    <row r="262" spans="1:9">
      <c r="B262" s="95" t="str">
        <f>"663 X "&amp;TEXT(D25,"#,##0")&amp;" = "&amp;TEXT(F225,"#,##0")</f>
        <v>663 X 2,462,067 = 1,632,350,421</v>
      </c>
    </row>
    <row r="263" spans="1:9">
      <c r="B263" s="95" t="str">
        <f>"Total Base Load for Sch. 11 = 1,338 X "&amp;TEXT(E25,"#,##0")&amp;" = "&amp;TEXT(F244,"#,##0")</f>
        <v>Total Base Load for Sch. 11 = 1,338 X 364,552 = 487,770,576</v>
      </c>
    </row>
    <row r="264" spans="1:9" s="96" customFormat="1" ht="12.75">
      <c r="A264" s="93"/>
      <c r="B264" s="148" t="str">
        <f>IF(Base1_Billing2=2,"Pres and Prop Revenues may be incorrect due to Sch 59--for example all of Sch 11 gets benefit of Sch 59 but it s/only be Sch 12; see Billing Rev on Exhibit page for fix","")</f>
        <v/>
      </c>
      <c r="C264" s="149"/>
      <c r="D264" s="381"/>
      <c r="E264" s="381"/>
      <c r="F264" s="381"/>
      <c r="G264" s="381"/>
      <c r="H264" s="381"/>
      <c r="I264" s="381"/>
    </row>
    <row r="265" spans="1:9" s="96" customFormat="1" ht="12.75">
      <c r="A265" s="93"/>
      <c r="C265" s="381"/>
      <c r="D265" s="381"/>
      <c r="E265" s="143"/>
      <c r="F265" s="149"/>
      <c r="G265" s="149"/>
      <c r="H265" s="149"/>
      <c r="I265" s="149"/>
    </row>
    <row r="266" spans="1:9" s="96" customFormat="1" ht="12.75">
      <c r="A266" s="93"/>
      <c r="C266" s="381"/>
      <c r="D266" s="381"/>
      <c r="E266" s="143"/>
      <c r="F266" s="149"/>
      <c r="G266" s="149"/>
      <c r="H266" s="149"/>
      <c r="I266" s="149"/>
    </row>
    <row r="267" spans="1:9" s="96" customFormat="1" ht="12.75">
      <c r="A267" s="93"/>
      <c r="C267" s="381"/>
      <c r="D267" s="381"/>
      <c r="E267" s="143"/>
      <c r="F267" s="149"/>
      <c r="G267" s="149"/>
      <c r="H267" s="149"/>
      <c r="I267" s="149"/>
    </row>
    <row r="268" spans="1:9" s="96" customFormat="1">
      <c r="A268" s="93"/>
      <c r="C268" s="149"/>
      <c r="D268" s="149"/>
      <c r="E268" s="149"/>
      <c r="F268" s="149"/>
      <c r="G268" s="149"/>
      <c r="H268" s="149"/>
      <c r="I268" s="149"/>
    </row>
    <row r="269" spans="1:9" s="96" customFormat="1">
      <c r="A269" s="93" t="s">
        <v>147</v>
      </c>
      <c r="C269" s="96" t="s">
        <v>96</v>
      </c>
      <c r="D269" s="96" t="s">
        <v>87</v>
      </c>
      <c r="E269" s="96" t="s">
        <v>87</v>
      </c>
      <c r="F269" s="96" t="s">
        <v>214</v>
      </c>
      <c r="G269" s="96" t="s">
        <v>214</v>
      </c>
      <c r="H269" s="96" t="s">
        <v>215</v>
      </c>
      <c r="I269" s="96" t="s">
        <v>215</v>
      </c>
    </row>
    <row r="270" spans="1:9" s="96" customFormat="1">
      <c r="A270" s="93" t="s">
        <v>148</v>
      </c>
      <c r="C270" s="97" t="s">
        <v>216</v>
      </c>
      <c r="D270" s="97" t="s">
        <v>217</v>
      </c>
      <c r="E270" s="97" t="s">
        <v>218</v>
      </c>
      <c r="F270" s="97" t="s">
        <v>217</v>
      </c>
      <c r="G270" s="97" t="s">
        <v>218</v>
      </c>
      <c r="H270" s="97" t="s">
        <v>217</v>
      </c>
      <c r="I270" s="97" t="s">
        <v>218</v>
      </c>
    </row>
    <row r="272" spans="1:9">
      <c r="B272" s="151" t="s">
        <v>219</v>
      </c>
    </row>
    <row r="273" spans="2:9">
      <c r="B273" s="113" t="s">
        <v>228</v>
      </c>
    </row>
    <row r="274" spans="2:9">
      <c r="B274" s="127" t="s">
        <v>229</v>
      </c>
      <c r="C274" s="124">
        <f>F62</f>
        <v>7.24</v>
      </c>
      <c r="D274" s="103">
        <f>F8</f>
        <v>1262061453.0310712</v>
      </c>
      <c r="E274" s="106">
        <f>C274*D274/100</f>
        <v>91373249.199449554</v>
      </c>
      <c r="F274" s="103">
        <f>MIN(D274,F277)</f>
        <v>1262061453.0310712</v>
      </c>
      <c r="G274" s="106">
        <f>F274*C274/100</f>
        <v>91373249.199449554</v>
      </c>
      <c r="H274" s="103">
        <f>D274-F274</f>
        <v>0</v>
      </c>
      <c r="I274" s="106">
        <f>H274*C274/100</f>
        <v>0</v>
      </c>
    </row>
    <row r="275" spans="2:9">
      <c r="B275" s="127" t="s">
        <v>230</v>
      </c>
      <c r="C275" s="124">
        <f>F63</f>
        <v>6.4749999999999996</v>
      </c>
      <c r="D275" s="103">
        <f>F9</f>
        <v>166633499.96892866</v>
      </c>
      <c r="E275" s="106">
        <f>C275*D275/100</f>
        <v>10789519.122988131</v>
      </c>
      <c r="F275" s="103">
        <f>MIN(F277-F274,D275)</f>
        <v>35056546.968928814</v>
      </c>
      <c r="G275" s="106">
        <f>F275*C275/100</f>
        <v>2269911.4162381403</v>
      </c>
      <c r="H275" s="103">
        <f>D275-F275</f>
        <v>131576952.99999985</v>
      </c>
      <c r="I275" s="106">
        <f>H275*C275/100</f>
        <v>8519607.7067499906</v>
      </c>
    </row>
    <row r="276" spans="2:9">
      <c r="D276" s="109"/>
      <c r="E276" s="152"/>
      <c r="F276" s="109"/>
      <c r="G276" s="152"/>
      <c r="H276" s="109"/>
      <c r="I276" s="152"/>
    </row>
    <row r="277" spans="2:9">
      <c r="B277" s="95" t="s">
        <v>87</v>
      </c>
      <c r="D277" s="103">
        <f>D274+D275</f>
        <v>1428694952.9999998</v>
      </c>
      <c r="E277" s="103">
        <f>E274+E275</f>
        <v>102162768.32243769</v>
      </c>
      <c r="F277" s="129">
        <f>53800*F25</f>
        <v>1297118000</v>
      </c>
      <c r="G277" s="103">
        <f>G274+G275</f>
        <v>93643160.615687698</v>
      </c>
      <c r="H277" s="103">
        <f>H274+H275</f>
        <v>131576952.99999985</v>
      </c>
      <c r="I277" s="103">
        <f>I274+I275</f>
        <v>8519607.7067499906</v>
      </c>
    </row>
    <row r="278" spans="2:9">
      <c r="B278" s="95" t="s">
        <v>223</v>
      </c>
      <c r="D278" s="103"/>
      <c r="E278" s="124">
        <f t="shared" ref="E278" si="44">E277/D277*100</f>
        <v>7.1507754757524991</v>
      </c>
      <c r="F278" s="103"/>
      <c r="G278" s="124">
        <f>G277/F277*100</f>
        <v>7.2193247349653378</v>
      </c>
      <c r="H278" s="103"/>
      <c r="I278" s="124">
        <f>I277/H277*100</f>
        <v>6.4750000000000005</v>
      </c>
    </row>
    <row r="279" spans="2:9">
      <c r="D279" s="103"/>
      <c r="F279" s="103"/>
      <c r="H279" s="103"/>
    </row>
    <row r="280" spans="2:9" hidden="1">
      <c r="B280" s="151" t="s">
        <v>224</v>
      </c>
      <c r="D280" s="103"/>
      <c r="F280" s="103"/>
      <c r="H280" s="103"/>
    </row>
    <row r="281" spans="2:9" hidden="1">
      <c r="B281" s="113" t="s">
        <v>228</v>
      </c>
      <c r="D281" s="103"/>
      <c r="F281" s="103"/>
      <c r="H281" s="103"/>
    </row>
    <row r="282" spans="2:9" hidden="1">
      <c r="B282" s="127" t="s">
        <v>229</v>
      </c>
      <c r="C282" s="124">
        <f>F79</f>
        <v>7.24</v>
      </c>
      <c r="D282" s="103">
        <f>D274</f>
        <v>1262061453.0310712</v>
      </c>
      <c r="E282" s="106">
        <f>C282*D282/100</f>
        <v>91373249.199449554</v>
      </c>
      <c r="F282" s="103">
        <f>MIN(D282,F285)</f>
        <v>1262061453.0310712</v>
      </c>
      <c r="G282" s="106">
        <f>F282*C282/100</f>
        <v>91373249.199449554</v>
      </c>
      <c r="H282" s="103">
        <f>H274</f>
        <v>0</v>
      </c>
      <c r="I282" s="106">
        <f>H282*C282/100</f>
        <v>0</v>
      </c>
    </row>
    <row r="283" spans="2:9" hidden="1">
      <c r="B283" s="127" t="s">
        <v>230</v>
      </c>
      <c r="C283" s="124">
        <f>F80</f>
        <v>6.4749999999999996</v>
      </c>
      <c r="D283" s="103">
        <f>D275</f>
        <v>166633499.96892866</v>
      </c>
      <c r="E283" s="106">
        <f>C283*D283/100</f>
        <v>10789519.122988131</v>
      </c>
      <c r="F283" s="103">
        <f>MIN(F285-F282,D283)</f>
        <v>35056546.968928814</v>
      </c>
      <c r="G283" s="106">
        <f>F283*C283/100</f>
        <v>2269911.4162381403</v>
      </c>
      <c r="H283" s="103">
        <f>H275</f>
        <v>131576952.99999985</v>
      </c>
      <c r="I283" s="106">
        <f>H283*C283/100</f>
        <v>8519607.7067499906</v>
      </c>
    </row>
    <row r="284" spans="2:9" hidden="1">
      <c r="D284" s="109"/>
      <c r="E284" s="152"/>
      <c r="F284" s="109"/>
      <c r="G284" s="152"/>
      <c r="H284" s="109"/>
      <c r="I284" s="152"/>
    </row>
    <row r="285" spans="2:9" hidden="1">
      <c r="B285" s="95" t="s">
        <v>87</v>
      </c>
      <c r="D285" s="103">
        <f>D282+D283</f>
        <v>1428694952.9999998</v>
      </c>
      <c r="E285" s="103">
        <f>E282+E283</f>
        <v>102162768.32243769</v>
      </c>
      <c r="F285" s="103">
        <f>F277</f>
        <v>1297118000</v>
      </c>
      <c r="G285" s="103">
        <f>G282+G283</f>
        <v>93643160.615687698</v>
      </c>
      <c r="H285" s="103">
        <f>H282+H283</f>
        <v>131576952.99999985</v>
      </c>
      <c r="I285" s="103">
        <f>I282+I283</f>
        <v>8519607.7067499906</v>
      </c>
    </row>
    <row r="286" spans="2:9" hidden="1">
      <c r="B286" s="95" t="s">
        <v>223</v>
      </c>
      <c r="D286" s="103"/>
      <c r="F286" s="103"/>
      <c r="G286" s="124">
        <f>G285/F285*100</f>
        <v>7.2193247349653378</v>
      </c>
      <c r="H286" s="103"/>
      <c r="I286" s="124">
        <f>I285/H285*100</f>
        <v>6.4750000000000005</v>
      </c>
    </row>
    <row r="287" spans="2:9" hidden="1"/>
    <row r="288" spans="2:9" hidden="1"/>
    <row r="289" spans="2:9" hidden="1"/>
    <row r="290" spans="2:9" hidden="1"/>
    <row r="294" spans="2:9">
      <c r="B294" s="153" t="s">
        <v>383</v>
      </c>
      <c r="C294" s="153"/>
      <c r="D294" s="153"/>
      <c r="E294" s="153"/>
      <c r="F294" s="153"/>
    </row>
    <row r="295" spans="2:9">
      <c r="B295" s="95" t="str">
        <f>"53,800 X "&amp;TEXT(F25,"#,##0")&amp;" = "&amp;TEXT(F277,"#,##0")</f>
        <v>53,800 X 24,110 = 1,297,118,000</v>
      </c>
    </row>
    <row r="299" spans="2:9">
      <c r="D299" s="122">
        <f>D207/D48</f>
        <v>0</v>
      </c>
      <c r="E299" s="122">
        <f>E207/E48</f>
        <v>0</v>
      </c>
      <c r="F299" s="122">
        <f>F207/F48</f>
        <v>0</v>
      </c>
      <c r="G299" s="122">
        <f>G207/G48</f>
        <v>0</v>
      </c>
      <c r="H299" s="122">
        <f>H207/H48</f>
        <v>0</v>
      </c>
      <c r="I299" s="122"/>
    </row>
    <row r="300" spans="2:9">
      <c r="D300" s="108">
        <f>D23/D25</f>
        <v>966.04927120179912</v>
      </c>
    </row>
  </sheetData>
  <mergeCells count="2">
    <mergeCell ref="P6:R11"/>
    <mergeCell ref="B95:H96"/>
  </mergeCells>
  <conditionalFormatting sqref="L55">
    <cfRule type="cellIs" dxfId="0" priority="1" stopIfTrue="1" operator="greaterThan">
      <formula>0</formula>
    </cfRule>
  </conditionalFormatting>
  <pageMargins left="0.75" right="0.75" top="0.5" bottom="0.5" header="0.25" footer="0.5"/>
  <pageSetup scale="90" orientation="landscape" horizontalDpi="360" r:id="rId1"/>
  <headerFooter alignWithMargins="0">
    <oddHeader>&amp;C&amp;"Arial,Bold"&amp;9AVISTA UTILITIES
WASHINGTON ELECTRIC
PRO FORMA REVENUE UNDER PRESENT AND PROPOSED BASE TARIFF RATES
12 MONTHS ENDED SEPTEMBER 30, 2014</oddHeader>
  </headerFooter>
  <rowBreaks count="4" manualBreakCount="4">
    <brk id="51" max="8" man="1"/>
    <brk id="100" max="8" man="1"/>
    <brk id="154" max="8" man="1"/>
    <brk id="209" max="8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5" tint="0.59999389629810485"/>
    <pageSetUpPr autoPageBreaks="0" fitToPage="1"/>
  </sheetPr>
  <dimension ref="A1:J243"/>
  <sheetViews>
    <sheetView workbookViewId="0">
      <selection activeCell="T1" sqref="T1"/>
    </sheetView>
  </sheetViews>
  <sheetFormatPr defaultColWidth="9.140625" defaultRowHeight="12.75"/>
  <cols>
    <col min="1" max="1" width="13.140625" style="4" customWidth="1"/>
    <col min="2" max="2" width="11.28515625" style="4" customWidth="1"/>
    <col min="3" max="3" width="4.28515625" style="4" customWidth="1"/>
    <col min="4" max="4" width="3.85546875" style="4" customWidth="1"/>
    <col min="5" max="5" width="4.42578125" style="4" customWidth="1"/>
    <col min="6" max="6" width="6.7109375" style="4" customWidth="1"/>
    <col min="7" max="7" width="13.5703125" style="321" customWidth="1"/>
    <col min="8" max="8" width="16.140625" style="321" customWidth="1"/>
    <col min="9" max="9" width="19.140625" style="4" bestFit="1" customWidth="1"/>
    <col min="10" max="16384" width="9.140625" style="4"/>
  </cols>
  <sheetData>
    <row r="1" spans="1:10">
      <c r="A1" s="610" t="s">
        <v>507</v>
      </c>
      <c r="J1" s="4" t="s">
        <v>514</v>
      </c>
    </row>
    <row r="2" spans="1:10" ht="15">
      <c r="A2" s="3" t="s">
        <v>2</v>
      </c>
    </row>
    <row r="3" spans="1:10">
      <c r="G3" s="377" t="s">
        <v>31</v>
      </c>
      <c r="H3" s="377" t="s">
        <v>358</v>
      </c>
    </row>
    <row r="4" spans="1:10">
      <c r="G4" s="322">
        <v>2016</v>
      </c>
      <c r="H4" s="322">
        <v>2016</v>
      </c>
    </row>
    <row r="5" spans="1:10">
      <c r="A5" s="566" t="s">
        <v>43</v>
      </c>
      <c r="G5" s="322"/>
      <c r="H5" s="322"/>
    </row>
    <row r="6" spans="1:10">
      <c r="A6" s="582" t="s">
        <v>33</v>
      </c>
      <c r="B6" s="7"/>
      <c r="C6" s="7"/>
      <c r="D6" s="7"/>
      <c r="E6" s="7"/>
      <c r="F6" s="7"/>
      <c r="G6" s="576">
        <v>209394.33333333334</v>
      </c>
      <c r="H6" s="323">
        <f>G6*12</f>
        <v>2512732</v>
      </c>
      <c r="J6" s="4" t="s">
        <v>515</v>
      </c>
    </row>
    <row r="7" spans="1:10">
      <c r="A7" s="582" t="s">
        <v>37</v>
      </c>
      <c r="B7" s="7"/>
      <c r="C7" s="7"/>
      <c r="D7" s="7"/>
      <c r="E7" s="7"/>
      <c r="F7" s="7"/>
      <c r="G7" s="576">
        <v>22339.232387966422</v>
      </c>
      <c r="H7" s="323">
        <f t="shared" ref="H7:H25" si="0">G7*12</f>
        <v>268070.78865559708</v>
      </c>
      <c r="J7" s="4" t="s">
        <v>516</v>
      </c>
    </row>
    <row r="8" spans="1:10">
      <c r="A8" s="582" t="s">
        <v>34</v>
      </c>
      <c r="B8" s="7"/>
      <c r="C8" s="7"/>
      <c r="D8" s="7"/>
      <c r="E8" s="7"/>
      <c r="F8" s="7"/>
      <c r="G8" s="576">
        <v>9270.25</v>
      </c>
      <c r="H8" s="323">
        <f t="shared" si="0"/>
        <v>111243</v>
      </c>
      <c r="J8" s="4" t="s">
        <v>517</v>
      </c>
    </row>
    <row r="9" spans="1:10">
      <c r="A9" s="582" t="s">
        <v>38</v>
      </c>
      <c r="B9" s="7"/>
      <c r="C9" s="7"/>
      <c r="D9" s="7"/>
      <c r="E9" s="7"/>
      <c r="F9" s="7"/>
      <c r="G9" s="576">
        <v>1964.1555167003778</v>
      </c>
      <c r="H9" s="323">
        <f t="shared" si="0"/>
        <v>23569.866200404533</v>
      </c>
      <c r="J9" s="4" t="s">
        <v>518</v>
      </c>
    </row>
    <row r="10" spans="1:10">
      <c r="A10" s="582" t="s">
        <v>35</v>
      </c>
      <c r="B10" s="7"/>
      <c r="C10" s="7"/>
      <c r="D10" s="7"/>
      <c r="E10" s="7"/>
      <c r="F10" s="7"/>
      <c r="G10" s="576">
        <v>54.618041666666663</v>
      </c>
      <c r="H10" s="323">
        <f t="shared" si="0"/>
        <v>655.41649999999993</v>
      </c>
      <c r="J10" s="4" t="s">
        <v>519</v>
      </c>
    </row>
    <row r="11" spans="1:10">
      <c r="A11" s="582" t="s">
        <v>39</v>
      </c>
      <c r="B11" s="7"/>
      <c r="C11" s="7"/>
      <c r="D11" s="7"/>
      <c r="E11" s="7"/>
      <c r="F11" s="7"/>
      <c r="G11" s="576">
        <v>20.974075673563011</v>
      </c>
      <c r="H11" s="323">
        <f t="shared" si="0"/>
        <v>251.68890808275614</v>
      </c>
      <c r="J11" s="4" t="s">
        <v>520</v>
      </c>
    </row>
    <row r="12" spans="1:10">
      <c r="A12" s="582" t="s">
        <v>41</v>
      </c>
      <c r="B12" s="7"/>
      <c r="C12" s="7"/>
      <c r="D12" s="7"/>
      <c r="E12" s="7"/>
      <c r="F12" s="7"/>
      <c r="G12" s="576">
        <v>0</v>
      </c>
      <c r="H12" s="323">
        <f t="shared" si="0"/>
        <v>0</v>
      </c>
      <c r="J12" s="4" t="s">
        <v>521</v>
      </c>
    </row>
    <row r="13" spans="1:10">
      <c r="A13" s="582" t="s">
        <v>40</v>
      </c>
      <c r="B13" s="7"/>
      <c r="C13" s="7"/>
      <c r="D13" s="7"/>
      <c r="E13" s="7"/>
      <c r="F13" s="7"/>
      <c r="G13" s="576">
        <v>1256.8935910567657</v>
      </c>
      <c r="H13" s="323">
        <f t="shared" si="0"/>
        <v>15082.723092681188</v>
      </c>
      <c r="J13" s="4" t="s">
        <v>522</v>
      </c>
    </row>
    <row r="14" spans="1:10">
      <c r="A14" s="582" t="s">
        <v>36</v>
      </c>
      <c r="B14" s="7"/>
      <c r="C14" s="7"/>
      <c r="D14" s="7"/>
      <c r="E14" s="7"/>
      <c r="F14" s="7"/>
      <c r="G14" s="576">
        <v>1218.806325</v>
      </c>
      <c r="H14" s="323">
        <f t="shared" si="0"/>
        <v>14625.6759</v>
      </c>
      <c r="J14" s="4" t="s">
        <v>523</v>
      </c>
    </row>
    <row r="15" spans="1:10">
      <c r="A15" s="582" t="s">
        <v>42</v>
      </c>
      <c r="B15" s="7"/>
      <c r="C15" s="7"/>
      <c r="D15" s="7"/>
      <c r="E15" s="7"/>
      <c r="F15" s="7"/>
      <c r="G15" s="576">
        <v>397.44294999999994</v>
      </c>
      <c r="H15" s="323">
        <f t="shared" si="0"/>
        <v>4769.3153999999995</v>
      </c>
      <c r="J15" s="4" t="s">
        <v>524</v>
      </c>
    </row>
    <row r="16" spans="1:10">
      <c r="A16" s="582" t="s">
        <v>259</v>
      </c>
      <c r="B16" s="7"/>
      <c r="C16" s="7"/>
      <c r="D16" s="7"/>
      <c r="E16" s="7"/>
      <c r="F16" s="7"/>
      <c r="G16" s="576">
        <v>105892.70273403819</v>
      </c>
      <c r="H16" s="323">
        <f t="shared" si="0"/>
        <v>1270712.4328084583</v>
      </c>
      <c r="J16" s="4" t="s">
        <v>525</v>
      </c>
    </row>
    <row r="17" spans="1:10">
      <c r="A17" s="582" t="s">
        <v>264</v>
      </c>
      <c r="B17" s="7"/>
      <c r="C17" s="7"/>
      <c r="D17" s="7"/>
      <c r="E17" s="7"/>
      <c r="F17" s="7"/>
      <c r="G17" s="576">
        <v>16007.131658333334</v>
      </c>
      <c r="H17" s="323">
        <f t="shared" si="0"/>
        <v>192085.57990000001</v>
      </c>
      <c r="J17" s="4" t="s">
        <v>526</v>
      </c>
    </row>
    <row r="18" spans="1:10">
      <c r="A18" s="582" t="s">
        <v>260</v>
      </c>
      <c r="B18" s="7"/>
      <c r="C18" s="7"/>
      <c r="D18" s="7"/>
      <c r="E18" s="7"/>
      <c r="F18" s="7"/>
      <c r="G18" s="576">
        <v>5277.75</v>
      </c>
      <c r="H18" s="323">
        <f t="shared" si="0"/>
        <v>63333</v>
      </c>
      <c r="J18" s="4" t="s">
        <v>527</v>
      </c>
    </row>
    <row r="19" spans="1:10">
      <c r="A19" s="582" t="s">
        <v>265</v>
      </c>
      <c r="B19" s="7"/>
      <c r="C19" s="8"/>
      <c r="D19" s="7"/>
      <c r="E19" s="7"/>
      <c r="F19" s="7"/>
      <c r="G19" s="576">
        <v>1133.5452936413924</v>
      </c>
      <c r="H19" s="323">
        <f t="shared" si="0"/>
        <v>13602.54352369671</v>
      </c>
      <c r="J19" s="4" t="s">
        <v>528</v>
      </c>
    </row>
    <row r="20" spans="1:10">
      <c r="A20" s="582" t="s">
        <v>261</v>
      </c>
      <c r="B20" s="7"/>
      <c r="C20" s="7"/>
      <c r="D20" s="7"/>
      <c r="E20" s="7"/>
      <c r="F20" s="7"/>
      <c r="G20" s="576">
        <v>21.445034499375708</v>
      </c>
      <c r="H20" s="323">
        <f t="shared" si="0"/>
        <v>257.3404139925085</v>
      </c>
      <c r="J20" s="4" t="s">
        <v>529</v>
      </c>
    </row>
    <row r="21" spans="1:10">
      <c r="A21" s="582" t="s">
        <v>266</v>
      </c>
      <c r="B21" s="7"/>
      <c r="C21" s="7"/>
      <c r="D21" s="7"/>
      <c r="E21" s="7"/>
      <c r="F21" s="7"/>
      <c r="G21" s="576">
        <v>9</v>
      </c>
      <c r="H21" s="323">
        <f t="shared" si="0"/>
        <v>108</v>
      </c>
      <c r="J21" s="4" t="s">
        <v>530</v>
      </c>
    </row>
    <row r="22" spans="1:10">
      <c r="A22" s="582" t="s">
        <v>268</v>
      </c>
      <c r="B22" s="7"/>
      <c r="C22" s="7"/>
      <c r="D22" s="7"/>
      <c r="E22" s="7"/>
      <c r="F22" s="7"/>
      <c r="G22" s="576">
        <v>1</v>
      </c>
      <c r="H22" s="323">
        <f t="shared" si="0"/>
        <v>12</v>
      </c>
      <c r="J22" s="4" t="s">
        <v>531</v>
      </c>
    </row>
    <row r="23" spans="1:10">
      <c r="A23" s="582" t="s">
        <v>267</v>
      </c>
      <c r="G23" s="576">
        <v>729.54100833333325</v>
      </c>
      <c r="H23" s="323">
        <f t="shared" si="0"/>
        <v>8754.4920999999995</v>
      </c>
      <c r="J23" s="4" t="s">
        <v>532</v>
      </c>
    </row>
    <row r="24" spans="1:10">
      <c r="A24" s="582" t="s">
        <v>262</v>
      </c>
      <c r="G24" s="576">
        <v>685.10282500000005</v>
      </c>
      <c r="H24" s="323">
        <f t="shared" si="0"/>
        <v>8221.2339000000011</v>
      </c>
      <c r="J24" s="4" t="s">
        <v>533</v>
      </c>
    </row>
    <row r="25" spans="1:10">
      <c r="A25" s="582" t="s">
        <v>263</v>
      </c>
      <c r="B25" s="7"/>
      <c r="C25" s="7"/>
      <c r="G25" s="576">
        <v>147</v>
      </c>
      <c r="H25" s="323">
        <f t="shared" si="0"/>
        <v>1764</v>
      </c>
      <c r="J25" s="4" t="s">
        <v>534</v>
      </c>
    </row>
    <row r="26" spans="1:10">
      <c r="A26" s="579"/>
      <c r="B26" s="7"/>
      <c r="C26" s="7"/>
      <c r="G26" s="323"/>
      <c r="H26" s="323"/>
    </row>
    <row r="27" spans="1:10">
      <c r="A27" s="566" t="s">
        <v>357</v>
      </c>
      <c r="B27" s="7"/>
      <c r="C27" s="7"/>
      <c r="G27" s="323"/>
      <c r="H27" s="323"/>
    </row>
    <row r="28" spans="1:10" s="9" customFormat="1">
      <c r="A28" s="591" t="s">
        <v>32</v>
      </c>
      <c r="B28" s="10"/>
      <c r="C28" s="10"/>
      <c r="G28" s="479">
        <f>SUM(G6:G15)</f>
        <v>245916.70622139712</v>
      </c>
      <c r="H28" s="324">
        <f>SUM(H6:H15)</f>
        <v>2951000.4746567663</v>
      </c>
      <c r="J28" s="4" t="s">
        <v>537</v>
      </c>
    </row>
    <row r="29" spans="1:10" s="9" customFormat="1">
      <c r="A29" s="572" t="s">
        <v>258</v>
      </c>
      <c r="B29" s="10"/>
      <c r="C29" s="10"/>
      <c r="G29" s="479">
        <f>SUM(G16:G25)</f>
        <v>129904.21855384563</v>
      </c>
      <c r="H29" s="324">
        <f>SUM(H16:H25)</f>
        <v>1558850.6226461476</v>
      </c>
      <c r="J29" s="4" t="s">
        <v>538</v>
      </c>
    </row>
    <row r="30" spans="1:10" s="9" customFormat="1">
      <c r="A30" s="584"/>
      <c r="B30" s="10"/>
      <c r="C30" s="10"/>
      <c r="G30" s="479"/>
      <c r="H30" s="324"/>
      <c r="J30" s="4"/>
    </row>
    <row r="31" spans="1:10">
      <c r="A31" s="594" t="s">
        <v>356</v>
      </c>
      <c r="B31" s="5"/>
      <c r="C31" s="7"/>
      <c r="G31" s="480">
        <f>SUM(G6:G25)</f>
        <v>375820.92477524281</v>
      </c>
      <c r="H31" s="323">
        <f>SUM(H6:H25)</f>
        <v>4509851.0973029146</v>
      </c>
      <c r="J31" s="4" t="s">
        <v>540</v>
      </c>
    </row>
    <row r="32" spans="1:10">
      <c r="A32"/>
      <c r="B32"/>
      <c r="C32"/>
      <c r="D32"/>
      <c r="E32"/>
      <c r="F32"/>
      <c r="G32"/>
      <c r="H32"/>
    </row>
    <row r="33" spans="1:10">
      <c r="A33"/>
      <c r="B33"/>
      <c r="C33"/>
      <c r="D33"/>
      <c r="E33"/>
      <c r="F33"/>
      <c r="G33"/>
      <c r="H33"/>
    </row>
    <row r="34" spans="1:10">
      <c r="A34"/>
      <c r="B34"/>
      <c r="C34"/>
      <c r="D34"/>
      <c r="E34"/>
      <c r="F34"/>
      <c r="G34" s="378" t="s">
        <v>8</v>
      </c>
      <c r="H34"/>
    </row>
    <row r="35" spans="1:10">
      <c r="B35" s="10"/>
      <c r="C35" s="10"/>
      <c r="D35" s="11"/>
      <c r="E35" s="9"/>
      <c r="F35" s="9"/>
      <c r="G35" s="465">
        <v>2016</v>
      </c>
      <c r="H35" s="323"/>
    </row>
    <row r="36" spans="1:10" hidden="1">
      <c r="A36" s="6" t="s">
        <v>44</v>
      </c>
      <c r="G36" s="325"/>
      <c r="H36" s="323"/>
    </row>
    <row r="37" spans="1:10" hidden="1">
      <c r="B37" s="7" t="s">
        <v>32</v>
      </c>
      <c r="G37" s="325">
        <v>5752629623.1252184</v>
      </c>
      <c r="H37" s="323"/>
    </row>
    <row r="38" spans="1:10" hidden="1">
      <c r="G38" s="326"/>
      <c r="H38" s="323"/>
    </row>
    <row r="39" spans="1:10">
      <c r="H39" s="323"/>
    </row>
    <row r="40" spans="1:10" ht="15">
      <c r="A40" s="590" t="s">
        <v>45</v>
      </c>
      <c r="B40" s="586"/>
      <c r="C40"/>
      <c r="D40"/>
      <c r="E40"/>
      <c r="F40"/>
      <c r="G40" s="322"/>
      <c r="H40" s="323"/>
    </row>
    <row r="41" spans="1:10">
      <c r="A41" s="593" t="s">
        <v>46</v>
      </c>
      <c r="B41" s="586"/>
      <c r="C41"/>
      <c r="D41"/>
      <c r="E41"/>
      <c r="F41"/>
      <c r="G41" s="323"/>
      <c r="H41" s="323"/>
    </row>
    <row r="42" spans="1:10">
      <c r="A42" s="575" t="s">
        <v>37</v>
      </c>
      <c r="B42" s="583" t="s">
        <v>359</v>
      </c>
      <c r="C42"/>
      <c r="D42"/>
      <c r="E42"/>
      <c r="F42"/>
      <c r="G42" s="597">
        <v>356508.5</v>
      </c>
      <c r="H42" s="323"/>
      <c r="J42" s="4" t="s">
        <v>541</v>
      </c>
    </row>
    <row r="43" spans="1:10">
      <c r="A43" s="575" t="s">
        <v>34</v>
      </c>
      <c r="B43" s="583" t="s">
        <v>359</v>
      </c>
      <c r="C43"/>
      <c r="D43"/>
      <c r="E43"/>
      <c r="F43"/>
      <c r="G43" s="597">
        <v>8132.5</v>
      </c>
      <c r="H43" s="323"/>
      <c r="J43" s="4" t="s">
        <v>542</v>
      </c>
    </row>
    <row r="44" spans="1:10">
      <c r="A44" s="575" t="s">
        <v>38</v>
      </c>
      <c r="B44" s="583" t="s">
        <v>360</v>
      </c>
      <c r="C44"/>
      <c r="D44"/>
      <c r="E44"/>
      <c r="F44"/>
      <c r="G44" s="597">
        <v>2643570.541666667</v>
      </c>
      <c r="H44" s="323"/>
      <c r="J44" s="4" t="s">
        <v>543</v>
      </c>
    </row>
    <row r="45" spans="1:10">
      <c r="A45" s="575" t="s">
        <v>35</v>
      </c>
      <c r="B45" s="583" t="s">
        <v>360</v>
      </c>
      <c r="C45"/>
      <c r="D45"/>
      <c r="E45"/>
      <c r="F45"/>
      <c r="G45" s="597">
        <v>53982.5</v>
      </c>
      <c r="H45" s="323"/>
      <c r="J45" s="4" t="s">
        <v>544</v>
      </c>
    </row>
    <row r="46" spans="1:10">
      <c r="A46" s="575" t="s">
        <v>39</v>
      </c>
      <c r="B46" s="583" t="s">
        <v>361</v>
      </c>
      <c r="C46"/>
      <c r="D46"/>
      <c r="E46"/>
      <c r="F46"/>
      <c r="G46" s="597">
        <v>1168073</v>
      </c>
      <c r="H46" s="323"/>
      <c r="J46" s="4" t="s">
        <v>545</v>
      </c>
    </row>
    <row r="47" spans="1:10">
      <c r="A47" s="575" t="s">
        <v>264</v>
      </c>
      <c r="B47" s="583" t="s">
        <v>359</v>
      </c>
      <c r="C47"/>
      <c r="D47"/>
      <c r="E47"/>
      <c r="F47"/>
      <c r="G47" s="597">
        <v>227091.75</v>
      </c>
      <c r="H47" s="323"/>
      <c r="J47" s="4" t="s">
        <v>546</v>
      </c>
    </row>
    <row r="48" spans="1:10">
      <c r="A48" s="575" t="s">
        <v>260</v>
      </c>
      <c r="B48" s="583" t="s">
        <v>359</v>
      </c>
      <c r="C48"/>
      <c r="D48"/>
      <c r="E48"/>
      <c r="F48"/>
      <c r="G48" s="597">
        <v>8132.5</v>
      </c>
      <c r="H48" s="323"/>
      <c r="J48" s="4" t="s">
        <v>547</v>
      </c>
    </row>
    <row r="49" spans="1:10">
      <c r="A49" s="575" t="s">
        <v>265</v>
      </c>
      <c r="B49" s="583" t="s">
        <v>360</v>
      </c>
      <c r="C49"/>
      <c r="D49"/>
      <c r="E49"/>
      <c r="F49"/>
      <c r="G49" s="597">
        <v>1286037.25</v>
      </c>
      <c r="H49" s="323"/>
      <c r="J49" s="4" t="s">
        <v>548</v>
      </c>
    </row>
    <row r="50" spans="1:10">
      <c r="A50" s="575" t="s">
        <v>261</v>
      </c>
      <c r="B50" s="583" t="s">
        <v>360</v>
      </c>
      <c r="C50"/>
      <c r="D50"/>
      <c r="E50"/>
      <c r="F50"/>
      <c r="G50" s="597">
        <v>15704.958333333334</v>
      </c>
      <c r="H50" s="323"/>
      <c r="J50" s="4" t="s">
        <v>549</v>
      </c>
    </row>
    <row r="51" spans="1:10">
      <c r="A51" s="575" t="s">
        <v>266</v>
      </c>
      <c r="B51" s="583" t="s">
        <v>361</v>
      </c>
      <c r="C51"/>
      <c r="D51"/>
      <c r="E51"/>
      <c r="F51"/>
      <c r="G51" s="597">
        <v>270260.5</v>
      </c>
      <c r="H51" s="323"/>
      <c r="J51" s="4" t="s">
        <v>550</v>
      </c>
    </row>
    <row r="52" spans="1:10">
      <c r="A52" s="575" t="s">
        <v>268</v>
      </c>
      <c r="B52" s="583" t="s">
        <v>361</v>
      </c>
      <c r="C52"/>
      <c r="D52"/>
      <c r="E52"/>
      <c r="F52"/>
      <c r="G52" s="597">
        <v>649540</v>
      </c>
      <c r="H52" s="323"/>
      <c r="J52" s="4" t="s">
        <v>551</v>
      </c>
    </row>
    <row r="53" spans="1:10">
      <c r="A53" s="321"/>
      <c r="B53" s="379"/>
      <c r="C53" s="236"/>
      <c r="D53" s="236"/>
      <c r="E53" s="236"/>
      <c r="F53" s="236"/>
      <c r="G53" s="323"/>
      <c r="H53" s="323"/>
    </row>
    <row r="54" spans="1:10">
      <c r="A54"/>
      <c r="B54"/>
      <c r="C54"/>
      <c r="D54"/>
      <c r="E54"/>
      <c r="F54"/>
      <c r="G54"/>
      <c r="H54" s="323"/>
    </row>
    <row r="55" spans="1:10">
      <c r="A55" s="372" t="s">
        <v>47</v>
      </c>
      <c r="B55"/>
      <c r="C55"/>
      <c r="D55"/>
      <c r="E55"/>
      <c r="F55"/>
      <c r="G55"/>
      <c r="H55" s="323"/>
    </row>
    <row r="56" spans="1:10" s="9" customFormat="1">
      <c r="A56" s="373" t="s">
        <v>32</v>
      </c>
      <c r="B56"/>
      <c r="C56"/>
      <c r="D56"/>
      <c r="E56"/>
      <c r="F56"/>
      <c r="G56" s="2">
        <f>SUM(G42:G46)</f>
        <v>4230267.041666667</v>
      </c>
      <c r="H56" s="323"/>
      <c r="J56" s="4" t="s">
        <v>552</v>
      </c>
    </row>
    <row r="57" spans="1:10" s="9" customFormat="1">
      <c r="A57" s="374" t="s">
        <v>258</v>
      </c>
      <c r="B57"/>
      <c r="C57"/>
      <c r="D57"/>
      <c r="E57"/>
      <c r="F57"/>
      <c r="G57" s="2">
        <f>SUM(G47:G52)</f>
        <v>2456766.958333333</v>
      </c>
      <c r="H57" s="323"/>
      <c r="J57" s="4" t="s">
        <v>553</v>
      </c>
    </row>
    <row r="58" spans="1:10">
      <c r="A58" s="375"/>
      <c r="B58"/>
      <c r="C58"/>
      <c r="D58"/>
      <c r="E58"/>
      <c r="F58"/>
      <c r="G58"/>
      <c r="H58" s="323"/>
    </row>
    <row r="59" spans="1:10">
      <c r="A59" s="376" t="s">
        <v>356</v>
      </c>
      <c r="B59"/>
      <c r="C59"/>
      <c r="D59"/>
      <c r="E59"/>
      <c r="F59"/>
      <c r="G59" s="2">
        <f>SUM(G42:G52)</f>
        <v>6687034</v>
      </c>
      <c r="H59" s="323"/>
      <c r="J59" s="4" t="s">
        <v>554</v>
      </c>
    </row>
    <row r="192" spans="2:2" ht="15">
      <c r="B192" s="655"/>
    </row>
    <row r="242" spans="9:9">
      <c r="I242" s="652"/>
    </row>
    <row r="243" spans="9:9">
      <c r="I243" s="652"/>
    </row>
  </sheetData>
  <phoneticPr fontId="53" type="noConversion"/>
  <pageMargins left="0.99" right="0.25" top="0.5" bottom="0.5" header="0.5" footer="0.3"/>
  <pageSetup fitToHeight="2" orientation="portrait" r:id="rId1"/>
  <headerFooter alignWithMargins="0">
    <oddFooter>&amp;C&amp;F / 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N243"/>
  <sheetViews>
    <sheetView workbookViewId="0">
      <selection activeCell="T1" sqref="T1"/>
    </sheetView>
  </sheetViews>
  <sheetFormatPr defaultRowHeight="12.75"/>
  <cols>
    <col min="2" max="2" width="22.85546875" customWidth="1"/>
    <col min="4" max="4" width="16.7109375" bestFit="1" customWidth="1"/>
    <col min="7" max="7" width="10.140625" customWidth="1"/>
    <col min="8" max="8" width="2.7109375" customWidth="1"/>
    <col min="10" max="10" width="20.7109375" customWidth="1"/>
    <col min="12" max="12" width="11.140625" customWidth="1"/>
  </cols>
  <sheetData>
    <row r="1" spans="1:14">
      <c r="A1" s="610" t="s">
        <v>507</v>
      </c>
      <c r="I1" s="604"/>
      <c r="J1" s="604"/>
      <c r="K1" s="604"/>
      <c r="L1" s="604"/>
      <c r="M1" s="604"/>
      <c r="N1" s="604"/>
    </row>
    <row r="2" spans="1:14">
      <c r="F2" s="610" t="s">
        <v>508</v>
      </c>
      <c r="I2" s="604"/>
      <c r="J2" s="604"/>
      <c r="K2" s="604"/>
      <c r="L2" s="604"/>
      <c r="M2" s="604"/>
      <c r="N2" s="604"/>
    </row>
    <row r="3" spans="1:14">
      <c r="I3" s="604"/>
      <c r="J3" s="604"/>
      <c r="K3" s="604"/>
      <c r="L3" s="604"/>
      <c r="M3" s="604"/>
      <c r="N3" s="604"/>
    </row>
    <row r="4" spans="1:14">
      <c r="A4" s="581" t="s">
        <v>269</v>
      </c>
      <c r="D4" s="611">
        <v>2016</v>
      </c>
      <c r="I4" s="604"/>
      <c r="J4" s="604"/>
      <c r="K4" s="604"/>
      <c r="L4" s="604"/>
      <c r="M4" s="604"/>
      <c r="N4" s="604"/>
    </row>
    <row r="5" spans="1:14">
      <c r="A5" s="574" t="s">
        <v>33</v>
      </c>
      <c r="D5" s="580">
        <v>2447894612.94909</v>
      </c>
      <c r="F5" s="610" t="s">
        <v>521</v>
      </c>
      <c r="G5" s="610"/>
      <c r="I5" s="604"/>
      <c r="J5" s="604"/>
      <c r="K5" s="604"/>
      <c r="L5" s="604"/>
      <c r="M5" s="604"/>
      <c r="N5" s="604"/>
    </row>
    <row r="6" spans="1:14">
      <c r="A6" s="574" t="s">
        <v>37</v>
      </c>
      <c r="D6" s="573">
        <v>533190763.92359316</v>
      </c>
      <c r="F6" s="610" t="s">
        <v>522</v>
      </c>
      <c r="G6" s="610"/>
      <c r="I6" s="604"/>
      <c r="J6" s="604"/>
      <c r="K6" s="604"/>
      <c r="L6" s="604"/>
      <c r="M6" s="604"/>
      <c r="N6" s="604"/>
    </row>
    <row r="7" spans="1:14">
      <c r="A7" s="574" t="s">
        <v>34</v>
      </c>
      <c r="D7" s="573">
        <v>58198159.318362407</v>
      </c>
      <c r="F7" s="610" t="s">
        <v>523</v>
      </c>
      <c r="G7" s="610"/>
      <c r="I7" s="604"/>
      <c r="J7" s="604"/>
      <c r="K7" s="604"/>
      <c r="L7" s="604"/>
      <c r="M7" s="604"/>
      <c r="N7" s="604"/>
    </row>
    <row r="8" spans="1:14">
      <c r="A8" s="574" t="s">
        <v>38</v>
      </c>
      <c r="D8" s="573">
        <v>1394199937.4331989</v>
      </c>
      <c r="F8" s="610" t="s">
        <v>524</v>
      </c>
      <c r="G8" s="610"/>
      <c r="I8" s="604"/>
      <c r="J8" s="604"/>
      <c r="K8" s="604"/>
      <c r="L8" s="604"/>
      <c r="M8" s="604"/>
      <c r="N8" s="604"/>
    </row>
    <row r="9" spans="1:14">
      <c r="A9" s="574" t="s">
        <v>35</v>
      </c>
      <c r="D9" s="573">
        <v>36949668.457222924</v>
      </c>
      <c r="F9" s="610" t="s">
        <v>525</v>
      </c>
      <c r="G9" s="610"/>
      <c r="I9" s="604"/>
      <c r="J9" s="604"/>
      <c r="K9" s="604"/>
      <c r="L9" s="604"/>
      <c r="M9" s="604"/>
      <c r="N9" s="604"/>
    </row>
    <row r="10" spans="1:14">
      <c r="A10" s="574" t="s">
        <v>39</v>
      </c>
      <c r="D10" s="573">
        <v>1114987712.0720894</v>
      </c>
      <c r="F10" s="610" t="s">
        <v>526</v>
      </c>
      <c r="G10" s="610"/>
      <c r="I10" s="604"/>
      <c r="J10" s="604"/>
      <c r="K10" s="604"/>
      <c r="L10" s="604"/>
      <c r="M10" s="604"/>
      <c r="N10" s="604"/>
    </row>
    <row r="11" spans="1:14">
      <c r="A11" s="574" t="s">
        <v>41</v>
      </c>
      <c r="D11" s="573">
        <v>0</v>
      </c>
      <c r="F11" s="610" t="s">
        <v>527</v>
      </c>
      <c r="G11" s="610"/>
      <c r="I11" s="604"/>
      <c r="J11" s="604"/>
      <c r="K11" s="604"/>
      <c r="L11" s="604"/>
      <c r="M11" s="604"/>
      <c r="N11" s="604"/>
    </row>
    <row r="12" spans="1:14">
      <c r="A12" s="574" t="s">
        <v>40</v>
      </c>
      <c r="D12" s="573">
        <v>123625944.32330225</v>
      </c>
      <c r="F12" s="610" t="s">
        <v>528</v>
      </c>
      <c r="G12" s="610"/>
      <c r="I12" s="604"/>
      <c r="J12" s="604"/>
      <c r="K12" s="604"/>
      <c r="L12" s="604"/>
      <c r="M12" s="604"/>
      <c r="N12" s="604"/>
    </row>
    <row r="13" spans="1:14">
      <c r="A13" s="574" t="s">
        <v>36</v>
      </c>
      <c r="D13" s="573">
        <v>8099403.0397304203</v>
      </c>
      <c r="F13" s="610" t="s">
        <v>529</v>
      </c>
      <c r="G13" s="610"/>
      <c r="I13" s="604"/>
      <c r="J13" s="604"/>
      <c r="K13" s="604"/>
      <c r="L13" s="604"/>
      <c r="M13" s="604"/>
      <c r="N13" s="604"/>
    </row>
    <row r="14" spans="1:14">
      <c r="A14" s="596" t="s">
        <v>42</v>
      </c>
      <c r="D14" s="573">
        <v>24890112.090452805</v>
      </c>
      <c r="F14" s="610" t="s">
        <v>530</v>
      </c>
      <c r="G14" s="610"/>
      <c r="I14" s="604"/>
      <c r="J14" s="604"/>
      <c r="K14" s="604"/>
      <c r="L14" s="604"/>
      <c r="M14" s="604"/>
      <c r="N14" s="604"/>
    </row>
    <row r="15" spans="1:14">
      <c r="A15" s="574" t="s">
        <v>259</v>
      </c>
      <c r="D15" s="573">
        <v>1202461977.0101345</v>
      </c>
      <c r="F15" s="610" t="s">
        <v>531</v>
      </c>
      <c r="G15" s="610"/>
      <c r="I15" s="604"/>
      <c r="J15" s="604"/>
      <c r="K15" s="604"/>
      <c r="L15" s="604"/>
      <c r="M15" s="604"/>
      <c r="N15" s="604"/>
    </row>
    <row r="16" spans="1:14">
      <c r="A16" s="574" t="s">
        <v>264</v>
      </c>
      <c r="D16" s="573">
        <v>338210070.58827966</v>
      </c>
      <c r="F16" s="610" t="s">
        <v>532</v>
      </c>
      <c r="G16" s="610"/>
      <c r="I16" s="604"/>
      <c r="J16" s="604"/>
      <c r="K16" s="604"/>
      <c r="L16" s="604"/>
      <c r="M16" s="604"/>
      <c r="N16" s="604"/>
    </row>
    <row r="17" spans="1:14">
      <c r="A17" s="574" t="s">
        <v>260</v>
      </c>
      <c r="D17" s="573">
        <v>25811535.578046337</v>
      </c>
      <c r="F17" s="610" t="s">
        <v>533</v>
      </c>
      <c r="G17" s="610"/>
      <c r="I17" s="604"/>
      <c r="J17" s="604"/>
      <c r="K17" s="604"/>
      <c r="L17" s="604"/>
      <c r="M17" s="604"/>
      <c r="N17" s="604"/>
    </row>
    <row r="18" spans="1:14">
      <c r="A18" s="574" t="s">
        <v>265</v>
      </c>
      <c r="D18" s="573">
        <v>675583052.13072968</v>
      </c>
      <c r="F18" s="610" t="s">
        <v>534</v>
      </c>
      <c r="G18" s="610"/>
      <c r="I18" s="604"/>
      <c r="J18" s="604"/>
      <c r="K18" s="604"/>
      <c r="L18" s="604"/>
      <c r="M18" s="604"/>
      <c r="N18" s="604"/>
    </row>
    <row r="19" spans="1:14">
      <c r="A19" s="574" t="s">
        <v>261</v>
      </c>
      <c r="D19" s="573">
        <v>10480484.077333149</v>
      </c>
      <c r="F19" s="610" t="s">
        <v>535</v>
      </c>
      <c r="G19" s="610"/>
      <c r="I19" s="604"/>
      <c r="J19" s="604"/>
      <c r="K19" s="604"/>
      <c r="L19" s="604"/>
      <c r="M19" s="604"/>
      <c r="N19" s="604"/>
    </row>
    <row r="20" spans="1:14">
      <c r="A20" s="574" t="s">
        <v>266</v>
      </c>
      <c r="D20" s="573">
        <v>331839388</v>
      </c>
      <c r="F20" s="610" t="s">
        <v>536</v>
      </c>
      <c r="G20" s="610"/>
      <c r="I20" s="604"/>
      <c r="J20" s="604"/>
      <c r="K20" s="604"/>
      <c r="L20" s="604"/>
      <c r="M20" s="604"/>
      <c r="N20" s="604"/>
    </row>
    <row r="21" spans="1:14">
      <c r="A21" s="574" t="s">
        <v>268</v>
      </c>
      <c r="D21" s="573">
        <v>452814683</v>
      </c>
      <c r="F21" s="610" t="s">
        <v>537</v>
      </c>
      <c r="G21" s="610"/>
      <c r="I21" s="604"/>
      <c r="J21" s="604"/>
      <c r="K21" s="604"/>
      <c r="L21" s="604"/>
      <c r="M21" s="604"/>
      <c r="N21" s="604"/>
    </row>
    <row r="22" spans="1:14">
      <c r="A22" s="574" t="s">
        <v>267</v>
      </c>
      <c r="D22" s="573">
        <v>50391402.280106425</v>
      </c>
      <c r="F22" s="610" t="s">
        <v>538</v>
      </c>
      <c r="G22" s="610"/>
      <c r="I22" s="604"/>
      <c r="J22" s="604"/>
      <c r="K22" s="604"/>
      <c r="L22" s="604"/>
      <c r="M22" s="604"/>
      <c r="N22" s="604"/>
    </row>
    <row r="23" spans="1:14">
      <c r="A23" s="574" t="s">
        <v>262</v>
      </c>
      <c r="D23" s="573">
        <v>5213090.2355687255</v>
      </c>
      <c r="F23" s="610" t="s">
        <v>539</v>
      </c>
      <c r="G23" s="610"/>
      <c r="I23" s="604"/>
      <c r="J23" s="604"/>
      <c r="K23" s="604"/>
      <c r="L23" s="604"/>
      <c r="M23" s="604"/>
      <c r="N23" s="604"/>
    </row>
    <row r="24" spans="1:14">
      <c r="A24" s="596" t="s">
        <v>263</v>
      </c>
      <c r="D24" s="573">
        <v>13880887</v>
      </c>
      <c r="F24" s="610" t="s">
        <v>540</v>
      </c>
      <c r="G24" s="610"/>
      <c r="I24" s="604"/>
      <c r="J24" s="604"/>
      <c r="K24" s="604"/>
      <c r="L24" s="604"/>
      <c r="M24" s="604"/>
      <c r="N24" s="604"/>
    </row>
    <row r="25" spans="1:14">
      <c r="A25" s="568"/>
      <c r="D25" s="578"/>
      <c r="F25" s="610"/>
      <c r="G25" s="610"/>
      <c r="I25" s="604"/>
      <c r="J25" s="604"/>
      <c r="K25" s="604"/>
      <c r="L25" s="604"/>
      <c r="M25" s="604"/>
      <c r="N25" s="604"/>
    </row>
    <row r="26" spans="1:14">
      <c r="A26" s="581" t="s">
        <v>270</v>
      </c>
      <c r="D26" s="595"/>
      <c r="F26" s="610"/>
      <c r="G26" s="610"/>
      <c r="I26" s="604"/>
      <c r="J26" s="604"/>
      <c r="K26" s="604"/>
      <c r="L26" s="604"/>
      <c r="M26" s="604"/>
      <c r="N26" s="604"/>
    </row>
    <row r="27" spans="1:14">
      <c r="A27" s="567" t="s">
        <v>32</v>
      </c>
      <c r="D27" s="573">
        <f>SUM(D5:D14)</f>
        <v>5742036313.6070423</v>
      </c>
      <c r="F27" s="610" t="s">
        <v>555</v>
      </c>
      <c r="G27" s="610"/>
      <c r="I27" s="604"/>
      <c r="J27" s="604"/>
      <c r="K27" s="604"/>
      <c r="L27" s="604"/>
      <c r="M27" s="604"/>
      <c r="N27" s="604"/>
    </row>
    <row r="28" spans="1:14">
      <c r="A28" s="565" t="s">
        <v>258</v>
      </c>
      <c r="D28" s="573">
        <f>SUM(D15:D24)</f>
        <v>3106686569.900198</v>
      </c>
      <c r="F28" s="610" t="s">
        <v>556</v>
      </c>
      <c r="G28" s="610"/>
      <c r="I28" s="604"/>
      <c r="J28" s="604"/>
      <c r="K28" s="604"/>
      <c r="L28" s="604"/>
      <c r="M28" s="604"/>
      <c r="N28" s="604"/>
    </row>
    <row r="29" spans="1:14">
      <c r="A29" s="589"/>
      <c r="D29" s="578"/>
      <c r="F29" s="610"/>
      <c r="G29" s="610"/>
      <c r="I29" s="604"/>
      <c r="J29" s="604"/>
      <c r="K29" s="604"/>
      <c r="L29" s="604"/>
      <c r="M29" s="604"/>
      <c r="N29" s="604"/>
    </row>
    <row r="30" spans="1:14">
      <c r="A30" s="577" t="s">
        <v>356</v>
      </c>
      <c r="D30" s="573">
        <f>D27+D28</f>
        <v>8848722883.5072403</v>
      </c>
      <c r="F30" s="610" t="s">
        <v>557</v>
      </c>
      <c r="G30" s="610"/>
      <c r="I30" s="604"/>
      <c r="J30" s="604"/>
      <c r="K30" s="604"/>
      <c r="L30" s="604"/>
      <c r="M30" s="604"/>
      <c r="N30" s="604"/>
    </row>
    <row r="31" spans="1:14">
      <c r="A31" s="589"/>
      <c r="D31" s="570">
        <v>8.3914183815001694E-3</v>
      </c>
      <c r="F31" s="610" t="s">
        <v>558</v>
      </c>
      <c r="G31" s="610"/>
      <c r="I31" s="604"/>
      <c r="J31" s="604"/>
      <c r="K31" s="604"/>
      <c r="L31" s="604"/>
      <c r="M31" s="604"/>
      <c r="N31" s="604"/>
    </row>
    <row r="32" spans="1:14">
      <c r="A32" s="589"/>
      <c r="D32" s="592"/>
      <c r="F32" s="610"/>
      <c r="G32" s="610"/>
      <c r="I32" s="604"/>
      <c r="J32" s="604"/>
      <c r="K32" s="604"/>
      <c r="L32" s="604"/>
      <c r="M32" s="604"/>
      <c r="N32" s="604"/>
    </row>
    <row r="33" spans="1:14">
      <c r="A33" s="589"/>
      <c r="D33" s="592"/>
      <c r="F33" s="610"/>
      <c r="G33" s="610"/>
      <c r="I33" s="604"/>
      <c r="J33" s="604"/>
      <c r="K33" s="604"/>
      <c r="L33" s="604"/>
      <c r="M33" s="604"/>
      <c r="N33" s="604"/>
    </row>
    <row r="34" spans="1:14">
      <c r="A34" s="588" t="s">
        <v>509</v>
      </c>
      <c r="D34" s="592"/>
      <c r="F34" s="610"/>
      <c r="G34" s="610"/>
      <c r="I34" s="604"/>
      <c r="J34" s="604"/>
      <c r="K34" s="604"/>
      <c r="L34" s="604"/>
      <c r="M34" s="604"/>
      <c r="N34" s="604"/>
    </row>
    <row r="35" spans="1:14">
      <c r="A35" s="589" t="s">
        <v>510</v>
      </c>
      <c r="D35" s="573">
        <v>9434612307.8230515</v>
      </c>
      <c r="F35" s="610" t="s">
        <v>559</v>
      </c>
      <c r="G35" s="610"/>
    </row>
    <row r="36" spans="1:14">
      <c r="A36" s="589" t="s">
        <v>511</v>
      </c>
      <c r="D36" s="573">
        <v>585889424.31581163</v>
      </c>
      <c r="F36" s="610" t="s">
        <v>560</v>
      </c>
      <c r="G36" s="610"/>
    </row>
    <row r="37" spans="1:14">
      <c r="F37" s="610"/>
      <c r="G37" s="610"/>
    </row>
    <row r="38" spans="1:14">
      <c r="A38" s="589" t="s">
        <v>512</v>
      </c>
      <c r="D38" s="573">
        <f>D35-D36</f>
        <v>8848722883.5072403</v>
      </c>
      <c r="F38" s="610" t="s">
        <v>561</v>
      </c>
      <c r="G38" s="610"/>
    </row>
    <row r="39" spans="1:14">
      <c r="F39" s="610"/>
      <c r="G39" s="610"/>
    </row>
    <row r="40" spans="1:14">
      <c r="A40" s="571" t="s">
        <v>513</v>
      </c>
      <c r="D40" s="585">
        <f>D38-D30</f>
        <v>0</v>
      </c>
      <c r="F40" s="610" t="s">
        <v>562</v>
      </c>
      <c r="G40" s="610"/>
    </row>
    <row r="150" spans="2:2">
      <c r="B150" s="604"/>
    </row>
    <row r="152" spans="2:2">
      <c r="B152" s="604"/>
    </row>
    <row r="154" spans="2:2">
      <c r="B154" s="604"/>
    </row>
    <row r="164" spans="2:2">
      <c r="B164" s="604"/>
    </row>
    <row r="166" spans="2:2">
      <c r="B166" s="604"/>
    </row>
    <row r="170" spans="2:2">
      <c r="B170" s="604"/>
    </row>
    <row r="172" spans="2:2">
      <c r="B172" s="604"/>
    </row>
    <row r="176" spans="2:2">
      <c r="B176" s="604"/>
    </row>
    <row r="186" spans="2:2">
      <c r="B186" s="604"/>
    </row>
    <row r="188" spans="2:2">
      <c r="B188" s="604"/>
    </row>
    <row r="190" spans="2:2">
      <c r="B190" s="604"/>
    </row>
    <row r="192" spans="2:2" ht="15">
      <c r="B192" s="654"/>
    </row>
    <row r="196" spans="2:2">
      <c r="B196" s="604"/>
    </row>
    <row r="242" spans="9:9">
      <c r="I242" s="651"/>
    </row>
    <row r="243" spans="9:9">
      <c r="I243" s="651"/>
    </row>
  </sheetData>
  <pageMargins left="0.7" right="0.7" top="0.75" bottom="0.75" header="0.3" footer="0.55000000000000004"/>
  <pageSetup orientation="portrait" r:id="rId1"/>
  <headerFooter>
    <oddFooter>&amp;C&amp;F /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47"/>
  <sheetViews>
    <sheetView topLeftCell="A4" zoomScaleNormal="100" workbookViewId="0">
      <selection activeCell="P97" sqref="P97"/>
    </sheetView>
  </sheetViews>
  <sheetFormatPr defaultColWidth="9.140625" defaultRowHeight="12.75"/>
  <cols>
    <col min="1" max="1" width="22.140625" style="446" customWidth="1"/>
    <col min="2" max="2" width="9.140625" style="446"/>
    <col min="3" max="3" width="9.42578125" style="446" customWidth="1"/>
    <col min="4" max="4" width="9.85546875" style="446" customWidth="1"/>
    <col min="5" max="5" width="8" style="446" customWidth="1"/>
    <col min="6" max="6" width="12.140625" style="446" customWidth="1"/>
    <col min="7" max="7" width="3.7109375" style="446" customWidth="1"/>
    <col min="8" max="8" width="59.140625" style="75" customWidth="1"/>
    <col min="9" max="11" width="9.140625" style="75"/>
    <col min="12" max="12" width="14.7109375" style="75" customWidth="1"/>
    <col min="13" max="17" width="9.140625" style="75"/>
    <col min="18" max="16384" width="9.140625" style="446"/>
  </cols>
  <sheetData>
    <row r="1" spans="1:17">
      <c r="A1" s="55" t="s">
        <v>6</v>
      </c>
      <c r="B1" s="55"/>
      <c r="C1" s="55"/>
      <c r="D1" s="55"/>
      <c r="E1" s="55"/>
      <c r="F1" s="55"/>
      <c r="G1" s="55"/>
      <c r="H1" s="711"/>
    </row>
    <row r="2" spans="1:17">
      <c r="A2" s="55" t="s">
        <v>126</v>
      </c>
      <c r="B2" s="55"/>
      <c r="C2" s="55"/>
      <c r="D2" s="55"/>
      <c r="E2" s="55"/>
      <c r="F2" s="55"/>
      <c r="G2" s="55"/>
      <c r="H2" s="711"/>
    </row>
    <row r="3" spans="1:17">
      <c r="A3" s="56" t="s">
        <v>605</v>
      </c>
      <c r="B3" s="55"/>
      <c r="C3" s="55"/>
      <c r="D3" s="55"/>
      <c r="E3" s="55"/>
      <c r="F3" s="55"/>
      <c r="G3" s="55"/>
      <c r="H3" s="711"/>
    </row>
    <row r="4" spans="1:17">
      <c r="G4" s="72"/>
      <c r="L4" s="712"/>
      <c r="M4" s="712"/>
      <c r="N4" s="712"/>
      <c r="O4" s="712"/>
    </row>
    <row r="5" spans="1:17">
      <c r="D5" s="708" t="s">
        <v>620</v>
      </c>
      <c r="G5" s="72"/>
      <c r="L5" s="712"/>
      <c r="M5" s="712"/>
      <c r="N5" s="712"/>
      <c r="O5" s="712"/>
    </row>
    <row r="6" spans="1:17">
      <c r="D6" s="447" t="s">
        <v>89</v>
      </c>
      <c r="E6" s="447"/>
      <c r="F6" s="447" t="s">
        <v>8</v>
      </c>
      <c r="G6" s="72"/>
      <c r="L6" s="709"/>
      <c r="M6" s="709"/>
      <c r="N6" s="709"/>
      <c r="O6" s="712"/>
    </row>
    <row r="7" spans="1:17">
      <c r="D7" s="447" t="s">
        <v>88</v>
      </c>
      <c r="E7" s="447"/>
      <c r="F7" s="447" t="s">
        <v>5</v>
      </c>
      <c r="G7" s="72"/>
      <c r="L7" s="709"/>
      <c r="M7" s="709"/>
      <c r="N7" s="709"/>
      <c r="O7" s="712"/>
    </row>
    <row r="8" spans="1:17">
      <c r="D8" s="58" t="s">
        <v>98</v>
      </c>
      <c r="E8" s="58"/>
      <c r="F8" s="58" t="s">
        <v>127</v>
      </c>
      <c r="G8" s="73"/>
      <c r="L8" s="522"/>
      <c r="M8" s="522"/>
      <c r="N8" s="522"/>
      <c r="O8" s="712"/>
    </row>
    <row r="9" spans="1:17">
      <c r="A9" s="446" t="s">
        <v>9</v>
      </c>
      <c r="E9" s="1"/>
      <c r="F9" s="737">
        <v>0.64710000000000001</v>
      </c>
      <c r="G9" s="74"/>
      <c r="L9" s="712"/>
      <c r="M9" s="713"/>
      <c r="N9" s="713"/>
      <c r="O9" s="712"/>
    </row>
    <row r="10" spans="1:17">
      <c r="G10" s="72"/>
      <c r="L10" s="712"/>
      <c r="M10" s="712"/>
      <c r="N10" s="712"/>
      <c r="O10" s="712"/>
    </row>
    <row r="11" spans="1:17">
      <c r="A11" s="446" t="s">
        <v>10</v>
      </c>
      <c r="D11" s="59">
        <v>94264</v>
      </c>
      <c r="E11" s="59"/>
      <c r="F11" s="59">
        <f>ROUND(F$9*D11,0)</f>
        <v>60998</v>
      </c>
      <c r="G11" s="65"/>
      <c r="H11" s="714"/>
      <c r="L11" s="715"/>
      <c r="M11" s="715"/>
      <c r="N11" s="715"/>
      <c r="O11" s="712"/>
    </row>
    <row r="12" spans="1:17">
      <c r="A12" s="446" t="s">
        <v>11</v>
      </c>
      <c r="D12" s="60">
        <v>475</v>
      </c>
      <c r="E12" s="60"/>
      <c r="F12" s="60">
        <f>ROUND(F$9*D12,0)</f>
        <v>307</v>
      </c>
      <c r="G12" s="62"/>
      <c r="H12" s="714"/>
      <c r="L12" s="716"/>
      <c r="M12" s="716"/>
      <c r="N12" s="716"/>
      <c r="O12" s="712"/>
    </row>
    <row r="13" spans="1:17">
      <c r="A13" s="446" t="s">
        <v>12</v>
      </c>
      <c r="D13" s="60">
        <v>0</v>
      </c>
      <c r="E13" s="60"/>
      <c r="F13" s="60">
        <f t="shared" ref="F13:F17" si="0">ROUND(F$9*D13,0)</f>
        <v>0</v>
      </c>
      <c r="G13" s="62"/>
      <c r="H13" s="714"/>
      <c r="L13" s="716"/>
      <c r="M13" s="716"/>
      <c r="N13" s="716"/>
      <c r="O13" s="712"/>
    </row>
    <row r="14" spans="1:17">
      <c r="A14" s="446" t="s">
        <v>402</v>
      </c>
      <c r="C14" s="557" t="s">
        <v>98</v>
      </c>
      <c r="D14" s="341">
        <f>16406-D15-D16</f>
        <v>16264</v>
      </c>
      <c r="E14" s="60"/>
      <c r="F14" s="60">
        <f t="shared" si="0"/>
        <v>10524</v>
      </c>
      <c r="G14" s="62"/>
      <c r="H14" s="714"/>
      <c r="I14" s="717"/>
      <c r="J14" s="717"/>
      <c r="K14" s="718"/>
      <c r="L14" s="718"/>
      <c r="N14" s="716"/>
      <c r="O14" s="712"/>
    </row>
    <row r="15" spans="1:17" s="557" customFormat="1">
      <c r="A15" s="557" t="s">
        <v>402</v>
      </c>
      <c r="C15" s="557" t="s">
        <v>502</v>
      </c>
      <c r="D15" s="341">
        <v>98</v>
      </c>
      <c r="E15" s="60"/>
      <c r="F15" s="60">
        <f>D15</f>
        <v>98</v>
      </c>
      <c r="G15" s="62"/>
      <c r="H15" s="719"/>
      <c r="I15" s="38"/>
      <c r="J15" s="38"/>
      <c r="K15" s="38"/>
      <c r="L15" s="716"/>
      <c r="M15" s="716"/>
      <c r="N15" s="716"/>
      <c r="O15" s="712"/>
      <c r="P15" s="75"/>
      <c r="Q15" s="75"/>
    </row>
    <row r="16" spans="1:17" s="557" customFormat="1">
      <c r="A16" s="557" t="s">
        <v>402</v>
      </c>
      <c r="C16" s="557" t="s">
        <v>503</v>
      </c>
      <c r="D16" s="341">
        <v>44</v>
      </c>
      <c r="E16" s="60"/>
      <c r="F16" s="60">
        <v>0</v>
      </c>
      <c r="G16" s="62"/>
      <c r="H16" s="719"/>
      <c r="I16" s="38"/>
      <c r="J16" s="38"/>
      <c r="K16" s="38"/>
      <c r="L16" s="716"/>
      <c r="M16" s="716"/>
      <c r="N16" s="716"/>
      <c r="O16" s="712"/>
      <c r="P16" s="75"/>
      <c r="Q16" s="75"/>
    </row>
    <row r="17" spans="1:15">
      <c r="A17" s="446" t="s">
        <v>13</v>
      </c>
      <c r="D17" s="697">
        <f>4169-D18</f>
        <v>4006</v>
      </c>
      <c r="E17" s="60"/>
      <c r="F17" s="60">
        <f t="shared" si="0"/>
        <v>2592</v>
      </c>
      <c r="G17" s="62"/>
      <c r="H17" s="714"/>
      <c r="L17" s="716"/>
      <c r="M17" s="716"/>
      <c r="N17" s="716"/>
      <c r="O17" s="712"/>
    </row>
    <row r="18" spans="1:15">
      <c r="A18" s="446" t="s">
        <v>128</v>
      </c>
      <c r="D18" s="342">
        <v>163</v>
      </c>
      <c r="E18" s="62"/>
      <c r="F18" s="60">
        <f>D18</f>
        <v>163</v>
      </c>
      <c r="G18" s="62"/>
      <c r="H18" s="714"/>
      <c r="L18" s="716"/>
      <c r="M18" s="716"/>
      <c r="N18" s="716"/>
      <c r="O18" s="712"/>
    </row>
    <row r="19" spans="1:15">
      <c r="A19" s="446" t="s">
        <v>14</v>
      </c>
      <c r="D19" s="60">
        <f>SUM(D11:D18)</f>
        <v>115314</v>
      </c>
      <c r="E19" s="62"/>
      <c r="F19" s="454">
        <f>SUM(F11:F18)</f>
        <v>74682</v>
      </c>
      <c r="G19" s="62"/>
      <c r="H19" s="714"/>
      <c r="L19" s="716"/>
      <c r="M19" s="716"/>
      <c r="N19" s="716"/>
      <c r="O19" s="712"/>
    </row>
    <row r="20" spans="1:15">
      <c r="D20" s="60"/>
      <c r="E20" s="62"/>
      <c r="F20" s="60"/>
      <c r="G20" s="62"/>
      <c r="H20" s="714"/>
      <c r="L20" s="716"/>
      <c r="M20" s="716"/>
      <c r="N20" s="716"/>
      <c r="O20" s="712"/>
    </row>
    <row r="21" spans="1:15">
      <c r="D21" s="60"/>
      <c r="E21" s="62"/>
      <c r="F21" s="60"/>
      <c r="G21" s="62"/>
      <c r="H21" s="714"/>
      <c r="L21" s="716"/>
      <c r="M21" s="716"/>
      <c r="N21" s="716"/>
      <c r="O21" s="712"/>
    </row>
    <row r="22" spans="1:15">
      <c r="A22" s="446" t="s">
        <v>15</v>
      </c>
      <c r="D22" s="60">
        <v>27420</v>
      </c>
      <c r="E22" s="62"/>
      <c r="F22" s="60">
        <f t="shared" ref="F22:F32" si="1">ROUND(F$9*D22,0)</f>
        <v>17743</v>
      </c>
      <c r="G22" s="62"/>
      <c r="H22" s="714"/>
      <c r="L22" s="716"/>
      <c r="M22" s="716"/>
      <c r="N22" s="716"/>
      <c r="O22" s="712"/>
    </row>
    <row r="23" spans="1:15">
      <c r="A23" s="446" t="s">
        <v>16</v>
      </c>
      <c r="D23" s="60">
        <v>0</v>
      </c>
      <c r="E23" s="62"/>
      <c r="F23" s="60">
        <f t="shared" si="1"/>
        <v>0</v>
      </c>
      <c r="G23" s="62"/>
      <c r="H23" s="714"/>
      <c r="L23" s="716"/>
      <c r="M23" s="716"/>
      <c r="N23" s="716"/>
      <c r="O23" s="712"/>
    </row>
    <row r="24" spans="1:15">
      <c r="A24" s="446" t="s">
        <v>17</v>
      </c>
      <c r="D24" s="60">
        <v>55782</v>
      </c>
      <c r="E24" s="62"/>
      <c r="F24" s="60">
        <f t="shared" si="1"/>
        <v>36097</v>
      </c>
      <c r="G24" s="62"/>
      <c r="H24" s="714"/>
      <c r="L24" s="716"/>
      <c r="M24" s="716"/>
      <c r="N24" s="716"/>
      <c r="O24" s="712"/>
    </row>
    <row r="25" spans="1:15">
      <c r="A25" s="446" t="s">
        <v>18</v>
      </c>
      <c r="D25" s="60">
        <v>983</v>
      </c>
      <c r="E25" s="62"/>
      <c r="F25" s="60">
        <f t="shared" si="1"/>
        <v>636</v>
      </c>
      <c r="G25" s="62"/>
      <c r="H25" s="714"/>
      <c r="L25" s="716"/>
      <c r="M25" s="716"/>
      <c r="N25" s="716"/>
      <c r="O25" s="712"/>
    </row>
    <row r="26" spans="1:15">
      <c r="A26" s="446" t="s">
        <v>19</v>
      </c>
      <c r="D26" s="60">
        <v>180254</v>
      </c>
      <c r="E26" s="62"/>
      <c r="F26" s="60">
        <f>ROUND(F$9*D26,0)-1</f>
        <v>116641</v>
      </c>
      <c r="G26" s="62"/>
      <c r="H26" s="714"/>
      <c r="L26" s="716"/>
      <c r="M26" s="716"/>
      <c r="N26" s="716"/>
      <c r="O26" s="712"/>
    </row>
    <row r="27" spans="1:15">
      <c r="A27" s="446" t="s">
        <v>20</v>
      </c>
      <c r="D27" s="60">
        <v>0</v>
      </c>
      <c r="E27" s="62"/>
      <c r="F27" s="60">
        <f t="shared" si="1"/>
        <v>0</v>
      </c>
      <c r="G27" s="62"/>
      <c r="H27" s="714"/>
      <c r="I27" s="38"/>
      <c r="J27" s="38"/>
      <c r="K27" s="38"/>
      <c r="L27" s="716"/>
      <c r="M27" s="716"/>
      <c r="N27" s="716"/>
      <c r="O27" s="712"/>
    </row>
    <row r="28" spans="1:15">
      <c r="A28" s="446" t="s">
        <v>21</v>
      </c>
      <c r="D28" s="60">
        <v>0</v>
      </c>
      <c r="E28" s="62"/>
      <c r="F28" s="60">
        <f t="shared" si="1"/>
        <v>0</v>
      </c>
      <c r="G28" s="62"/>
      <c r="H28" s="714"/>
      <c r="I28" s="38"/>
      <c r="J28" s="38"/>
      <c r="K28" s="38"/>
      <c r="L28" s="716"/>
      <c r="M28" s="716"/>
      <c r="N28" s="716"/>
      <c r="O28" s="712"/>
    </row>
    <row r="29" spans="1:15">
      <c r="A29" s="446" t="s">
        <v>22</v>
      </c>
      <c r="D29" s="60">
        <v>0</v>
      </c>
      <c r="E29" s="62"/>
      <c r="F29" s="60">
        <f t="shared" si="1"/>
        <v>0</v>
      </c>
      <c r="G29" s="62"/>
      <c r="H29" s="714"/>
      <c r="I29" s="38"/>
      <c r="J29" s="38"/>
      <c r="K29" s="38"/>
      <c r="L29" s="716"/>
      <c r="M29" s="716"/>
      <c r="N29" s="716"/>
      <c r="O29" s="712"/>
    </row>
    <row r="30" spans="1:15">
      <c r="A30" s="446" t="s">
        <v>23</v>
      </c>
      <c r="D30" s="341">
        <f>2977-D31</f>
        <v>581</v>
      </c>
      <c r="E30" s="62"/>
      <c r="F30" s="60">
        <f t="shared" si="1"/>
        <v>376</v>
      </c>
      <c r="G30" s="62"/>
      <c r="H30" s="720"/>
      <c r="I30" s="722"/>
      <c r="J30" s="722"/>
      <c r="K30" s="722"/>
      <c r="L30" s="722"/>
      <c r="M30" s="716"/>
      <c r="N30" s="716"/>
      <c r="O30" s="712"/>
    </row>
    <row r="31" spans="1:15">
      <c r="A31" s="446" t="s">
        <v>129</v>
      </c>
      <c r="D31" s="341">
        <f>735+1661</f>
        <v>2396</v>
      </c>
      <c r="E31" s="62"/>
      <c r="F31" s="60">
        <f>D31</f>
        <v>2396</v>
      </c>
      <c r="G31" s="62"/>
      <c r="H31" s="720"/>
      <c r="I31" s="722"/>
      <c r="J31" s="722"/>
      <c r="K31" s="722"/>
      <c r="L31" s="722"/>
      <c r="M31" s="716"/>
      <c r="N31" s="716"/>
      <c r="O31" s="712"/>
    </row>
    <row r="32" spans="1:15">
      <c r="A32" s="446" t="s">
        <v>24</v>
      </c>
      <c r="D32" s="60">
        <v>18896</v>
      </c>
      <c r="E32" s="62"/>
      <c r="F32" s="60">
        <f t="shared" si="1"/>
        <v>12228</v>
      </c>
      <c r="G32" s="62"/>
      <c r="H32" s="714"/>
      <c r="I32" s="38"/>
      <c r="J32" s="38"/>
      <c r="K32" s="38"/>
      <c r="L32" s="716"/>
      <c r="M32" s="716"/>
      <c r="N32" s="716"/>
      <c r="O32" s="712"/>
    </row>
    <row r="33" spans="1:17" s="630" customFormat="1" ht="12.75" customHeight="1">
      <c r="A33" s="738" t="s">
        <v>570</v>
      </c>
      <c r="B33" s="738"/>
      <c r="C33" s="738"/>
      <c r="D33" s="739">
        <v>0</v>
      </c>
      <c r="E33" s="740"/>
      <c r="F33" s="739">
        <f>F$9*D33</f>
        <v>0</v>
      </c>
      <c r="G33" s="740"/>
      <c r="H33" s="741" t="s">
        <v>663</v>
      </c>
      <c r="I33" s="723"/>
      <c r="J33" s="723"/>
      <c r="K33" s="723"/>
      <c r="L33" s="723"/>
      <c r="M33" s="38"/>
      <c r="N33" s="75"/>
      <c r="O33" s="75"/>
      <c r="P33" s="75"/>
      <c r="Q33" s="75"/>
    </row>
    <row r="34" spans="1:17" s="630" customFormat="1" ht="12.75" customHeight="1">
      <c r="A34" s="738" t="s">
        <v>571</v>
      </c>
      <c r="B34" s="738"/>
      <c r="C34" s="738"/>
      <c r="D34" s="739">
        <v>0</v>
      </c>
      <c r="E34" s="740"/>
      <c r="F34" s="739">
        <f>F$9*D34</f>
        <v>0</v>
      </c>
      <c r="G34" s="740"/>
      <c r="H34" s="741" t="s">
        <v>663</v>
      </c>
      <c r="I34" s="723"/>
      <c r="J34" s="723"/>
      <c r="K34" s="723"/>
      <c r="L34" s="723"/>
      <c r="M34" s="38"/>
      <c r="N34" s="75"/>
      <c r="O34" s="75"/>
      <c r="P34" s="75"/>
      <c r="Q34" s="75"/>
    </row>
    <row r="35" spans="1:17">
      <c r="A35" s="446" t="s">
        <v>25</v>
      </c>
      <c r="D35" s="63">
        <f>SUM(D22:D34)</f>
        <v>286312</v>
      </c>
      <c r="E35" s="62"/>
      <c r="F35" s="63">
        <f>SUM(F22:F34)</f>
        <v>186117</v>
      </c>
      <c r="G35" s="62"/>
      <c r="H35" s="714"/>
      <c r="I35" s="38"/>
      <c r="J35" s="38"/>
      <c r="K35" s="38"/>
      <c r="L35" s="716"/>
      <c r="M35" s="716"/>
      <c r="N35" s="716"/>
      <c r="O35" s="712"/>
    </row>
    <row r="36" spans="1:17">
      <c r="G36" s="72"/>
      <c r="H36" s="714"/>
      <c r="I36" s="38"/>
      <c r="J36" s="38"/>
      <c r="K36" s="38"/>
      <c r="L36" s="712"/>
      <c r="M36" s="712"/>
      <c r="N36" s="712"/>
      <c r="O36" s="712"/>
    </row>
    <row r="37" spans="1:17">
      <c r="A37" s="446" t="s">
        <v>26</v>
      </c>
      <c r="D37" s="60">
        <f>D19-D35</f>
        <v>-170998</v>
      </c>
      <c r="E37" s="60"/>
      <c r="F37" s="60">
        <f>F19-F35</f>
        <v>-111435</v>
      </c>
      <c r="G37" s="62"/>
      <c r="H37" s="714"/>
      <c r="L37" s="716"/>
      <c r="M37" s="716"/>
      <c r="N37" s="716"/>
      <c r="O37" s="712"/>
    </row>
    <row r="38" spans="1:17">
      <c r="E38" s="60"/>
      <c r="F38" s="60"/>
      <c r="G38" s="60"/>
      <c r="L38" s="712"/>
      <c r="M38" s="716"/>
      <c r="N38" s="716"/>
      <c r="O38" s="712"/>
    </row>
    <row r="39" spans="1:17">
      <c r="A39" s="446" t="s">
        <v>27</v>
      </c>
      <c r="C39" s="64">
        <v>0.35</v>
      </c>
      <c r="E39" s="65"/>
      <c r="F39" s="61">
        <f>C39*F37</f>
        <v>-39002.25</v>
      </c>
      <c r="G39" s="59"/>
      <c r="L39" s="712"/>
      <c r="M39" s="715"/>
      <c r="N39" s="716"/>
      <c r="O39" s="712"/>
    </row>
    <row r="40" spans="1:17">
      <c r="E40" s="65"/>
      <c r="F40" s="59"/>
      <c r="G40" s="59"/>
      <c r="L40" s="712"/>
      <c r="M40" s="715"/>
      <c r="N40" s="715"/>
      <c r="O40" s="712"/>
    </row>
    <row r="41" spans="1:17">
      <c r="A41" s="446" t="s">
        <v>28</v>
      </c>
      <c r="E41" s="60"/>
      <c r="F41" s="59">
        <f>F37-F39</f>
        <v>-72432.75</v>
      </c>
      <c r="G41" s="60"/>
      <c r="L41" s="712"/>
      <c r="M41" s="716"/>
      <c r="N41" s="715"/>
      <c r="O41" s="712"/>
    </row>
    <row r="42" spans="1:17">
      <c r="E42" s="60"/>
      <c r="F42" s="60"/>
      <c r="G42" s="60"/>
      <c r="L42" s="712"/>
      <c r="M42" s="712"/>
      <c r="N42" s="712"/>
      <c r="O42" s="712"/>
    </row>
    <row r="43" spans="1:17">
      <c r="A43" s="75"/>
      <c r="L43" s="712"/>
      <c r="M43" s="712"/>
      <c r="N43" s="712"/>
      <c r="O43" s="712"/>
    </row>
    <row r="44" spans="1:17">
      <c r="A44" s="75"/>
      <c r="L44" s="712"/>
      <c r="M44" s="712"/>
      <c r="N44" s="712"/>
      <c r="O44" s="712"/>
    </row>
    <row r="45" spans="1:17">
      <c r="A45" s="75"/>
      <c r="L45" s="712"/>
      <c r="M45" s="712"/>
      <c r="N45" s="712"/>
      <c r="O45" s="712"/>
    </row>
    <row r="46" spans="1:17">
      <c r="A46" s="738" t="s">
        <v>570</v>
      </c>
      <c r="B46" s="738"/>
      <c r="C46" s="738"/>
      <c r="D46" s="739">
        <v>5764</v>
      </c>
      <c r="E46" s="740"/>
      <c r="F46" s="739">
        <f>F$9*D46</f>
        <v>3729.8843999999999</v>
      </c>
      <c r="G46" s="740"/>
      <c r="H46" s="741" t="s">
        <v>663</v>
      </c>
      <c r="L46" s="712"/>
      <c r="M46" s="712"/>
      <c r="N46" s="712"/>
      <c r="O46" s="712"/>
    </row>
    <row r="47" spans="1:17">
      <c r="A47" s="738" t="s">
        <v>571</v>
      </c>
      <c r="B47" s="738"/>
      <c r="C47" s="738"/>
      <c r="D47" s="739">
        <v>12979</v>
      </c>
      <c r="E47" s="740"/>
      <c r="F47" s="739">
        <f>F$9*D47</f>
        <v>8398.7109</v>
      </c>
      <c r="G47" s="740"/>
      <c r="H47" s="741" t="s">
        <v>663</v>
      </c>
    </row>
  </sheetData>
  <pageMargins left="1.05" right="0.34" top="0.75" bottom="0.77" header="0.5" footer="0.77"/>
  <pageSetup scale="69" orientation="portrait" r:id="rId1"/>
  <headerFooter alignWithMargins="0">
    <oddFooter>&amp;C&amp;F / &amp;A</oddFoot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J34"/>
  <sheetViews>
    <sheetView workbookViewId="0">
      <selection activeCell="T1" sqref="T1"/>
    </sheetView>
  </sheetViews>
  <sheetFormatPr defaultColWidth="8.85546875" defaultRowHeight="12.75"/>
  <cols>
    <col min="1" max="1" width="11.28515625" style="658" bestFit="1" customWidth="1"/>
    <col min="2" max="2" width="41" style="658" bestFit="1" customWidth="1"/>
    <col min="3" max="3" width="19.7109375" style="658" bestFit="1" customWidth="1"/>
    <col min="4" max="4" width="11.140625" style="658" bestFit="1" customWidth="1"/>
    <col min="5" max="5" width="20.7109375" style="658" customWidth="1"/>
    <col min="6" max="6" width="10.28515625" style="658" customWidth="1"/>
    <col min="7" max="7" width="12.7109375" style="658" bestFit="1" customWidth="1"/>
    <col min="8" max="8" width="18.28515625" style="658" customWidth="1"/>
    <col min="9" max="9" width="14.5703125" style="658" customWidth="1"/>
    <col min="10" max="10" width="12.7109375" style="658" customWidth="1"/>
    <col min="11" max="16384" width="8.85546875" style="658"/>
  </cols>
  <sheetData>
    <row r="1" spans="1:10">
      <c r="A1" s="236" t="s">
        <v>621</v>
      </c>
      <c r="B1" s="236"/>
      <c r="C1" s="236"/>
      <c r="D1" s="236"/>
      <c r="E1" s="236"/>
      <c r="F1" s="236"/>
      <c r="G1" s="236"/>
      <c r="H1" s="236"/>
    </row>
    <row r="2" spans="1:10">
      <c r="A2" s="236"/>
      <c r="B2" s="236"/>
      <c r="C2" s="236"/>
      <c r="D2" s="236"/>
      <c r="E2" s="236"/>
      <c r="F2" s="236"/>
      <c r="G2" s="236"/>
      <c r="H2" s="236"/>
    </row>
    <row r="3" spans="1:10">
      <c r="A3" s="666" t="s">
        <v>579</v>
      </c>
      <c r="B3" s="667" t="s">
        <v>580</v>
      </c>
      <c r="C3" s="236"/>
      <c r="D3" s="236"/>
      <c r="E3" s="236"/>
      <c r="F3" s="236"/>
      <c r="G3" s="236"/>
      <c r="H3" s="236"/>
    </row>
    <row r="4" spans="1:10">
      <c r="A4" s="236"/>
      <c r="B4" s="236"/>
      <c r="C4" s="236"/>
      <c r="D4" s="236"/>
      <c r="E4" s="236"/>
      <c r="F4" s="236"/>
      <c r="G4" s="236"/>
      <c r="H4" s="236"/>
    </row>
    <row r="5" spans="1:10">
      <c r="A5" s="668"/>
      <c r="B5" s="669"/>
      <c r="C5" s="670"/>
      <c r="D5" s="671"/>
      <c r="E5" s="672" t="s">
        <v>581</v>
      </c>
      <c r="F5" s="673"/>
      <c r="G5" s="673"/>
      <c r="H5" s="674"/>
      <c r="I5" s="688" t="s">
        <v>89</v>
      </c>
      <c r="J5" s="688" t="s">
        <v>658</v>
      </c>
    </row>
    <row r="6" spans="1:10" ht="14.25">
      <c r="A6" s="675"/>
      <c r="B6" s="676"/>
      <c r="C6" s="677"/>
      <c r="D6" s="678" t="s">
        <v>582</v>
      </c>
      <c r="E6" s="678" t="s">
        <v>583</v>
      </c>
      <c r="F6" s="678" t="s">
        <v>258</v>
      </c>
      <c r="G6" s="678" t="s">
        <v>32</v>
      </c>
      <c r="H6" s="679" t="s">
        <v>584</v>
      </c>
      <c r="I6" s="688" t="s">
        <v>88</v>
      </c>
      <c r="J6" s="688"/>
    </row>
    <row r="7" spans="1:10" ht="14.25">
      <c r="A7" s="678" t="s">
        <v>585</v>
      </c>
      <c r="B7" s="678" t="s">
        <v>622</v>
      </c>
      <c r="C7" s="678" t="s">
        <v>586</v>
      </c>
      <c r="D7" s="680"/>
      <c r="E7" s="680"/>
      <c r="F7" s="680"/>
      <c r="G7" s="680"/>
      <c r="H7" s="680"/>
    </row>
    <row r="8" spans="1:10" ht="14.25">
      <c r="A8" s="681" t="s">
        <v>623</v>
      </c>
      <c r="B8" s="681" t="s">
        <v>624</v>
      </c>
      <c r="C8" s="678" t="s">
        <v>625</v>
      </c>
      <c r="D8" s="680"/>
      <c r="E8" s="682">
        <v>10582</v>
      </c>
      <c r="F8" s="682" t="s">
        <v>589</v>
      </c>
      <c r="G8" s="682" t="s">
        <v>589</v>
      </c>
      <c r="H8" s="682">
        <v>10582</v>
      </c>
    </row>
    <row r="9" spans="1:10" ht="14.25">
      <c r="A9" s="683"/>
      <c r="B9" s="683"/>
      <c r="C9" s="678" t="s">
        <v>626</v>
      </c>
      <c r="D9" s="680"/>
      <c r="E9" s="682">
        <v>889279.74</v>
      </c>
      <c r="F9" s="682" t="s">
        <v>589</v>
      </c>
      <c r="G9" s="682" t="s">
        <v>589</v>
      </c>
      <c r="H9" s="682">
        <v>889279.74</v>
      </c>
    </row>
    <row r="10" spans="1:10" ht="14.25">
      <c r="A10" s="683"/>
      <c r="B10" s="684"/>
      <c r="C10" s="678" t="s">
        <v>627</v>
      </c>
      <c r="D10" s="680"/>
      <c r="E10" s="682">
        <v>3679.62</v>
      </c>
      <c r="F10" s="682">
        <v>683.02</v>
      </c>
      <c r="G10" s="682">
        <v>38699.56</v>
      </c>
      <c r="H10" s="682">
        <v>43062.200000000004</v>
      </c>
    </row>
    <row r="11" spans="1:10" ht="14.25">
      <c r="A11" s="683"/>
      <c r="B11" s="678" t="s">
        <v>628</v>
      </c>
      <c r="C11" s="678" t="s">
        <v>629</v>
      </c>
      <c r="D11" s="680"/>
      <c r="E11" s="682">
        <v>16978.95</v>
      </c>
      <c r="F11" s="682" t="s">
        <v>589</v>
      </c>
      <c r="G11" s="682" t="s">
        <v>589</v>
      </c>
      <c r="H11" s="682">
        <v>16978.95</v>
      </c>
    </row>
    <row r="12" spans="1:10" ht="14.25">
      <c r="A12" s="683"/>
      <c r="B12" s="681" t="s">
        <v>630</v>
      </c>
      <c r="C12" s="678" t="s">
        <v>631</v>
      </c>
      <c r="D12" s="680"/>
      <c r="E12" s="682">
        <v>6800</v>
      </c>
      <c r="F12" s="682" t="s">
        <v>589</v>
      </c>
      <c r="G12" s="682" t="s">
        <v>589</v>
      </c>
      <c r="H12" s="682">
        <v>6800</v>
      </c>
    </row>
    <row r="13" spans="1:10" ht="14.25">
      <c r="A13" s="683"/>
      <c r="B13" s="683"/>
      <c r="C13" s="678" t="s">
        <v>632</v>
      </c>
      <c r="D13" s="680"/>
      <c r="E13" s="682">
        <v>7023.6900000000005</v>
      </c>
      <c r="F13" s="682" t="s">
        <v>589</v>
      </c>
      <c r="G13" s="682" t="s">
        <v>589</v>
      </c>
      <c r="H13" s="682">
        <v>7023.6900000000005</v>
      </c>
    </row>
    <row r="14" spans="1:10" ht="14.25">
      <c r="A14" s="683"/>
      <c r="B14" s="683"/>
      <c r="C14" s="678" t="s">
        <v>633</v>
      </c>
      <c r="D14" s="680"/>
      <c r="E14" s="682">
        <v>666530.53</v>
      </c>
      <c r="F14" s="682" t="s">
        <v>589</v>
      </c>
      <c r="G14" s="682" t="s">
        <v>589</v>
      </c>
      <c r="H14" s="682">
        <v>666530.53</v>
      </c>
    </row>
    <row r="15" spans="1:10" ht="14.25">
      <c r="A15" s="683"/>
      <c r="B15" s="684"/>
      <c r="C15" s="678" t="s">
        <v>634</v>
      </c>
      <c r="D15" s="680"/>
      <c r="E15" s="682">
        <v>456.12</v>
      </c>
      <c r="F15" s="682" t="s">
        <v>589</v>
      </c>
      <c r="G15" s="682" t="s">
        <v>589</v>
      </c>
      <c r="H15" s="682">
        <v>456.12</v>
      </c>
    </row>
    <row r="16" spans="1:10" ht="14.25">
      <c r="A16" s="684"/>
      <c r="B16" s="678" t="s">
        <v>635</v>
      </c>
      <c r="C16" s="678" t="s">
        <v>636</v>
      </c>
      <c r="D16" s="680"/>
      <c r="E16" s="682">
        <v>46995</v>
      </c>
      <c r="F16" s="682" t="s">
        <v>589</v>
      </c>
      <c r="G16" s="682" t="s">
        <v>589</v>
      </c>
      <c r="H16" s="682">
        <v>46995</v>
      </c>
    </row>
    <row r="17" spans="1:10" ht="14.25">
      <c r="A17" s="681" t="s">
        <v>637</v>
      </c>
      <c r="B17" s="681" t="s">
        <v>638</v>
      </c>
      <c r="C17" s="678" t="s">
        <v>639</v>
      </c>
      <c r="D17" s="680"/>
      <c r="E17" s="682">
        <v>-7723892.5</v>
      </c>
      <c r="F17" s="682" t="s">
        <v>589</v>
      </c>
      <c r="G17" s="682" t="s">
        <v>589</v>
      </c>
      <c r="H17" s="682">
        <v>-7723892.5</v>
      </c>
      <c r="I17" s="689">
        <f>H17</f>
        <v>-7723892.5</v>
      </c>
    </row>
    <row r="18" spans="1:10" ht="14.25">
      <c r="A18" s="683"/>
      <c r="B18" s="683"/>
      <c r="C18" s="678" t="s">
        <v>640</v>
      </c>
      <c r="D18" s="680"/>
      <c r="E18" s="682">
        <v>-2718369.75</v>
      </c>
      <c r="F18" s="682" t="s">
        <v>589</v>
      </c>
      <c r="G18" s="682" t="s">
        <v>589</v>
      </c>
      <c r="H18" s="682">
        <v>-2718369.75</v>
      </c>
      <c r="I18" s="689">
        <f t="shared" ref="I18:I23" si="0">H18</f>
        <v>-2718369.75</v>
      </c>
    </row>
    <row r="19" spans="1:10" ht="14.25">
      <c r="A19" s="684"/>
      <c r="B19" s="684"/>
      <c r="C19" s="678" t="s">
        <v>641</v>
      </c>
      <c r="D19" s="680"/>
      <c r="E19" s="682">
        <v>24.8</v>
      </c>
      <c r="F19" s="682" t="s">
        <v>589</v>
      </c>
      <c r="G19" s="682" t="s">
        <v>589</v>
      </c>
      <c r="H19" s="682">
        <v>24.8</v>
      </c>
      <c r="I19" s="689">
        <f t="shared" si="0"/>
        <v>24.8</v>
      </c>
    </row>
    <row r="20" spans="1:10" ht="14.25">
      <c r="A20" s="681" t="s">
        <v>642</v>
      </c>
      <c r="B20" s="681" t="s">
        <v>638</v>
      </c>
      <c r="C20" s="678" t="s">
        <v>643</v>
      </c>
      <c r="D20" s="680"/>
      <c r="E20" s="682">
        <v>855810.15</v>
      </c>
      <c r="F20" s="682" t="s">
        <v>589</v>
      </c>
      <c r="G20" s="682" t="s">
        <v>589</v>
      </c>
      <c r="H20" s="682">
        <v>855810.15</v>
      </c>
      <c r="I20" s="689">
        <f t="shared" si="0"/>
        <v>855810.15</v>
      </c>
    </row>
    <row r="21" spans="1:10" ht="14.25">
      <c r="A21" s="684"/>
      <c r="B21" s="684"/>
      <c r="C21" s="678" t="s">
        <v>644</v>
      </c>
      <c r="D21" s="680"/>
      <c r="E21" s="682">
        <v>29287951.550000001</v>
      </c>
      <c r="F21" s="682" t="s">
        <v>589</v>
      </c>
      <c r="G21" s="682" t="s">
        <v>589</v>
      </c>
      <c r="H21" s="682">
        <v>29287951.550000001</v>
      </c>
      <c r="I21" s="689">
        <f t="shared" si="0"/>
        <v>29287951.550000001</v>
      </c>
    </row>
    <row r="22" spans="1:10" ht="14.25">
      <c r="A22" s="681" t="s">
        <v>645</v>
      </c>
      <c r="B22" s="681" t="s">
        <v>646</v>
      </c>
      <c r="C22" s="678" t="s">
        <v>647</v>
      </c>
      <c r="D22" s="680"/>
      <c r="E22" s="682">
        <v>4006377.64</v>
      </c>
      <c r="F22" s="682" t="s">
        <v>589</v>
      </c>
      <c r="G22" s="682" t="s">
        <v>589</v>
      </c>
      <c r="H22" s="682">
        <v>4006377.64</v>
      </c>
      <c r="I22" s="689">
        <f t="shared" si="0"/>
        <v>4006377.64</v>
      </c>
    </row>
    <row r="23" spans="1:10" ht="14.25">
      <c r="A23" s="684"/>
      <c r="B23" s="684"/>
      <c r="C23" s="678" t="s">
        <v>648</v>
      </c>
      <c r="D23" s="680"/>
      <c r="E23" s="682" t="s">
        <v>589</v>
      </c>
      <c r="F23" s="682" t="s">
        <v>589</v>
      </c>
      <c r="G23" s="682">
        <v>162500</v>
      </c>
      <c r="H23" s="682">
        <v>162500</v>
      </c>
      <c r="I23" s="689">
        <f t="shared" si="0"/>
        <v>162500</v>
      </c>
    </row>
    <row r="24" spans="1:10" ht="14.25">
      <c r="A24" s="678" t="s">
        <v>587</v>
      </c>
      <c r="B24" s="678" t="s">
        <v>649</v>
      </c>
      <c r="C24" s="678" t="s">
        <v>588</v>
      </c>
      <c r="D24" s="680"/>
      <c r="E24" s="682">
        <v>60244.08</v>
      </c>
      <c r="F24" s="682" t="s">
        <v>589</v>
      </c>
      <c r="G24" s="682" t="s">
        <v>589</v>
      </c>
      <c r="H24" s="682">
        <v>60244.08</v>
      </c>
      <c r="J24" s="689">
        <f>H24</f>
        <v>60244.08</v>
      </c>
    </row>
    <row r="25" spans="1:10" ht="14.25">
      <c r="A25" s="678" t="s">
        <v>650</v>
      </c>
      <c r="B25" s="678" t="s">
        <v>651</v>
      </c>
      <c r="C25" s="678" t="s">
        <v>652</v>
      </c>
      <c r="D25" s="680"/>
      <c r="E25" s="682">
        <v>529103.25</v>
      </c>
      <c r="F25" s="682" t="s">
        <v>589</v>
      </c>
      <c r="G25" s="682" t="s">
        <v>589</v>
      </c>
      <c r="H25" s="682">
        <v>529103.25</v>
      </c>
      <c r="I25" s="698"/>
      <c r="J25" s="689">
        <f>H25</f>
        <v>529103.25</v>
      </c>
    </row>
    <row r="26" spans="1:10" ht="14.25">
      <c r="A26" s="678" t="s">
        <v>590</v>
      </c>
      <c r="B26" s="678" t="s">
        <v>649</v>
      </c>
      <c r="C26" s="678" t="s">
        <v>591</v>
      </c>
      <c r="D26" s="680"/>
      <c r="E26" s="682">
        <v>11553981.52</v>
      </c>
      <c r="F26" s="682" t="s">
        <v>589</v>
      </c>
      <c r="G26" s="682" t="s">
        <v>589</v>
      </c>
      <c r="H26" s="682">
        <v>11553981.52</v>
      </c>
      <c r="J26" s="689">
        <f>H26</f>
        <v>11553981.52</v>
      </c>
    </row>
    <row r="27" spans="1:10" ht="14.25">
      <c r="A27" s="678" t="s">
        <v>592</v>
      </c>
      <c r="B27" s="678" t="s">
        <v>649</v>
      </c>
      <c r="C27" s="678" t="s">
        <v>593</v>
      </c>
      <c r="D27" s="680"/>
      <c r="E27" s="682">
        <v>3192000</v>
      </c>
      <c r="F27" s="682" t="s">
        <v>589</v>
      </c>
      <c r="G27" s="682" t="s">
        <v>589</v>
      </c>
      <c r="H27" s="682">
        <v>3192000</v>
      </c>
      <c r="J27" s="689">
        <f t="shared" ref="J27:J29" si="1">H27</f>
        <v>3192000</v>
      </c>
    </row>
    <row r="28" spans="1:10" ht="14.25">
      <c r="A28" s="678" t="s">
        <v>594</v>
      </c>
      <c r="B28" s="678" t="s">
        <v>649</v>
      </c>
      <c r="C28" s="678" t="s">
        <v>595</v>
      </c>
      <c r="D28" s="680"/>
      <c r="E28" s="682" t="s">
        <v>589</v>
      </c>
      <c r="F28" s="682">
        <v>44019.49</v>
      </c>
      <c r="G28" s="682">
        <v>97939.56</v>
      </c>
      <c r="H28" s="682">
        <v>141959.05000000002</v>
      </c>
      <c r="J28" s="689">
        <f t="shared" si="1"/>
        <v>141959.05000000002</v>
      </c>
    </row>
    <row r="29" spans="1:10" ht="14.25">
      <c r="A29" s="678" t="s">
        <v>596</v>
      </c>
      <c r="B29" s="678" t="s">
        <v>649</v>
      </c>
      <c r="C29" s="678" t="s">
        <v>597</v>
      </c>
      <c r="D29" s="680"/>
      <c r="E29" s="682">
        <v>928944</v>
      </c>
      <c r="F29" s="682" t="s">
        <v>589</v>
      </c>
      <c r="G29" s="682" t="s">
        <v>589</v>
      </c>
      <c r="H29" s="682">
        <v>928944</v>
      </c>
      <c r="J29" s="689">
        <f t="shared" si="1"/>
        <v>928944</v>
      </c>
    </row>
    <row r="30" spans="1:10" ht="14.25">
      <c r="A30" s="678" t="s">
        <v>653</v>
      </c>
      <c r="B30" s="678" t="s">
        <v>638</v>
      </c>
      <c r="C30" s="678" t="s">
        <v>654</v>
      </c>
      <c r="D30" s="680"/>
      <c r="E30" s="682">
        <v>-44500</v>
      </c>
      <c r="F30" s="682" t="s">
        <v>589</v>
      </c>
      <c r="G30" s="682" t="s">
        <v>589</v>
      </c>
      <c r="H30" s="682">
        <v>-44500</v>
      </c>
      <c r="I30" s="689">
        <f t="shared" ref="I30:I32" si="2">H30</f>
        <v>-44500</v>
      </c>
    </row>
    <row r="31" spans="1:10" ht="14.25">
      <c r="A31" s="678" t="s">
        <v>655</v>
      </c>
      <c r="B31" s="678" t="s">
        <v>638</v>
      </c>
      <c r="C31" s="678" t="s">
        <v>654</v>
      </c>
      <c r="D31" s="680"/>
      <c r="E31" s="682">
        <v>44500</v>
      </c>
      <c r="F31" s="682" t="s">
        <v>589</v>
      </c>
      <c r="G31" s="682" t="s">
        <v>589</v>
      </c>
      <c r="H31" s="682">
        <v>44500</v>
      </c>
      <c r="I31" s="689">
        <f t="shared" si="2"/>
        <v>44500</v>
      </c>
    </row>
    <row r="32" spans="1:10" ht="14.25">
      <c r="A32" s="678" t="s">
        <v>656</v>
      </c>
      <c r="B32" s="678" t="s">
        <v>638</v>
      </c>
      <c r="C32" s="678" t="s">
        <v>657</v>
      </c>
      <c r="D32" s="680"/>
      <c r="E32" s="682">
        <v>67420725.560000002</v>
      </c>
      <c r="F32" s="682" t="s">
        <v>589</v>
      </c>
      <c r="G32" s="682" t="s">
        <v>589</v>
      </c>
      <c r="H32" s="682">
        <v>67420725.560000002</v>
      </c>
      <c r="I32" s="689">
        <f t="shared" si="2"/>
        <v>67420725.560000002</v>
      </c>
    </row>
    <row r="33" spans="1:10">
      <c r="A33" s="685" t="s">
        <v>598</v>
      </c>
      <c r="B33" s="686"/>
      <c r="C33" s="687"/>
      <c r="D33" s="680"/>
      <c r="E33" s="682">
        <v>109041225.95</v>
      </c>
      <c r="F33" s="682">
        <v>44702.51</v>
      </c>
      <c r="G33" s="682">
        <v>299139.12</v>
      </c>
      <c r="H33" s="682">
        <v>109385067.58</v>
      </c>
    </row>
    <row r="34" spans="1:10">
      <c r="I34" s="689">
        <f>SUM(I17:I32)</f>
        <v>91291127.450000003</v>
      </c>
      <c r="J34" s="742">
        <f>SUM(J17:J32)</f>
        <v>16406231.9</v>
      </c>
    </row>
  </sheetData>
  <pageMargins left="0.75" right="0.75" top="1" bottom="1" header="0.5" footer="0.5"/>
  <pageSetup scale="7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3"/>
  <sheetViews>
    <sheetView workbookViewId="0">
      <selection activeCell="G12" sqref="G12"/>
    </sheetView>
  </sheetViews>
  <sheetFormatPr defaultColWidth="9.140625" defaultRowHeight="12.75"/>
  <cols>
    <col min="1" max="1" width="6.7109375" style="156" customWidth="1"/>
    <col min="2" max="2" width="3.42578125" style="156" customWidth="1"/>
    <col min="3" max="3" width="36.7109375" style="156" customWidth="1"/>
    <col min="4" max="4" width="9.28515625" style="156" bestFit="1" customWidth="1"/>
    <col min="5" max="5" width="13.5703125" style="156" customWidth="1"/>
    <col min="6" max="6" width="2.42578125" style="156" customWidth="1"/>
    <col min="7" max="7" width="11.42578125" style="156" customWidth="1"/>
    <col min="8" max="8" width="10.7109375" style="156" customWidth="1"/>
    <col min="9" max="9" width="11.140625" style="156" customWidth="1"/>
    <col min="10" max="10" width="10.28515625" style="156" customWidth="1"/>
    <col min="11" max="16384" width="9.140625" style="156"/>
  </cols>
  <sheetData>
    <row r="1" spans="1:10" ht="42" customHeight="1">
      <c r="A1" s="970" t="s">
        <v>247</v>
      </c>
      <c r="B1" s="970"/>
      <c r="C1" s="970"/>
      <c r="D1" s="970"/>
      <c r="E1" s="970"/>
      <c r="F1" s="970"/>
    </row>
    <row r="2" spans="1:10">
      <c r="A2" s="971" t="s">
        <v>93</v>
      </c>
      <c r="B2" s="971"/>
      <c r="C2" s="971"/>
      <c r="D2" s="971"/>
      <c r="E2" s="971"/>
      <c r="F2" s="971"/>
      <c r="G2" s="690"/>
    </row>
    <row r="3" spans="1:10">
      <c r="A3" s="158"/>
      <c r="B3" s="158"/>
      <c r="C3" s="158"/>
      <c r="D3" s="158"/>
      <c r="E3" s="158"/>
      <c r="F3" s="158"/>
    </row>
    <row r="4" spans="1:10">
      <c r="E4" s="158" t="s">
        <v>48</v>
      </c>
      <c r="G4" s="559" t="s">
        <v>89</v>
      </c>
      <c r="H4" s="559" t="s">
        <v>89</v>
      </c>
      <c r="I4" s="559" t="s">
        <v>567</v>
      </c>
      <c r="J4" s="559"/>
    </row>
    <row r="5" spans="1:10">
      <c r="E5" s="167" t="s">
        <v>119</v>
      </c>
      <c r="G5" s="559" t="s">
        <v>249</v>
      </c>
      <c r="H5" s="559" t="s">
        <v>249</v>
      </c>
      <c r="I5" s="559" t="s">
        <v>89</v>
      </c>
      <c r="J5" s="559" t="s">
        <v>568</v>
      </c>
    </row>
    <row r="6" spans="1:10">
      <c r="A6" s="158" t="s">
        <v>3</v>
      </c>
      <c r="E6" s="158" t="s">
        <v>248</v>
      </c>
      <c r="G6" s="559" t="s">
        <v>564</v>
      </c>
      <c r="H6" s="559" t="s">
        <v>566</v>
      </c>
      <c r="I6" s="559" t="s">
        <v>88</v>
      </c>
      <c r="J6" s="559" t="s">
        <v>48</v>
      </c>
    </row>
    <row r="7" spans="1:10">
      <c r="A7" s="159" t="s">
        <v>90</v>
      </c>
      <c r="C7" s="160" t="s">
        <v>4</v>
      </c>
      <c r="D7" s="158" t="s">
        <v>234</v>
      </c>
      <c r="E7" s="159" t="s">
        <v>249</v>
      </c>
      <c r="G7" s="587" t="s">
        <v>565</v>
      </c>
      <c r="H7" s="587" t="s">
        <v>565</v>
      </c>
      <c r="I7" s="587" t="s">
        <v>275</v>
      </c>
      <c r="J7" s="587" t="s">
        <v>119</v>
      </c>
    </row>
    <row r="8" spans="1:10">
      <c r="A8" s="158"/>
      <c r="F8" s="208"/>
      <c r="G8" s="208"/>
      <c r="H8" s="208"/>
      <c r="I8" s="208"/>
    </row>
    <row r="9" spans="1:10">
      <c r="A9" s="158"/>
      <c r="B9" s="156" t="s">
        <v>86</v>
      </c>
      <c r="F9" s="208"/>
      <c r="G9" s="208"/>
      <c r="H9" s="208"/>
      <c r="I9" s="208"/>
    </row>
    <row r="10" spans="1:10">
      <c r="A10" s="158">
        <v>1</v>
      </c>
      <c r="B10" s="156" t="s">
        <v>85</v>
      </c>
      <c r="D10" s="161"/>
      <c r="E10" s="162">
        <f>I10+J10</f>
        <v>6545.4046678869499</v>
      </c>
      <c r="F10" s="208"/>
      <c r="G10" s="208"/>
      <c r="H10" s="209"/>
      <c r="I10" s="208"/>
      <c r="J10" s="162">
        <f>'Attrition 09.2014 to 2016'!N7*'Attrition 09.2014 to 2016'!K7</f>
        <v>6545.4046678869499</v>
      </c>
    </row>
    <row r="11" spans="1:10">
      <c r="A11" s="158">
        <v>2</v>
      </c>
      <c r="B11" s="156" t="s">
        <v>84</v>
      </c>
      <c r="E11" s="162">
        <f>I11+J11</f>
        <v>12.092460032444531</v>
      </c>
      <c r="F11" s="208"/>
      <c r="G11" s="208"/>
      <c r="H11" s="208"/>
      <c r="I11" s="208"/>
      <c r="J11" s="162">
        <f>'Attrition 09.2014 to 2016'!N8*'Attrition 09.2014 to 2016'!K8</f>
        <v>12.092460032444531</v>
      </c>
    </row>
    <row r="12" spans="1:10">
      <c r="A12" s="158">
        <v>3</v>
      </c>
      <c r="B12" s="156" t="s">
        <v>83</v>
      </c>
      <c r="E12" s="162">
        <f>I12+J12</f>
        <v>-2548</v>
      </c>
      <c r="F12" s="208"/>
      <c r="G12" s="162">
        <f>ROUND('PF Power Supply 09.2014 load'!F11,0)</f>
        <v>57325</v>
      </c>
      <c r="H12" s="162">
        <f>ROUND('PF Power Supply 2016 load'!F11,0)</f>
        <v>54777</v>
      </c>
      <c r="I12" s="537">
        <f>H12-G12</f>
        <v>-2548</v>
      </c>
    </row>
    <row r="13" spans="1:10">
      <c r="A13" s="158">
        <v>4</v>
      </c>
      <c r="B13" s="156" t="s">
        <v>82</v>
      </c>
      <c r="E13" s="569">
        <f>SUM(E10:E12)</f>
        <v>4009.4971279193942</v>
      </c>
      <c r="F13" s="208"/>
      <c r="G13" s="569">
        <f>SUM(G10:G12)</f>
        <v>57325</v>
      </c>
      <c r="H13" s="569">
        <f>SUM(H10:H12)</f>
        <v>54777</v>
      </c>
      <c r="I13" s="569">
        <f>SUM(I10:I12)</f>
        <v>-2548</v>
      </c>
      <c r="J13" s="569">
        <f>SUM(J10:J12)</f>
        <v>6557.4971279193942</v>
      </c>
    </row>
    <row r="14" spans="1:10">
      <c r="A14" s="158">
        <v>5</v>
      </c>
      <c r="B14" s="156" t="s">
        <v>81</v>
      </c>
      <c r="E14" s="162">
        <f>I14+J14</f>
        <v>0</v>
      </c>
      <c r="F14" s="208"/>
      <c r="G14" s="163">
        <f>ROUND('PF Power Supply 09.2014 load'!F19-'incremental load expense'!G13,0)</f>
        <v>10529</v>
      </c>
      <c r="H14" s="163">
        <f>ROUND('PF Power Supply 2016 load'!F19-H12,0)</f>
        <v>10529</v>
      </c>
      <c r="I14" s="537">
        <f>H14-G14</f>
        <v>0</v>
      </c>
      <c r="J14" s="162">
        <f>'Attrition 09.2014 to 2016'!N11*'Attrition 09.2014 to 2016'!K11</f>
        <v>0</v>
      </c>
    </row>
    <row r="15" spans="1:10">
      <c r="A15" s="158">
        <v>6</v>
      </c>
      <c r="B15" s="156" t="s">
        <v>80</v>
      </c>
      <c r="E15" s="569">
        <f>E13+E14</f>
        <v>4009.4971279193942</v>
      </c>
      <c r="F15" s="208"/>
      <c r="G15" s="162">
        <f>G13+G14</f>
        <v>67854</v>
      </c>
      <c r="H15" s="162">
        <f>H13+H14</f>
        <v>65306</v>
      </c>
      <c r="I15" s="569">
        <f>I13+I14</f>
        <v>-2548</v>
      </c>
      <c r="J15" s="569">
        <f>J13+J14</f>
        <v>6557.4971279193942</v>
      </c>
    </row>
    <row r="16" spans="1:10">
      <c r="A16" s="158"/>
      <c r="E16" s="162"/>
      <c r="F16" s="208"/>
      <c r="G16" s="162"/>
      <c r="H16" s="162"/>
      <c r="I16" s="162"/>
      <c r="J16" s="162"/>
    </row>
    <row r="17" spans="1:10">
      <c r="A17" s="158"/>
      <c r="B17" s="156" t="s">
        <v>79</v>
      </c>
      <c r="E17" s="162"/>
      <c r="F17" s="208"/>
      <c r="G17" s="162"/>
      <c r="H17" s="162"/>
      <c r="I17" s="162"/>
      <c r="J17" s="162"/>
    </row>
    <row r="18" spans="1:10">
      <c r="A18" s="158"/>
      <c r="B18" s="156" t="s">
        <v>78</v>
      </c>
      <c r="E18" s="162"/>
      <c r="F18" s="208"/>
      <c r="G18" s="162"/>
      <c r="H18" s="162"/>
      <c r="I18" s="162"/>
      <c r="J18" s="162"/>
    </row>
    <row r="19" spans="1:10">
      <c r="A19" s="158">
        <v>7</v>
      </c>
      <c r="C19" s="156" t="s">
        <v>70</v>
      </c>
      <c r="E19" s="162">
        <f>I19+J19</f>
        <v>0</v>
      </c>
      <c r="F19" s="208"/>
      <c r="G19" s="162">
        <f>ROUND('PF Power Supply 09.2014 load'!F35-'incremental load expense'!G20,0)</f>
        <v>79305</v>
      </c>
      <c r="H19" s="162">
        <f>ROUND('PF Power Supply 2016 load'!F35-H20,0)-1</f>
        <v>79305</v>
      </c>
      <c r="I19" s="537">
        <f>H19-G19</f>
        <v>0</v>
      </c>
      <c r="J19" s="162"/>
    </row>
    <row r="20" spans="1:10">
      <c r="A20" s="158">
        <v>8</v>
      </c>
      <c r="C20" s="156" t="s">
        <v>77</v>
      </c>
      <c r="E20" s="162">
        <f>I20+J20</f>
        <v>1927</v>
      </c>
      <c r="F20" s="208"/>
      <c r="G20" s="162">
        <f>ROUND('PF Power Supply 09.2014 load'!F26,0)</f>
        <v>77131</v>
      </c>
      <c r="H20" s="162">
        <f>ROUND('PF Power Supply 2016 load'!F26,0)</f>
        <v>79058</v>
      </c>
      <c r="I20" s="537">
        <f>H20-G20</f>
        <v>1927</v>
      </c>
      <c r="J20" s="162"/>
    </row>
    <row r="21" spans="1:10">
      <c r="A21" s="158">
        <v>9</v>
      </c>
      <c r="C21" s="156" t="s">
        <v>137</v>
      </c>
      <c r="E21" s="162"/>
      <c r="F21" s="208"/>
      <c r="G21" s="162"/>
      <c r="H21" s="162"/>
      <c r="I21" s="162"/>
      <c r="J21" s="162"/>
    </row>
    <row r="22" spans="1:10">
      <c r="A22" s="158">
        <v>10</v>
      </c>
      <c r="C22" s="156" t="s">
        <v>138</v>
      </c>
      <c r="E22" s="162"/>
      <c r="F22" s="208"/>
      <c r="G22" s="162"/>
      <c r="H22" s="162"/>
      <c r="I22" s="162"/>
      <c r="J22" s="162"/>
    </row>
    <row r="23" spans="1:10">
      <c r="A23" s="158">
        <v>11</v>
      </c>
      <c r="C23" s="156" t="s">
        <v>69</v>
      </c>
      <c r="E23" s="163"/>
      <c r="F23" s="208"/>
      <c r="G23" s="163"/>
      <c r="H23" s="163"/>
      <c r="I23" s="163"/>
      <c r="J23" s="163"/>
    </row>
    <row r="24" spans="1:10">
      <c r="A24" s="158">
        <v>12</v>
      </c>
      <c r="B24" s="156" t="s">
        <v>76</v>
      </c>
      <c r="E24" s="162">
        <f>SUM(E19:E23)</f>
        <v>1927</v>
      </c>
      <c r="F24" s="208"/>
      <c r="G24" s="162">
        <f>SUM(G19:G23)</f>
        <v>156436</v>
      </c>
      <c r="H24" s="162">
        <f>SUM(H19:H23)</f>
        <v>158363</v>
      </c>
      <c r="I24" s="162">
        <f>SUM(I19:I23)</f>
        <v>1927</v>
      </c>
      <c r="J24" s="162">
        <f>SUM(J19:J23)</f>
        <v>0</v>
      </c>
    </row>
    <row r="25" spans="1:10">
      <c r="A25" s="158"/>
      <c r="E25" s="162"/>
      <c r="F25" s="208"/>
      <c r="G25" s="162"/>
      <c r="H25" s="162"/>
      <c r="I25" s="162"/>
      <c r="J25" s="162"/>
    </row>
    <row r="26" spans="1:10">
      <c r="A26" s="158"/>
      <c r="B26" s="156" t="s">
        <v>56</v>
      </c>
      <c r="E26" s="162"/>
      <c r="G26" s="162"/>
      <c r="H26" s="162"/>
      <c r="I26" s="162"/>
      <c r="J26" s="162"/>
    </row>
    <row r="27" spans="1:10">
      <c r="A27" s="158">
        <v>13</v>
      </c>
      <c r="C27" s="156" t="s">
        <v>70</v>
      </c>
      <c r="E27" s="162"/>
      <c r="G27" s="162"/>
      <c r="H27" s="162"/>
      <c r="I27" s="162"/>
      <c r="J27" s="162"/>
    </row>
    <row r="28" spans="1:10">
      <c r="A28" s="158">
        <v>14</v>
      </c>
      <c r="C28" s="156" t="s">
        <v>139</v>
      </c>
      <c r="E28" s="162"/>
      <c r="G28" s="162"/>
      <c r="H28" s="162"/>
      <c r="I28" s="162"/>
      <c r="J28" s="162"/>
    </row>
    <row r="29" spans="1:10">
      <c r="A29" s="158">
        <v>15</v>
      </c>
      <c r="C29" s="156" t="s">
        <v>69</v>
      </c>
      <c r="D29" s="448">
        <f>ROR!F31</f>
        <v>3.8526999999999999E-2</v>
      </c>
      <c r="E29" s="162">
        <f>I29+J29</f>
        <v>252.1748056396805</v>
      </c>
      <c r="G29" s="163"/>
      <c r="H29" s="163"/>
      <c r="I29" s="163"/>
      <c r="J29" s="163">
        <f>J10*D29</f>
        <v>252.1748056396805</v>
      </c>
    </row>
    <row r="30" spans="1:10">
      <c r="A30" s="158">
        <v>16</v>
      </c>
      <c r="B30" s="156" t="s">
        <v>75</v>
      </c>
      <c r="E30" s="569">
        <f>SUM(E27:E29)</f>
        <v>252.1748056396805</v>
      </c>
      <c r="G30" s="162">
        <f>SUM(G27:G29)</f>
        <v>0</v>
      </c>
      <c r="H30" s="162">
        <f>SUM(H27:H29)</f>
        <v>0</v>
      </c>
      <c r="I30" s="162">
        <f>SUM(I27:I29)</f>
        <v>0</v>
      </c>
      <c r="J30" s="162">
        <f>SUM(J27:J29)</f>
        <v>252.1748056396805</v>
      </c>
    </row>
    <row r="31" spans="1:10">
      <c r="A31" s="158"/>
      <c r="E31" s="162"/>
      <c r="G31" s="162"/>
      <c r="H31" s="162"/>
      <c r="I31" s="162"/>
      <c r="J31" s="162"/>
    </row>
    <row r="32" spans="1:10">
      <c r="A32" s="158">
        <v>17</v>
      </c>
      <c r="B32" s="156" t="s">
        <v>74</v>
      </c>
      <c r="D32" s="448">
        <f>ROR!F27</f>
        <v>5.3530000000000001E-3</v>
      </c>
      <c r="E32" s="162">
        <f>I32+J32</f>
        <v>35.037551187198844</v>
      </c>
      <c r="G32" s="162"/>
      <c r="H32" s="162"/>
      <c r="I32" s="162"/>
      <c r="J32" s="162">
        <f>J10*D32</f>
        <v>35.037551187198844</v>
      </c>
    </row>
    <row r="33" spans="1:10">
      <c r="A33" s="158">
        <v>18</v>
      </c>
      <c r="B33" s="156" t="s">
        <v>73</v>
      </c>
      <c r="E33" s="162"/>
      <c r="G33" s="162"/>
      <c r="H33" s="162"/>
      <c r="I33" s="162"/>
      <c r="J33" s="162"/>
    </row>
    <row r="34" spans="1:10">
      <c r="A34" s="158">
        <v>19</v>
      </c>
      <c r="B34" s="156" t="s">
        <v>72</v>
      </c>
      <c r="E34" s="162"/>
      <c r="G34" s="162"/>
      <c r="H34" s="162"/>
      <c r="I34" s="162"/>
      <c r="J34" s="162"/>
    </row>
    <row r="35" spans="1:10">
      <c r="A35" s="158"/>
      <c r="E35" s="162"/>
      <c r="G35" s="162"/>
      <c r="H35" s="162"/>
      <c r="I35" s="162"/>
      <c r="J35" s="162"/>
    </row>
    <row r="36" spans="1:10">
      <c r="A36" s="158"/>
      <c r="B36" s="156" t="s">
        <v>71</v>
      </c>
      <c r="E36" s="162"/>
      <c r="G36" s="162"/>
      <c r="H36" s="162"/>
      <c r="I36" s="162"/>
      <c r="J36" s="162"/>
    </row>
    <row r="37" spans="1:10">
      <c r="A37" s="158">
        <v>20</v>
      </c>
      <c r="C37" s="156" t="s">
        <v>70</v>
      </c>
      <c r="D37" s="448">
        <f>ROR!F29</f>
        <v>2E-3</v>
      </c>
      <c r="E37" s="162">
        <f>I37+J37</f>
        <v>13.090809335773899</v>
      </c>
      <c r="G37" s="162"/>
      <c r="H37" s="162"/>
      <c r="I37" s="162"/>
      <c r="J37" s="162">
        <f>J10*D37</f>
        <v>13.090809335773899</v>
      </c>
    </row>
    <row r="38" spans="1:10">
      <c r="A38" s="158">
        <v>21</v>
      </c>
      <c r="C38" s="156" t="s">
        <v>139</v>
      </c>
      <c r="E38" s="162"/>
      <c r="G38" s="162"/>
      <c r="H38" s="162"/>
      <c r="I38" s="162"/>
      <c r="J38" s="162"/>
    </row>
    <row r="39" spans="1:10">
      <c r="A39" s="158">
        <v>22</v>
      </c>
      <c r="C39" s="156" t="s">
        <v>69</v>
      </c>
      <c r="E39" s="163"/>
      <c r="G39" s="163"/>
      <c r="H39" s="163"/>
      <c r="I39" s="163"/>
      <c r="J39" s="163"/>
    </row>
    <row r="40" spans="1:10">
      <c r="A40" s="158">
        <v>23</v>
      </c>
      <c r="B40" s="156" t="s">
        <v>68</v>
      </c>
      <c r="E40" s="164">
        <f>SUM(E37:E39)</f>
        <v>13.090809335773899</v>
      </c>
      <c r="G40" s="164">
        <f>SUM(G37:G39)</f>
        <v>0</v>
      </c>
      <c r="H40" s="164">
        <f>SUM(H37:H39)</f>
        <v>0</v>
      </c>
      <c r="I40" s="164">
        <f>SUM(I37:I39)</f>
        <v>0</v>
      </c>
      <c r="J40" s="164">
        <f>SUM(J37:J39)</f>
        <v>13.090809335773899</v>
      </c>
    </row>
    <row r="41" spans="1:10">
      <c r="A41" s="158">
        <v>24</v>
      </c>
      <c r="B41" s="156" t="s">
        <v>67</v>
      </c>
      <c r="E41" s="164">
        <f>E24+E30+E32+E33+E34+E40</f>
        <v>2227.3031661626533</v>
      </c>
      <c r="G41" s="164">
        <f>G24+G30+G32+G33+G34+G40</f>
        <v>156436</v>
      </c>
      <c r="H41" s="164">
        <f>H24+H30+H32+H33+H34+H40</f>
        <v>158363</v>
      </c>
      <c r="I41" s="164">
        <f>I24+I30+I32+I33+I34+I40</f>
        <v>1927</v>
      </c>
      <c r="J41" s="164">
        <f>J24+J30+J32+J33+J34+J40</f>
        <v>300.30316616265321</v>
      </c>
    </row>
    <row r="42" spans="1:10">
      <c r="A42" s="158"/>
      <c r="E42" s="162"/>
      <c r="G42" s="162"/>
      <c r="H42" s="162"/>
      <c r="I42" s="162"/>
      <c r="J42" s="162"/>
    </row>
    <row r="43" spans="1:10">
      <c r="A43" s="158">
        <v>25</v>
      </c>
      <c r="B43" s="156" t="s">
        <v>66</v>
      </c>
      <c r="E43" s="162">
        <f>E15-E41</f>
        <v>1782.1939617567409</v>
      </c>
      <c r="G43" s="162">
        <f>G15-G41</f>
        <v>-88582</v>
      </c>
      <c r="H43" s="162">
        <f>H15-H41</f>
        <v>-93057</v>
      </c>
      <c r="I43" s="162">
        <f>I15-I41</f>
        <v>-4475</v>
      </c>
      <c r="J43" s="162">
        <f>J15-J41</f>
        <v>6257.1939617567414</v>
      </c>
    </row>
    <row r="44" spans="1:10">
      <c r="A44" s="158"/>
      <c r="E44" s="162"/>
      <c r="G44" s="162"/>
      <c r="H44" s="162"/>
      <c r="I44" s="162"/>
      <c r="J44" s="162"/>
    </row>
    <row r="45" spans="1:10">
      <c r="A45" s="158"/>
      <c r="B45" s="156" t="s">
        <v>65</v>
      </c>
      <c r="E45" s="162"/>
      <c r="G45" s="162"/>
      <c r="H45" s="162"/>
      <c r="I45" s="162"/>
      <c r="J45" s="162"/>
    </row>
    <row r="46" spans="1:10">
      <c r="A46" s="158">
        <v>26</v>
      </c>
      <c r="B46" s="156" t="s">
        <v>140</v>
      </c>
      <c r="E46" s="162">
        <f>ROUND(0.35*E43,0)</f>
        <v>624</v>
      </c>
      <c r="G46" s="162">
        <f>ROUND(0.35*G43,0)</f>
        <v>-31004</v>
      </c>
      <c r="H46" s="162">
        <f>ROUND(0.35*H43,0)</f>
        <v>-32570</v>
      </c>
      <c r="I46" s="162">
        <f>ROUND(0.35*I43,0)</f>
        <v>-1566</v>
      </c>
      <c r="J46" s="162">
        <f>ROUND(0.35*J43,0)</f>
        <v>2190</v>
      </c>
    </row>
    <row r="47" spans="1:10">
      <c r="A47" s="158">
        <v>27</v>
      </c>
      <c r="B47" s="156" t="s">
        <v>141</v>
      </c>
      <c r="E47" s="162"/>
      <c r="G47" s="162"/>
      <c r="H47" s="162"/>
      <c r="I47" s="162"/>
      <c r="J47" s="162"/>
    </row>
    <row r="48" spans="1:10">
      <c r="A48" s="158">
        <v>28</v>
      </c>
      <c r="B48" s="156" t="s">
        <v>64</v>
      </c>
      <c r="E48" s="162"/>
      <c r="G48" s="162"/>
      <c r="H48" s="162"/>
      <c r="I48" s="162"/>
      <c r="J48" s="162"/>
    </row>
    <row r="49" spans="1:10">
      <c r="A49" s="158">
        <v>29</v>
      </c>
      <c r="B49" s="156" t="s">
        <v>63</v>
      </c>
      <c r="E49" s="163"/>
      <c r="G49" s="163"/>
      <c r="H49" s="163"/>
      <c r="I49" s="163"/>
      <c r="J49" s="163"/>
    </row>
    <row r="50" spans="1:10">
      <c r="A50" s="158"/>
      <c r="E50" s="162"/>
      <c r="G50" s="162"/>
      <c r="H50" s="162"/>
      <c r="I50" s="162"/>
      <c r="J50" s="162"/>
    </row>
    <row r="51" spans="1:10">
      <c r="A51" s="158">
        <v>30</v>
      </c>
      <c r="B51" s="156" t="s">
        <v>62</v>
      </c>
      <c r="E51" s="162">
        <f>E43-E46-E47-E48-E49</f>
        <v>1158.1939617567409</v>
      </c>
      <c r="G51" s="162">
        <f>G43-G46-G47-G48-G49</f>
        <v>-57578</v>
      </c>
      <c r="H51" s="162">
        <f>H43-H46-H47-H48-H49</f>
        <v>-60487</v>
      </c>
      <c r="I51" s="162">
        <f>I43-I46-I47-I48-I49</f>
        <v>-2909</v>
      </c>
      <c r="J51" s="162">
        <f>J43-J46-J47-J48-J49</f>
        <v>4067.1939617567414</v>
      </c>
    </row>
    <row r="52" spans="1:10">
      <c r="A52" s="158"/>
    </row>
    <row r="53" spans="1:10">
      <c r="B53" s="156" t="s">
        <v>569</v>
      </c>
    </row>
  </sheetData>
  <sheetProtection selectLockedCells="1"/>
  <mergeCells count="2">
    <mergeCell ref="A1:F1"/>
    <mergeCell ref="A2:F2"/>
  </mergeCells>
  <phoneticPr fontId="55" type="noConversion"/>
  <pageMargins left="0.7" right="0.7" top="0.33" bottom="0.82" header="0.17" footer="0.59"/>
  <pageSetup scale="77" orientation="landscape" r:id="rId1"/>
  <headerFooter>
    <oddFooter>&amp;C&amp;F /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"/>
  <sheetViews>
    <sheetView workbookViewId="0">
      <selection activeCell="T1" sqref="T1"/>
    </sheetView>
  </sheetViews>
  <sheetFormatPr defaultColWidth="9.140625" defaultRowHeight="12.75"/>
  <cols>
    <col min="1" max="3" width="9.140625" style="658"/>
    <col min="4" max="4" width="10.28515625" style="658" bestFit="1" customWidth="1"/>
    <col min="5" max="6" width="9.140625" style="658"/>
    <col min="7" max="7" width="12.28515625" style="658" customWidth="1"/>
    <col min="8" max="8" width="7.85546875" style="658" customWidth="1"/>
    <col min="9" max="12" width="9.140625" style="658"/>
    <col min="13" max="13" width="11" style="658" customWidth="1"/>
    <col min="14" max="16384" width="9.140625" style="658"/>
  </cols>
  <sheetData>
    <row r="1" spans="1:14" ht="15.75">
      <c r="A1" s="743" t="s">
        <v>679</v>
      </c>
    </row>
    <row r="2" spans="1:14">
      <c r="A2" s="724" t="s">
        <v>666</v>
      </c>
    </row>
    <row r="3" spans="1:14" ht="13.5" thickBot="1">
      <c r="D3" s="728" t="s">
        <v>667</v>
      </c>
      <c r="E3" s="728"/>
      <c r="F3" s="728" t="s">
        <v>668</v>
      </c>
      <c r="G3" s="728" t="s">
        <v>673</v>
      </c>
    </row>
    <row r="4" spans="1:14">
      <c r="A4" s="744" t="s">
        <v>570</v>
      </c>
      <c r="B4" s="745"/>
      <c r="C4" s="745"/>
      <c r="D4" s="746">
        <f>'12.2014 CB Power Supply'!F46</f>
        <v>3729.8843999999999</v>
      </c>
      <c r="E4" s="746"/>
      <c r="F4" s="746">
        <f>'PF Power Supply 09.2014 load'!F45</f>
        <v>6040.6785</v>
      </c>
      <c r="G4" s="746">
        <f>F4-D4</f>
        <v>2310.7941000000001</v>
      </c>
      <c r="H4" s="747" t="s">
        <v>669</v>
      </c>
      <c r="I4" s="748"/>
      <c r="J4" s="748"/>
      <c r="K4" s="748"/>
      <c r="L4" s="748"/>
      <c r="M4" s="748"/>
      <c r="N4" s="748"/>
    </row>
    <row r="5" spans="1:14" ht="13.5" thickBot="1">
      <c r="A5" s="749" t="s">
        <v>571</v>
      </c>
      <c r="B5" s="750"/>
      <c r="C5" s="750"/>
      <c r="D5" s="751">
        <f>'12.2014 CB Power Supply'!F47</f>
        <v>8398.7109</v>
      </c>
      <c r="E5" s="751"/>
      <c r="F5" s="751">
        <f>'PF Power Supply 09.2014 load'!F46</f>
        <v>9709.7355000000007</v>
      </c>
      <c r="G5" s="751">
        <f>F5-D5</f>
        <v>1311.0246000000006</v>
      </c>
      <c r="H5" s="752" t="s">
        <v>669</v>
      </c>
      <c r="I5" s="748"/>
      <c r="J5" s="748"/>
      <c r="K5" s="748"/>
      <c r="L5" s="748"/>
      <c r="M5" s="748"/>
      <c r="N5" s="748"/>
    </row>
    <row r="6" spans="1:14">
      <c r="A6" s="710"/>
      <c r="B6" s="710"/>
      <c r="C6" s="710"/>
      <c r="D6" s="60">
        <f>SUM(D4:D5)</f>
        <v>12128.595300000001</v>
      </c>
      <c r="E6" s="710"/>
      <c r="F6" s="60">
        <f>SUM(F4:F5)</f>
        <v>15750.414000000001</v>
      </c>
      <c r="G6" s="727">
        <f>F6-D6</f>
        <v>3621.8186999999998</v>
      </c>
    </row>
    <row r="7" spans="1:14">
      <c r="H7" s="726"/>
    </row>
    <row r="8" spans="1:14">
      <c r="C8" s="725" t="s">
        <v>670</v>
      </c>
      <c r="D8" s="729" t="e">
        <f>100%+'Cost Trends'!#REF!</f>
        <v>#REF!</v>
      </c>
      <c r="H8" s="726"/>
    </row>
    <row r="9" spans="1:14">
      <c r="H9" s="753" t="s">
        <v>672</v>
      </c>
      <c r="I9" s="754"/>
      <c r="J9" s="754"/>
      <c r="K9" s="754"/>
      <c r="L9" s="754"/>
      <c r="M9" s="754"/>
    </row>
    <row r="10" spans="1:14">
      <c r="C10" s="725" t="s">
        <v>671</v>
      </c>
      <c r="D10" s="730" t="e">
        <f>D6*D8</f>
        <v>#REF!</v>
      </c>
      <c r="F10" s="731">
        <f>F6</f>
        <v>15750.414000000001</v>
      </c>
      <c r="H10" s="755" t="e">
        <f>F10-D10</f>
        <v>#REF!</v>
      </c>
      <c r="I10" s="754"/>
      <c r="J10" s="756"/>
      <c r="K10" s="754"/>
      <c r="L10" s="754"/>
      <c r="M10" s="754"/>
    </row>
    <row r="11" spans="1:14">
      <c r="H11" s="726"/>
    </row>
    <row r="12" spans="1:14">
      <c r="H12" s="726"/>
    </row>
    <row r="13" spans="1:14">
      <c r="H13" s="726"/>
    </row>
    <row r="14" spans="1:14">
      <c r="H14" s="726"/>
    </row>
  </sheetData>
  <pageMargins left="0.7" right="0.7" top="0.75" bottom="0.75" header="0.3" footer="0.3"/>
  <pageSetup scale="9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46"/>
  <sheetViews>
    <sheetView topLeftCell="A7" zoomScaleNormal="100" workbookViewId="0">
      <selection activeCell="H26" sqref="H26"/>
    </sheetView>
  </sheetViews>
  <sheetFormatPr defaultColWidth="9.140625" defaultRowHeight="12.75"/>
  <cols>
    <col min="1" max="1" width="22.140625" style="15" customWidth="1"/>
    <col min="2" max="2" width="9.140625" style="15"/>
    <col min="3" max="3" width="10" style="15" customWidth="1"/>
    <col min="4" max="4" width="12.85546875" style="15" customWidth="1"/>
    <col min="5" max="5" width="9.5703125" style="15" customWidth="1"/>
    <col min="6" max="6" width="12.140625" style="15" customWidth="1"/>
    <col min="7" max="7" width="3.5703125" style="15" customWidth="1"/>
    <col min="8" max="8" width="53.42578125" style="15" customWidth="1"/>
    <col min="9" max="16384" width="9.140625" style="15"/>
  </cols>
  <sheetData>
    <row r="1" spans="1:11">
      <c r="A1" s="55" t="s">
        <v>6</v>
      </c>
      <c r="B1" s="55"/>
      <c r="C1" s="55"/>
      <c r="D1" s="55"/>
      <c r="E1" s="55"/>
      <c r="F1" s="55"/>
      <c r="G1" s="55"/>
      <c r="H1" s="55"/>
    </row>
    <row r="2" spans="1:11">
      <c r="A2" s="55" t="s">
        <v>126</v>
      </c>
      <c r="B2" s="55"/>
      <c r="C2" s="55"/>
      <c r="D2" s="55"/>
      <c r="E2" s="55"/>
      <c r="F2" s="55"/>
      <c r="G2" s="55"/>
      <c r="H2" s="55"/>
    </row>
    <row r="3" spans="1:11">
      <c r="A3" s="56" t="s">
        <v>501</v>
      </c>
      <c r="B3" s="55"/>
      <c r="C3" s="55"/>
      <c r="D3" s="55"/>
      <c r="E3" s="55"/>
      <c r="F3" s="55"/>
      <c r="G3" s="55"/>
      <c r="H3" s="55"/>
    </row>
    <row r="4" spans="1:11">
      <c r="G4" s="72"/>
    </row>
    <row r="5" spans="1:11">
      <c r="C5" s="723"/>
      <c r="D5" s="863" t="s">
        <v>744</v>
      </c>
      <c r="E5" s="853" t="s">
        <v>745</v>
      </c>
      <c r="G5" s="72"/>
      <c r="H5" s="18"/>
    </row>
    <row r="6" spans="1:11">
      <c r="D6" s="863" t="s">
        <v>743</v>
      </c>
      <c r="E6" s="854" t="s">
        <v>746</v>
      </c>
      <c r="F6" s="57"/>
      <c r="G6" s="72"/>
    </row>
    <row r="7" spans="1:11">
      <c r="D7" s="57" t="s">
        <v>741</v>
      </c>
      <c r="E7" s="854" t="s">
        <v>748</v>
      </c>
      <c r="F7" s="839" t="s">
        <v>741</v>
      </c>
      <c r="G7" s="72"/>
    </row>
    <row r="8" spans="1:11">
      <c r="D8" s="58" t="s">
        <v>749</v>
      </c>
      <c r="E8" s="855" t="s">
        <v>747</v>
      </c>
      <c r="F8" s="58" t="s">
        <v>750</v>
      </c>
      <c r="G8" s="73"/>
    </row>
    <row r="9" spans="1:11">
      <c r="A9" s="15" t="s">
        <v>9</v>
      </c>
      <c r="E9" s="856"/>
      <c r="F9" s="737">
        <v>0.64710000000000001</v>
      </c>
      <c r="G9" s="74"/>
      <c r="H9" s="237"/>
      <c r="K9" s="237"/>
    </row>
    <row r="10" spans="1:11">
      <c r="E10" s="857"/>
      <c r="G10" s="72"/>
    </row>
    <row r="11" spans="1:11">
      <c r="A11" s="15" t="s">
        <v>10</v>
      </c>
      <c r="D11" s="850">
        <v>88588</v>
      </c>
      <c r="E11" s="858">
        <v>83074</v>
      </c>
      <c r="F11" s="59">
        <f>F$9*D11</f>
        <v>57325.294800000003</v>
      </c>
      <c r="G11" s="65"/>
      <c r="H11" s="721" t="s">
        <v>752</v>
      </c>
    </row>
    <row r="12" spans="1:11">
      <c r="A12" s="15" t="s">
        <v>11</v>
      </c>
      <c r="D12" s="60">
        <v>466</v>
      </c>
      <c r="E12" s="859"/>
      <c r="F12" s="60">
        <f>F$9*D12</f>
        <v>301.54860000000002</v>
      </c>
      <c r="G12" s="62"/>
      <c r="H12" s="59"/>
    </row>
    <row r="13" spans="1:11">
      <c r="A13" s="15" t="s">
        <v>12</v>
      </c>
      <c r="D13" s="60">
        <v>0</v>
      </c>
      <c r="E13" s="859"/>
      <c r="F13" s="60">
        <f>F$9*D13</f>
        <v>0</v>
      </c>
      <c r="G13" s="62"/>
      <c r="H13" s="59"/>
    </row>
    <row r="14" spans="1:11" s="446" customFormat="1">
      <c r="A14" s="623" t="s">
        <v>402</v>
      </c>
      <c r="B14" s="623"/>
      <c r="C14" s="623" t="s">
        <v>98</v>
      </c>
      <c r="D14" s="341">
        <f>15801-D15-D16</f>
        <v>15650</v>
      </c>
      <c r="E14" s="859"/>
      <c r="F14" s="60">
        <f>F$9*D14</f>
        <v>10127.115</v>
      </c>
      <c r="G14" s="62"/>
      <c r="H14" s="691"/>
    </row>
    <row r="15" spans="1:11" s="623" customFormat="1">
      <c r="A15" s="623" t="s">
        <v>402</v>
      </c>
      <c r="C15" s="623" t="s">
        <v>502</v>
      </c>
      <c r="D15" s="341">
        <v>100</v>
      </c>
      <c r="E15" s="859"/>
      <c r="F15" s="62">
        <f>D15</f>
        <v>100</v>
      </c>
      <c r="G15" s="62"/>
      <c r="H15" s="692"/>
    </row>
    <row r="16" spans="1:11" s="623" customFormat="1">
      <c r="A16" s="623" t="s">
        <v>402</v>
      </c>
      <c r="C16" s="623" t="s">
        <v>503</v>
      </c>
      <c r="D16" s="341">
        <v>51</v>
      </c>
      <c r="E16" s="859"/>
      <c r="F16" s="62">
        <v>0</v>
      </c>
      <c r="G16" s="62"/>
      <c r="H16" s="692"/>
    </row>
    <row r="17" spans="1:8">
      <c r="A17" s="15" t="s">
        <v>13</v>
      </c>
      <c r="D17" s="60">
        <v>0</v>
      </c>
      <c r="E17" s="859"/>
      <c r="F17" s="60">
        <f>F$9*D17</f>
        <v>0</v>
      </c>
      <c r="G17" s="62"/>
      <c r="H17" s="59"/>
    </row>
    <row r="18" spans="1:8">
      <c r="A18" s="15" t="s">
        <v>128</v>
      </c>
      <c r="D18" s="61">
        <v>0</v>
      </c>
      <c r="E18" s="860"/>
      <c r="F18" s="61">
        <f>D18</f>
        <v>0</v>
      </c>
      <c r="G18" s="62"/>
      <c r="H18" s="59"/>
    </row>
    <row r="19" spans="1:8">
      <c r="A19" s="15" t="s">
        <v>14</v>
      </c>
      <c r="D19" s="60">
        <f>SUM(D11:D18)</f>
        <v>104855</v>
      </c>
      <c r="E19" s="859"/>
      <c r="F19" s="60">
        <f>SUM(F11:F18)</f>
        <v>67853.958400000003</v>
      </c>
      <c r="G19" s="62"/>
      <c r="H19" s="59"/>
    </row>
    <row r="20" spans="1:8">
      <c r="D20" s="60"/>
      <c r="E20" s="859"/>
      <c r="F20" s="60"/>
      <c r="G20" s="62"/>
      <c r="H20" s="59"/>
    </row>
    <row r="21" spans="1:8">
      <c r="D21" s="60"/>
      <c r="E21" s="859"/>
      <c r="F21" s="60"/>
      <c r="G21" s="62"/>
      <c r="H21" s="59"/>
    </row>
    <row r="22" spans="1:8">
      <c r="A22" s="15" t="s">
        <v>15</v>
      </c>
      <c r="D22" s="662">
        <v>29123</v>
      </c>
      <c r="E22" s="859">
        <v>29696</v>
      </c>
      <c r="F22" s="60">
        <f t="shared" ref="F22:F30" si="0">F$9*D22</f>
        <v>18845.493300000002</v>
      </c>
      <c r="G22" s="62"/>
      <c r="H22" s="721" t="s">
        <v>752</v>
      </c>
    </row>
    <row r="23" spans="1:8">
      <c r="A23" s="15" t="s">
        <v>16</v>
      </c>
      <c r="D23" s="60">
        <v>0</v>
      </c>
      <c r="E23" s="859"/>
      <c r="F23" s="60">
        <f t="shared" si="0"/>
        <v>0</v>
      </c>
      <c r="G23" s="62"/>
      <c r="H23" s="59"/>
    </row>
    <row r="24" spans="1:8">
      <c r="A24" s="15" t="s">
        <v>17</v>
      </c>
      <c r="D24" s="662">
        <v>77293</v>
      </c>
      <c r="E24" s="859">
        <v>92175</v>
      </c>
      <c r="F24" s="60">
        <f t="shared" si="0"/>
        <v>50016.300300000003</v>
      </c>
      <c r="G24" s="62"/>
      <c r="H24" s="721" t="s">
        <v>752</v>
      </c>
    </row>
    <row r="25" spans="1:8">
      <c r="A25" s="15" t="s">
        <v>18</v>
      </c>
      <c r="D25" s="60">
        <v>1001</v>
      </c>
      <c r="E25" s="859"/>
      <c r="F25" s="60">
        <f t="shared" si="0"/>
        <v>647.74710000000005</v>
      </c>
      <c r="G25" s="62"/>
      <c r="H25" s="59"/>
    </row>
    <row r="26" spans="1:8">
      <c r="A26" s="15" t="s">
        <v>19</v>
      </c>
      <c r="D26" s="662">
        <v>119195</v>
      </c>
      <c r="E26" s="859">
        <v>116846</v>
      </c>
      <c r="F26" s="60">
        <f t="shared" si="0"/>
        <v>77131.084499999997</v>
      </c>
      <c r="G26" s="62"/>
      <c r="H26" s="721" t="s">
        <v>752</v>
      </c>
    </row>
    <row r="27" spans="1:8">
      <c r="A27" s="15" t="s">
        <v>20</v>
      </c>
      <c r="D27" s="60">
        <v>0</v>
      </c>
      <c r="E27" s="859"/>
      <c r="F27" s="341">
        <v>0</v>
      </c>
      <c r="G27" s="62"/>
    </row>
    <row r="28" spans="1:8">
      <c r="A28" s="15" t="s">
        <v>21</v>
      </c>
      <c r="D28" s="60">
        <v>0</v>
      </c>
      <c r="E28" s="859"/>
      <c r="F28" s="60">
        <f t="shared" si="0"/>
        <v>0</v>
      </c>
      <c r="G28" s="62"/>
      <c r="H28" s="59"/>
    </row>
    <row r="29" spans="1:8">
      <c r="A29" s="15" t="s">
        <v>22</v>
      </c>
      <c r="D29" s="60">
        <v>0</v>
      </c>
      <c r="E29" s="859"/>
      <c r="F29" s="60">
        <f t="shared" si="0"/>
        <v>0</v>
      </c>
      <c r="G29" s="62"/>
      <c r="H29" s="59"/>
    </row>
    <row r="30" spans="1:8">
      <c r="A30" s="15" t="s">
        <v>23</v>
      </c>
      <c r="D30" s="60">
        <v>690</v>
      </c>
      <c r="E30" s="859"/>
      <c r="F30" s="60">
        <f t="shared" si="0"/>
        <v>446.49900000000002</v>
      </c>
      <c r="G30" s="62"/>
      <c r="H30" s="59"/>
    </row>
    <row r="31" spans="1:8">
      <c r="A31" s="733" t="s">
        <v>678</v>
      </c>
      <c r="D31" s="60">
        <v>0</v>
      </c>
      <c r="E31" s="859"/>
      <c r="F31" s="739">
        <v>-1528</v>
      </c>
      <c r="G31" s="62"/>
      <c r="H31" s="866" t="s">
        <v>664</v>
      </c>
    </row>
    <row r="32" spans="1:8">
      <c r="A32" s="15" t="s">
        <v>24</v>
      </c>
      <c r="D32" s="60">
        <v>16809</v>
      </c>
      <c r="E32" s="859"/>
      <c r="F32" s="60">
        <f>F$9*D32</f>
        <v>10877.1039</v>
      </c>
      <c r="G32" s="62"/>
      <c r="H32" s="714"/>
    </row>
    <row r="33" spans="1:8" s="630" customFormat="1" ht="12.75" customHeight="1">
      <c r="A33" s="738" t="s">
        <v>570</v>
      </c>
      <c r="B33" s="738"/>
      <c r="C33" s="738"/>
      <c r="D33" s="739">
        <v>0</v>
      </c>
      <c r="E33" s="861"/>
      <c r="F33" s="739">
        <f>F$9*D33</f>
        <v>0</v>
      </c>
      <c r="G33" s="740"/>
      <c r="H33" s="866" t="s">
        <v>663</v>
      </c>
    </row>
    <row r="34" spans="1:8" s="630" customFormat="1" ht="12.75" customHeight="1">
      <c r="A34" s="738" t="s">
        <v>571</v>
      </c>
      <c r="B34" s="738"/>
      <c r="C34" s="738"/>
      <c r="D34" s="739">
        <v>0</v>
      </c>
      <c r="E34" s="862"/>
      <c r="F34" s="739">
        <f>F$9*D34</f>
        <v>0</v>
      </c>
      <c r="G34" s="740"/>
      <c r="H34" s="866" t="s">
        <v>663</v>
      </c>
    </row>
    <row r="35" spans="1:8">
      <c r="A35" s="15" t="s">
        <v>25</v>
      </c>
      <c r="D35" s="63">
        <f>SUM(D22:D34)</f>
        <v>244111</v>
      </c>
      <c r="E35" s="860"/>
      <c r="F35" s="63">
        <f>SUM(F22:F34)</f>
        <v>156436.22810000001</v>
      </c>
      <c r="G35" s="62"/>
      <c r="H35" s="714"/>
    </row>
    <row r="36" spans="1:8">
      <c r="E36" s="857"/>
      <c r="G36" s="72"/>
      <c r="H36" s="714"/>
    </row>
    <row r="37" spans="1:8">
      <c r="A37" s="15" t="s">
        <v>26</v>
      </c>
      <c r="D37" s="60">
        <f>D19-D35</f>
        <v>-139256</v>
      </c>
      <c r="E37" s="859"/>
      <c r="F37" s="60">
        <f>F19-F35</f>
        <v>-88582.269700000004</v>
      </c>
      <c r="G37" s="62"/>
      <c r="H37" s="714"/>
    </row>
    <row r="38" spans="1:8">
      <c r="E38" s="859"/>
      <c r="F38" s="60"/>
      <c r="G38" s="60"/>
      <c r="H38" s="75"/>
    </row>
    <row r="39" spans="1:8">
      <c r="A39" s="15" t="s">
        <v>27</v>
      </c>
      <c r="C39" s="64">
        <v>0.35</v>
      </c>
      <c r="E39" s="858"/>
      <c r="F39" s="61">
        <f>C39*F37</f>
        <v>-31003.794395000001</v>
      </c>
      <c r="G39" s="59"/>
      <c r="H39" s="75"/>
    </row>
    <row r="40" spans="1:8">
      <c r="E40" s="851"/>
      <c r="F40" s="59"/>
      <c r="G40" s="59"/>
      <c r="H40" s="75"/>
    </row>
    <row r="41" spans="1:8">
      <c r="A41" s="15" t="s">
        <v>28</v>
      </c>
      <c r="E41" s="852"/>
      <c r="F41" s="59">
        <f>F37-F39</f>
        <v>-57578.475305</v>
      </c>
      <c r="G41" s="60"/>
      <c r="H41" s="75"/>
    </row>
    <row r="42" spans="1:8">
      <c r="E42" s="60"/>
      <c r="F42" s="60"/>
      <c r="G42" s="60"/>
      <c r="H42" s="75"/>
    </row>
    <row r="43" spans="1:8">
      <c r="A43" s="75"/>
      <c r="H43" s="75"/>
    </row>
    <row r="44" spans="1:8">
      <c r="A44" s="75"/>
      <c r="H44" s="75"/>
    </row>
    <row r="45" spans="1:8">
      <c r="A45" s="18" t="s">
        <v>570</v>
      </c>
      <c r="B45" s="18"/>
      <c r="C45" s="18"/>
      <c r="D45" s="341">
        <v>9335</v>
      </c>
      <c r="E45" s="450"/>
      <c r="F45" s="341">
        <f>F$9*D45</f>
        <v>6040.6785</v>
      </c>
      <c r="G45" s="450"/>
      <c r="H45" s="866" t="s">
        <v>663</v>
      </c>
    </row>
    <row r="46" spans="1:8">
      <c r="A46" s="18" t="s">
        <v>571</v>
      </c>
      <c r="B46" s="18"/>
      <c r="C46" s="18"/>
      <c r="D46" s="341">
        <v>15005</v>
      </c>
      <c r="E46" s="450"/>
      <c r="F46" s="341">
        <f>F$9*D46</f>
        <v>9709.7355000000007</v>
      </c>
      <c r="G46" s="450"/>
      <c r="H46" s="866" t="s">
        <v>663</v>
      </c>
    </row>
  </sheetData>
  <phoneticPr fontId="53" type="noConversion"/>
  <pageMargins left="1.05" right="0.34" top="0.75" bottom="0.77" header="0.5" footer="0.52"/>
  <pageSetup scale="70" orientation="portrait" r:id="rId1"/>
  <headerFooter alignWithMargins="0">
    <oddFooter>&amp;LStaff_DR_059
Staff_DR_130-Attachment 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9"/>
  <sheetViews>
    <sheetView view="pageLayout" zoomScaleNormal="100" zoomScaleSheetLayoutView="90" workbookViewId="0">
      <selection activeCell="J33" sqref="J33"/>
    </sheetView>
  </sheetViews>
  <sheetFormatPr defaultColWidth="9.140625" defaultRowHeight="15"/>
  <cols>
    <col min="1" max="1" width="4.28515625" style="185" customWidth="1"/>
    <col min="2" max="3" width="9.140625" style="185"/>
    <col min="4" max="5" width="9.28515625" style="185" bestFit="1" customWidth="1"/>
    <col min="6" max="6" width="11" style="185" customWidth="1"/>
    <col min="7" max="7" width="1.85546875" style="185" customWidth="1"/>
    <col min="8" max="8" width="9.28515625" style="185" bestFit="1" customWidth="1"/>
    <col min="9" max="16384" width="9.140625" style="185"/>
  </cols>
  <sheetData>
    <row r="1" spans="1:8">
      <c r="H1" s="455"/>
    </row>
    <row r="2" spans="1:8" ht="15.75" thickBot="1">
      <c r="A2" s="927"/>
      <c r="B2" s="927"/>
      <c r="C2" s="927"/>
      <c r="D2" s="927"/>
      <c r="E2" s="927"/>
      <c r="F2" s="927"/>
      <c r="G2" s="927"/>
      <c r="H2" s="885"/>
    </row>
    <row r="3" spans="1:8" ht="15.75" thickBot="1">
      <c r="A3" s="928" t="s">
        <v>676</v>
      </c>
      <c r="B3" s="929"/>
      <c r="C3" s="929"/>
      <c r="D3" s="929"/>
      <c r="E3" s="929"/>
      <c r="F3" s="929"/>
      <c r="G3" s="930"/>
      <c r="H3" s="885"/>
    </row>
    <row r="4" spans="1:8">
      <c r="A4" s="931" t="s">
        <v>271</v>
      </c>
      <c r="B4" s="932"/>
      <c r="C4" s="932"/>
      <c r="D4" s="932"/>
      <c r="E4" s="932"/>
      <c r="F4" s="932"/>
      <c r="G4" s="933"/>
      <c r="H4" s="890"/>
    </row>
    <row r="5" spans="1:8" ht="15.75" thickBot="1">
      <c r="A5" s="934" t="s">
        <v>599</v>
      </c>
      <c r="B5" s="935"/>
      <c r="C5" s="935"/>
      <c r="D5" s="935"/>
      <c r="E5" s="935"/>
      <c r="F5" s="935"/>
      <c r="G5" s="936"/>
      <c r="H5" s="456"/>
    </row>
    <row r="6" spans="1:8">
      <c r="A6" s="210" t="s">
        <v>400</v>
      </c>
      <c r="B6" s="211"/>
      <c r="C6" s="211"/>
      <c r="D6" s="211"/>
      <c r="E6" s="211"/>
      <c r="F6" s="211"/>
      <c r="G6" s="212"/>
    </row>
    <row r="7" spans="1:8" ht="11.25" customHeight="1">
      <c r="A7" s="213"/>
      <c r="B7" s="214"/>
      <c r="C7" s="214"/>
      <c r="D7" s="215"/>
      <c r="E7" s="216"/>
      <c r="F7" s="215"/>
      <c r="G7" s="217"/>
    </row>
    <row r="8" spans="1:8">
      <c r="A8" s="213"/>
      <c r="B8" s="218"/>
      <c r="C8" s="215"/>
      <c r="D8" s="215" t="s">
        <v>97</v>
      </c>
      <c r="E8" s="215"/>
      <c r="F8" s="215" t="s">
        <v>272</v>
      </c>
      <c r="G8" s="217"/>
    </row>
    <row r="9" spans="1:8">
      <c r="A9" s="213"/>
      <c r="B9" s="219" t="s">
        <v>273</v>
      </c>
      <c r="C9" s="215"/>
      <c r="D9" s="219" t="s">
        <v>274</v>
      </c>
      <c r="E9" s="219" t="s">
        <v>275</v>
      </c>
      <c r="F9" s="219" t="s">
        <v>275</v>
      </c>
      <c r="G9" s="217"/>
    </row>
    <row r="10" spans="1:8" ht="11.25" customHeight="1">
      <c r="A10" s="213"/>
      <c r="B10" s="214"/>
      <c r="C10" s="214"/>
      <c r="D10" s="214"/>
      <c r="E10" s="216"/>
      <c r="F10" s="214"/>
      <c r="G10" s="220"/>
    </row>
    <row r="11" spans="1:8">
      <c r="A11" s="213"/>
      <c r="B11" s="218" t="s">
        <v>276</v>
      </c>
      <c r="C11" s="221"/>
      <c r="D11" s="222">
        <f>100%-D13</f>
        <v>0.51500000000000001</v>
      </c>
      <c r="E11" s="222">
        <v>5.1999999999999998E-2</v>
      </c>
      <c r="F11" s="222">
        <f>ROUND(D11*E11,4)</f>
        <v>2.6800000000000001E-2</v>
      </c>
      <c r="G11" s="235"/>
    </row>
    <row r="12" spans="1:8" ht="11.25" customHeight="1">
      <c r="A12" s="213"/>
      <c r="B12" s="218"/>
      <c r="C12" s="224"/>
      <c r="D12" s="222"/>
      <c r="E12" s="222"/>
      <c r="F12" s="222"/>
      <c r="G12" s="225"/>
    </row>
    <row r="13" spans="1:8">
      <c r="A13" s="213"/>
      <c r="B13" s="218" t="s">
        <v>91</v>
      </c>
      <c r="C13" s="224"/>
      <c r="D13" s="222">
        <v>0.48499999999999999</v>
      </c>
      <c r="E13" s="222">
        <v>9.5000000000000001E-2</v>
      </c>
      <c r="F13" s="222">
        <f>ROUND(D13*E13,4)</f>
        <v>4.6100000000000002E-2</v>
      </c>
      <c r="G13" s="220"/>
    </row>
    <row r="14" spans="1:8" ht="11.25" customHeight="1">
      <c r="A14" s="213"/>
      <c r="B14" s="218"/>
      <c r="C14" s="224"/>
      <c r="D14" s="226"/>
      <c r="E14" s="226"/>
      <c r="F14" s="222"/>
      <c r="G14" s="217"/>
    </row>
    <row r="15" spans="1:8" ht="15.75" thickBot="1">
      <c r="A15" s="213"/>
      <c r="B15" s="218" t="s">
        <v>8</v>
      </c>
      <c r="C15" s="221"/>
      <c r="D15" s="228">
        <f>SUM(D11:D13)</f>
        <v>1</v>
      </c>
      <c r="E15" s="227"/>
      <c r="F15" s="228">
        <f>SUM(F11:F13)</f>
        <v>7.2900000000000006E-2</v>
      </c>
      <c r="G15" s="217"/>
    </row>
    <row r="16" spans="1:8" ht="11.25" customHeight="1" thickTop="1" thickBot="1">
      <c r="A16" s="229"/>
      <c r="B16" s="230"/>
      <c r="C16" s="231"/>
      <c r="D16" s="232"/>
      <c r="E16" s="233"/>
      <c r="F16" s="232"/>
      <c r="G16" s="234"/>
    </row>
    <row r="17" spans="1:16" ht="15.75" thickBot="1">
      <c r="A17" s="214"/>
      <c r="B17" s="218"/>
      <c r="C17" s="224"/>
      <c r="D17" s="222"/>
      <c r="E17" s="223"/>
      <c r="F17" s="222"/>
      <c r="G17" s="214"/>
    </row>
    <row r="18" spans="1:16" ht="15.75" thickBot="1">
      <c r="B18" s="938" t="s">
        <v>95</v>
      </c>
      <c r="C18" s="939"/>
      <c r="D18" s="939"/>
      <c r="E18" s="939"/>
      <c r="F18" s="940"/>
    </row>
    <row r="19" spans="1:16">
      <c r="B19" s="941" t="s">
        <v>777</v>
      </c>
      <c r="C19" s="942"/>
      <c r="D19" s="942"/>
      <c r="E19" s="942"/>
      <c r="F19" s="943"/>
    </row>
    <row r="20" spans="1:16" ht="15.75" thickBot="1">
      <c r="B20" s="944" t="s">
        <v>599</v>
      </c>
      <c r="C20" s="945"/>
      <c r="D20" s="945"/>
      <c r="E20" s="945"/>
      <c r="F20" s="946"/>
      <c r="P20" s="532"/>
    </row>
    <row r="21" spans="1:16" ht="11.25" customHeight="1">
      <c r="B21" s="891"/>
      <c r="C21" s="886"/>
      <c r="D21" s="886"/>
      <c r="E21" s="886"/>
      <c r="F21" s="892"/>
    </row>
    <row r="22" spans="1:16">
      <c r="B22" s="893" t="s">
        <v>480</v>
      </c>
      <c r="C22" s="458" t="s">
        <v>775</v>
      </c>
      <c r="D22" s="889"/>
      <c r="E22" s="458"/>
      <c r="F22" s="894" t="s">
        <v>408</v>
      </c>
    </row>
    <row r="23" spans="1:16" ht="11.25" customHeight="1">
      <c r="B23" s="895"/>
      <c r="C23" s="503"/>
      <c r="D23" s="896"/>
      <c r="E23" s="503"/>
      <c r="F23" s="897"/>
    </row>
    <row r="24" spans="1:16">
      <c r="B24" s="898">
        <v>1</v>
      </c>
      <c r="C24" s="899" t="s">
        <v>409</v>
      </c>
      <c r="D24" s="896"/>
      <c r="E24" s="503"/>
      <c r="F24" s="900">
        <v>1</v>
      </c>
      <c r="H24" s="460"/>
    </row>
    <row r="25" spans="1:16" ht="11.25" customHeight="1">
      <c r="B25" s="898"/>
      <c r="C25" s="503"/>
      <c r="D25" s="896"/>
      <c r="E25" s="503"/>
      <c r="F25" s="900"/>
      <c r="H25" s="460"/>
    </row>
    <row r="26" spans="1:16">
      <c r="B26" s="898"/>
      <c r="C26" s="901" t="s">
        <v>410</v>
      </c>
      <c r="D26" s="896"/>
      <c r="E26" s="902"/>
      <c r="F26" s="900"/>
      <c r="H26" s="460"/>
    </row>
    <row r="27" spans="1:16">
      <c r="B27" s="898">
        <v>2</v>
      </c>
      <c r="C27" s="902" t="s">
        <v>411</v>
      </c>
      <c r="D27" s="896"/>
      <c r="E27" s="902"/>
      <c r="F27" s="903">
        <v>5.3530000000000001E-3</v>
      </c>
      <c r="H27" s="460"/>
    </row>
    <row r="28" spans="1:16" ht="11.25" customHeight="1">
      <c r="B28" s="898"/>
      <c r="C28" s="902"/>
      <c r="D28" s="896"/>
      <c r="E28" s="902"/>
      <c r="F28" s="903"/>
      <c r="H28" s="460"/>
    </row>
    <row r="29" spans="1:16">
      <c r="B29" s="898">
        <v>3</v>
      </c>
      <c r="C29" s="902" t="s">
        <v>412</v>
      </c>
      <c r="D29" s="896"/>
      <c r="E29" s="902"/>
      <c r="F29" s="903">
        <v>2E-3</v>
      </c>
      <c r="H29" s="460"/>
    </row>
    <row r="30" spans="1:16" ht="11.25" customHeight="1">
      <c r="B30" s="898"/>
      <c r="C30" s="902"/>
      <c r="D30" s="896"/>
      <c r="E30" s="902"/>
      <c r="F30" s="903"/>
      <c r="H30" s="460"/>
    </row>
    <row r="31" spans="1:16">
      <c r="B31" s="898">
        <v>4</v>
      </c>
      <c r="C31" s="902" t="s">
        <v>413</v>
      </c>
      <c r="D31" s="896"/>
      <c r="E31" s="902"/>
      <c r="F31" s="903">
        <v>3.8526999999999999E-2</v>
      </c>
      <c r="H31" s="460"/>
    </row>
    <row r="32" spans="1:16" ht="11.25" customHeight="1">
      <c r="B32" s="898"/>
      <c r="C32" s="902"/>
      <c r="D32" s="896"/>
      <c r="E32" s="902"/>
      <c r="F32" s="903"/>
      <c r="H32" s="460"/>
    </row>
    <row r="33" spans="1:8">
      <c r="B33" s="898">
        <v>5</v>
      </c>
      <c r="C33" s="902" t="s">
        <v>414</v>
      </c>
      <c r="D33" s="896"/>
      <c r="E33" s="902"/>
      <c r="F33" s="904">
        <f>SUM(F27:F31)</f>
        <v>4.5879999999999997E-2</v>
      </c>
      <c r="H33" s="460"/>
    </row>
    <row r="34" spans="1:8" ht="11.25" customHeight="1">
      <c r="B34" s="898"/>
      <c r="C34" s="902"/>
      <c r="D34" s="896"/>
      <c r="E34" s="902"/>
      <c r="F34" s="900"/>
      <c r="H34" s="460"/>
    </row>
    <row r="35" spans="1:8">
      <c r="B35" s="898">
        <v>6</v>
      </c>
      <c r="C35" s="902" t="s">
        <v>415</v>
      </c>
      <c r="D35" s="896"/>
      <c r="E35" s="902"/>
      <c r="F35" s="900">
        <f>F24-F33</f>
        <v>0.95411999999999997</v>
      </c>
      <c r="H35" s="460"/>
    </row>
    <row r="36" spans="1:8" ht="11.25" customHeight="1">
      <c r="B36" s="895"/>
      <c r="C36" s="902"/>
      <c r="D36" s="896"/>
      <c r="E36" s="902"/>
      <c r="F36" s="900"/>
      <c r="H36" s="460"/>
    </row>
    <row r="37" spans="1:8">
      <c r="B37" s="898">
        <v>7</v>
      </c>
      <c r="C37" s="902" t="s">
        <v>416</v>
      </c>
      <c r="D37" s="896"/>
      <c r="E37" s="905"/>
      <c r="F37" s="906">
        <f>ROUND(F35*0.35,6)</f>
        <v>0.33394200000000002</v>
      </c>
      <c r="H37" s="460"/>
    </row>
    <row r="38" spans="1:8" ht="11.25" customHeight="1">
      <c r="B38" s="895"/>
      <c r="C38" s="902"/>
      <c r="D38" s="896"/>
      <c r="E38" s="902"/>
      <c r="F38" s="900"/>
      <c r="H38" s="460"/>
    </row>
    <row r="39" spans="1:8" ht="15.75" thickBot="1">
      <c r="B39" s="898">
        <v>8</v>
      </c>
      <c r="C39" s="901" t="s">
        <v>776</v>
      </c>
      <c r="D39" s="896"/>
      <c r="E39" s="902"/>
      <c r="F39" s="907">
        <f>ROUND(F35-F37,5)</f>
        <v>0.62017999999999995</v>
      </c>
      <c r="H39" s="460"/>
    </row>
    <row r="40" spans="1:8" ht="11.25" customHeight="1" thickTop="1" thickBot="1">
      <c r="B40" s="908"/>
      <c r="C40" s="909"/>
      <c r="D40" s="909"/>
      <c r="E40" s="909"/>
      <c r="F40" s="910"/>
    </row>
    <row r="43" spans="1:8">
      <c r="A43" s="927" t="s">
        <v>117</v>
      </c>
      <c r="B43" s="927"/>
      <c r="C43" s="927"/>
      <c r="D43" s="927"/>
      <c r="E43" s="927"/>
      <c r="F43" s="927"/>
      <c r="G43" s="927"/>
    </row>
    <row r="44" spans="1:8">
      <c r="A44" s="937" t="s">
        <v>602</v>
      </c>
      <c r="B44" s="937"/>
      <c r="C44" s="937"/>
      <c r="D44" s="937"/>
      <c r="E44" s="937"/>
      <c r="F44" s="937"/>
      <c r="G44" s="937"/>
    </row>
    <row r="45" spans="1:8">
      <c r="A45" s="927" t="s">
        <v>271</v>
      </c>
      <c r="B45" s="927"/>
      <c r="C45" s="927"/>
      <c r="D45" s="927"/>
      <c r="E45" s="927"/>
      <c r="F45" s="927"/>
      <c r="G45" s="927"/>
    </row>
    <row r="46" spans="1:8" ht="15.75" thickBot="1">
      <c r="A46" s="927"/>
      <c r="B46" s="927"/>
      <c r="C46" s="927"/>
      <c r="D46" s="927"/>
      <c r="E46" s="927"/>
      <c r="F46" s="927"/>
      <c r="G46" s="927"/>
    </row>
    <row r="47" spans="1:8">
      <c r="A47" s="210" t="s">
        <v>469</v>
      </c>
      <c r="B47" s="211"/>
      <c r="C47" s="211"/>
      <c r="D47" s="211"/>
      <c r="E47" s="211"/>
      <c r="F47" s="211"/>
      <c r="G47" s="212"/>
    </row>
    <row r="48" spans="1:8">
      <c r="A48" s="213"/>
      <c r="B48" s="214"/>
      <c r="C48" s="214"/>
      <c r="D48" s="215"/>
      <c r="E48" s="216"/>
      <c r="F48" s="215"/>
      <c r="G48" s="217"/>
    </row>
    <row r="49" spans="1:16">
      <c r="A49" s="213"/>
      <c r="B49" s="218"/>
      <c r="C49" s="215"/>
      <c r="D49" s="215" t="s">
        <v>97</v>
      </c>
      <c r="E49" s="215"/>
      <c r="F49" s="215" t="s">
        <v>272</v>
      </c>
      <c r="G49" s="217"/>
    </row>
    <row r="50" spans="1:16">
      <c r="A50" s="213"/>
      <c r="B50" s="219" t="s">
        <v>273</v>
      </c>
      <c r="C50" s="215"/>
      <c r="D50" s="219" t="s">
        <v>274</v>
      </c>
      <c r="E50" s="219" t="s">
        <v>275</v>
      </c>
      <c r="F50" s="219" t="s">
        <v>275</v>
      </c>
      <c r="G50" s="217"/>
    </row>
    <row r="51" spans="1:16">
      <c r="A51" s="213"/>
      <c r="B51" s="214"/>
      <c r="C51" s="214"/>
      <c r="D51" s="214"/>
      <c r="E51" s="216"/>
      <c r="F51" s="214"/>
      <c r="G51" s="220"/>
    </row>
    <row r="52" spans="1:16">
      <c r="A52" s="213"/>
      <c r="B52" s="218" t="s">
        <v>276</v>
      </c>
      <c r="C52" s="221"/>
      <c r="D52" s="222">
        <f>100%-D54</f>
        <v>0.51069999999999993</v>
      </c>
      <c r="E52" s="223">
        <v>5.3800000000000001E-2</v>
      </c>
      <c r="F52" s="226">
        <f>ROUND(D52*E52,5)</f>
        <v>2.7480000000000001E-2</v>
      </c>
      <c r="G52" s="235"/>
    </row>
    <row r="53" spans="1:16">
      <c r="A53" s="213"/>
      <c r="B53" s="218"/>
      <c r="C53" s="224"/>
      <c r="D53" s="222"/>
      <c r="E53" s="223"/>
      <c r="F53" s="222"/>
      <c r="G53" s="225"/>
    </row>
    <row r="54" spans="1:16">
      <c r="A54" s="213"/>
      <c r="B54" s="218" t="s">
        <v>91</v>
      </c>
      <c r="C54" s="224"/>
      <c r="D54" s="561">
        <v>0.48930000000000001</v>
      </c>
      <c r="E54" s="223">
        <v>9.8000000000000004E-2</v>
      </c>
      <c r="F54" s="222">
        <f>ROUND(D54*E54,4)</f>
        <v>4.8000000000000001E-2</v>
      </c>
      <c r="G54" s="220"/>
    </row>
    <row r="55" spans="1:16">
      <c r="A55" s="213"/>
      <c r="B55" s="218"/>
      <c r="C55" s="224"/>
      <c r="D55" s="226"/>
      <c r="E55" s="227"/>
      <c r="F55" s="222"/>
      <c r="G55" s="217"/>
    </row>
    <row r="56" spans="1:16" ht="15.75" thickBot="1">
      <c r="A56" s="213"/>
      <c r="B56" s="218" t="s">
        <v>8</v>
      </c>
      <c r="C56" s="221"/>
      <c r="D56" s="228">
        <f>SUM(D52:D54)</f>
        <v>1</v>
      </c>
      <c r="E56" s="227"/>
      <c r="F56" s="228">
        <f>SUM(F52:F54)</f>
        <v>7.5480000000000005E-2</v>
      </c>
      <c r="G56" s="217"/>
    </row>
    <row r="57" spans="1:16" ht="16.5" thickTop="1" thickBot="1">
      <c r="A57" s="229"/>
      <c r="B57" s="230"/>
      <c r="C57" s="231"/>
      <c r="D57" s="232"/>
      <c r="E57" s="233"/>
      <c r="F57" s="232"/>
      <c r="G57" s="234"/>
      <c r="H57" s="455"/>
    </row>
    <row r="58" spans="1:16">
      <c r="A58" s="532"/>
      <c r="B58" s="532"/>
      <c r="C58" s="532"/>
      <c r="D58" s="532"/>
      <c r="E58" s="532"/>
      <c r="F58" s="532"/>
    </row>
    <row r="59" spans="1:16">
      <c r="A59" s="927"/>
      <c r="B59" s="927"/>
      <c r="C59" s="927"/>
      <c r="D59" s="927"/>
      <c r="E59" s="927"/>
      <c r="F59" s="927"/>
      <c r="G59" s="927"/>
    </row>
    <row r="63" spans="1:16">
      <c r="P63" s="185" t="s">
        <v>682</v>
      </c>
    </row>
    <row r="109" spans="16:16">
      <c r="P109" s="760" t="s">
        <v>683</v>
      </c>
    </row>
    <row r="119" spans="16:16">
      <c r="P119" s="760" t="s">
        <v>683</v>
      </c>
    </row>
    <row r="165" spans="16:16">
      <c r="P165" s="760" t="s">
        <v>683</v>
      </c>
    </row>
    <row r="179" spans="16:16">
      <c r="P179" s="760" t="s">
        <v>683</v>
      </c>
    </row>
    <row r="199" spans="9:16">
      <c r="I199" s="760"/>
      <c r="J199" s="760"/>
      <c r="K199" s="760"/>
      <c r="L199" s="760"/>
      <c r="M199" s="760"/>
      <c r="N199" s="760"/>
      <c r="O199" s="760"/>
      <c r="P199" s="760" t="s">
        <v>683</v>
      </c>
    </row>
  </sheetData>
  <mergeCells count="12">
    <mergeCell ref="A59:G59"/>
    <mergeCell ref="A45:G45"/>
    <mergeCell ref="A46:G46"/>
    <mergeCell ref="A2:G2"/>
    <mergeCell ref="A3:G3"/>
    <mergeCell ref="A4:G4"/>
    <mergeCell ref="A5:G5"/>
    <mergeCell ref="A43:G43"/>
    <mergeCell ref="A44:G44"/>
    <mergeCell ref="B18:F18"/>
    <mergeCell ref="B19:F19"/>
    <mergeCell ref="B20:F20"/>
  </mergeCells>
  <phoneticPr fontId="59" type="noConversion"/>
  <printOptions horizontalCentered="1"/>
  <pageMargins left="0.95" right="0.95" top="1" bottom="1" header="0.3" footer="0.3"/>
  <pageSetup scale="120" orientation="portrait" r:id="rId1"/>
  <headerFooter scaleWithDoc="0">
    <oddFooter>&amp;RPage &amp;P of &amp;N</oddFooter>
  </headerFooter>
  <rowBreaks count="1" manualBreakCount="1">
    <brk id="41" max="16383" man="1"/>
  </rowBreaks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5"/>
  <sheetViews>
    <sheetView topLeftCell="A10" zoomScaleNormal="100" workbookViewId="0">
      <selection activeCell="H16" sqref="H16"/>
    </sheetView>
  </sheetViews>
  <sheetFormatPr defaultColWidth="9.140625" defaultRowHeight="12.75"/>
  <cols>
    <col min="1" max="1" width="22.140625" style="558" customWidth="1"/>
    <col min="2" max="2" width="10.42578125" style="558" customWidth="1"/>
    <col min="3" max="3" width="10.28515625" style="558" customWidth="1"/>
    <col min="4" max="4" width="12.7109375" style="558" customWidth="1"/>
    <col min="5" max="5" width="9.28515625" style="558" customWidth="1"/>
    <col min="6" max="6" width="12.140625" style="558" customWidth="1"/>
    <col min="7" max="7" width="3.7109375" style="558" customWidth="1"/>
    <col min="8" max="8" width="53.85546875" style="558" customWidth="1"/>
    <col min="9" max="16384" width="9.140625" style="558"/>
  </cols>
  <sheetData>
    <row r="1" spans="1:8">
      <c r="A1" s="55" t="s">
        <v>6</v>
      </c>
      <c r="B1" s="55"/>
      <c r="C1" s="55"/>
      <c r="D1" s="55"/>
      <c r="E1" s="55"/>
      <c r="F1" s="55"/>
      <c r="G1" s="55"/>
      <c r="H1" s="55"/>
    </row>
    <row r="2" spans="1:8">
      <c r="A2" s="55" t="s">
        <v>126</v>
      </c>
      <c r="B2" s="55"/>
      <c r="C2" s="55"/>
      <c r="D2" s="55"/>
      <c r="E2" s="55"/>
      <c r="F2" s="55"/>
      <c r="G2" s="55"/>
      <c r="H2" s="55"/>
    </row>
    <row r="3" spans="1:8">
      <c r="A3" s="56" t="s">
        <v>563</v>
      </c>
      <c r="B3" s="55"/>
      <c r="C3" s="55"/>
      <c r="D3" s="55"/>
      <c r="E3" s="55"/>
      <c r="F3" s="55"/>
      <c r="G3" s="55"/>
      <c r="H3" s="55"/>
    </row>
    <row r="4" spans="1:8">
      <c r="G4" s="72"/>
    </row>
    <row r="5" spans="1:8">
      <c r="D5" s="863" t="s">
        <v>744</v>
      </c>
      <c r="E5" s="853" t="s">
        <v>745</v>
      </c>
      <c r="G5" s="72"/>
      <c r="H5" s="690"/>
    </row>
    <row r="6" spans="1:8">
      <c r="D6" s="863" t="s">
        <v>743</v>
      </c>
      <c r="E6" s="854" t="s">
        <v>746</v>
      </c>
      <c r="F6" s="560"/>
      <c r="G6" s="72"/>
    </row>
    <row r="7" spans="1:8">
      <c r="D7" s="839" t="s">
        <v>741</v>
      </c>
      <c r="E7" s="854" t="s">
        <v>748</v>
      </c>
      <c r="F7" s="839" t="s">
        <v>741</v>
      </c>
      <c r="G7" s="72"/>
    </row>
    <row r="8" spans="1:8">
      <c r="D8" s="58" t="s">
        <v>749</v>
      </c>
      <c r="E8" s="855" t="s">
        <v>747</v>
      </c>
      <c r="F8" s="58" t="s">
        <v>750</v>
      </c>
      <c r="G8" s="73"/>
    </row>
    <row r="9" spans="1:8">
      <c r="A9" s="558" t="s">
        <v>9</v>
      </c>
      <c r="D9" s="18"/>
      <c r="E9" s="856"/>
      <c r="F9" s="737">
        <v>0.64710000000000001</v>
      </c>
      <c r="G9" s="74"/>
    </row>
    <row r="10" spans="1:8">
      <c r="D10" s="18"/>
      <c r="E10" s="857"/>
      <c r="G10" s="72"/>
    </row>
    <row r="11" spans="1:8">
      <c r="A11" s="558" t="s">
        <v>10</v>
      </c>
      <c r="D11" s="850">
        <v>84650</v>
      </c>
      <c r="E11" s="864">
        <f>66586+12478</f>
        <v>79064</v>
      </c>
      <c r="F11" s="59">
        <f>F$9*D11</f>
        <v>54777.014999999999</v>
      </c>
      <c r="G11" s="65"/>
      <c r="H11" s="721" t="s">
        <v>751</v>
      </c>
    </row>
    <row r="12" spans="1:8">
      <c r="A12" s="558" t="s">
        <v>11</v>
      </c>
      <c r="D12" s="341">
        <v>466</v>
      </c>
      <c r="E12" s="859"/>
      <c r="F12" s="60">
        <f>F$9*D12</f>
        <v>301.54860000000002</v>
      </c>
      <c r="G12" s="62"/>
      <c r="H12" s="59"/>
    </row>
    <row r="13" spans="1:8">
      <c r="A13" s="558" t="s">
        <v>12</v>
      </c>
      <c r="D13" s="341">
        <v>0</v>
      </c>
      <c r="E13" s="859"/>
      <c r="F13" s="60">
        <f>F$9*D13</f>
        <v>0</v>
      </c>
      <c r="G13" s="62"/>
      <c r="H13" s="59"/>
    </row>
    <row r="14" spans="1:8">
      <c r="A14" s="623" t="s">
        <v>402</v>
      </c>
      <c r="B14" s="623"/>
      <c r="C14" s="623" t="s">
        <v>98</v>
      </c>
      <c r="D14" s="341">
        <f>15801-D15-D16</f>
        <v>15650</v>
      </c>
      <c r="E14" s="859"/>
      <c r="F14" s="60">
        <f>F$9*D14</f>
        <v>10127.115</v>
      </c>
      <c r="G14" s="62"/>
      <c r="H14" s="59"/>
    </row>
    <row r="15" spans="1:8" s="623" customFormat="1">
      <c r="A15" s="623" t="s">
        <v>402</v>
      </c>
      <c r="C15" s="623" t="s">
        <v>502</v>
      </c>
      <c r="D15" s="341">
        <v>100</v>
      </c>
      <c r="E15" s="859"/>
      <c r="F15" s="62">
        <f>D15</f>
        <v>100</v>
      </c>
      <c r="G15" s="62"/>
      <c r="H15" s="59"/>
    </row>
    <row r="16" spans="1:8" s="623" customFormat="1">
      <c r="A16" s="623" t="s">
        <v>402</v>
      </c>
      <c r="C16" s="623" t="s">
        <v>503</v>
      </c>
      <c r="D16" s="341">
        <v>51</v>
      </c>
      <c r="E16" s="859"/>
      <c r="F16" s="62">
        <v>0</v>
      </c>
      <c r="G16" s="62"/>
      <c r="H16" s="59"/>
    </row>
    <row r="17" spans="1:8">
      <c r="A17" s="558" t="s">
        <v>13</v>
      </c>
      <c r="D17" s="341">
        <v>0</v>
      </c>
      <c r="E17" s="859"/>
      <c r="F17" s="60">
        <f>F$9*D17</f>
        <v>0</v>
      </c>
      <c r="G17" s="62"/>
      <c r="H17" s="59"/>
    </row>
    <row r="18" spans="1:8">
      <c r="A18" s="558" t="s">
        <v>128</v>
      </c>
      <c r="D18" s="342">
        <v>0</v>
      </c>
      <c r="E18" s="860"/>
      <c r="F18" s="61">
        <f>D18</f>
        <v>0</v>
      </c>
      <c r="G18" s="62"/>
      <c r="H18" s="59"/>
    </row>
    <row r="19" spans="1:8">
      <c r="A19" s="558" t="s">
        <v>14</v>
      </c>
      <c r="D19" s="341">
        <f>SUM(D11:D18)</f>
        <v>100917</v>
      </c>
      <c r="E19" s="859"/>
      <c r="F19" s="60">
        <f>SUM(F11:F18)</f>
        <v>65305.678599999999</v>
      </c>
      <c r="G19" s="62"/>
      <c r="H19" s="59"/>
    </row>
    <row r="20" spans="1:8">
      <c r="D20" s="341"/>
      <c r="E20" s="859"/>
      <c r="F20" s="60"/>
      <c r="G20" s="62"/>
      <c r="H20" s="59"/>
    </row>
    <row r="21" spans="1:8">
      <c r="D21" s="341"/>
      <c r="E21" s="859"/>
      <c r="F21" s="60"/>
      <c r="G21" s="62"/>
      <c r="H21" s="59"/>
    </row>
    <row r="22" spans="1:8">
      <c r="A22" s="558" t="s">
        <v>15</v>
      </c>
      <c r="D22" s="662">
        <v>29123</v>
      </c>
      <c r="E22" s="865">
        <v>29696</v>
      </c>
      <c r="F22" s="60">
        <f>F$9*D22+1</f>
        <v>18846.493300000002</v>
      </c>
      <c r="G22" s="62"/>
      <c r="H22" s="721" t="s">
        <v>752</v>
      </c>
    </row>
    <row r="23" spans="1:8">
      <c r="A23" s="558" t="s">
        <v>16</v>
      </c>
      <c r="D23" s="341">
        <v>0</v>
      </c>
      <c r="E23" s="859"/>
      <c r="F23" s="60">
        <f t="shared" ref="F23:F30" si="0">F$9*D23</f>
        <v>0</v>
      </c>
      <c r="G23" s="62"/>
      <c r="H23" s="59"/>
    </row>
    <row r="24" spans="1:8">
      <c r="A24" s="558" t="s">
        <v>17</v>
      </c>
      <c r="D24" s="662">
        <v>77293</v>
      </c>
      <c r="E24" s="865">
        <v>92175</v>
      </c>
      <c r="F24" s="60">
        <f t="shared" si="0"/>
        <v>50016.300300000003</v>
      </c>
      <c r="G24" s="62"/>
      <c r="H24" s="721" t="s">
        <v>752</v>
      </c>
    </row>
    <row r="25" spans="1:8">
      <c r="A25" s="558" t="s">
        <v>18</v>
      </c>
      <c r="D25" s="341">
        <v>1001</v>
      </c>
      <c r="E25" s="859"/>
      <c r="F25" s="60">
        <f t="shared" si="0"/>
        <v>647.74710000000005</v>
      </c>
      <c r="G25" s="62"/>
      <c r="H25" s="59"/>
    </row>
    <row r="26" spans="1:8">
      <c r="A26" s="558" t="s">
        <v>19</v>
      </c>
      <c r="D26" s="662">
        <v>122174</v>
      </c>
      <c r="E26" s="865">
        <f>123406-3612</f>
        <v>119794</v>
      </c>
      <c r="F26" s="60">
        <f>F$9*D26-1</f>
        <v>79057.795400000003</v>
      </c>
      <c r="G26" s="62"/>
      <c r="H26" s="721" t="s">
        <v>751</v>
      </c>
    </row>
    <row r="27" spans="1:8">
      <c r="A27" s="558" t="s">
        <v>20</v>
      </c>
      <c r="D27" s="341">
        <v>0</v>
      </c>
      <c r="E27" s="859"/>
      <c r="F27" s="341">
        <v>0</v>
      </c>
      <c r="G27" s="62"/>
    </row>
    <row r="28" spans="1:8">
      <c r="A28" s="558" t="s">
        <v>21</v>
      </c>
      <c r="D28" s="341">
        <v>0</v>
      </c>
      <c r="E28" s="859"/>
      <c r="F28" s="60">
        <f t="shared" si="0"/>
        <v>0</v>
      </c>
      <c r="G28" s="62"/>
      <c r="H28" s="59"/>
    </row>
    <row r="29" spans="1:8">
      <c r="A29" s="558" t="s">
        <v>22</v>
      </c>
      <c r="D29" s="341">
        <v>0</v>
      </c>
      <c r="E29" s="859"/>
      <c r="F29" s="60">
        <f t="shared" si="0"/>
        <v>0</v>
      </c>
      <c r="G29" s="62"/>
      <c r="H29" s="59"/>
    </row>
    <row r="30" spans="1:8">
      <c r="A30" s="558" t="s">
        <v>23</v>
      </c>
      <c r="D30" s="341">
        <v>690</v>
      </c>
      <c r="E30" s="859"/>
      <c r="F30" s="60">
        <f t="shared" si="0"/>
        <v>446.49900000000002</v>
      </c>
      <c r="G30" s="62"/>
      <c r="H30" s="59"/>
    </row>
    <row r="31" spans="1:8">
      <c r="A31" s="733" t="s">
        <v>677</v>
      </c>
      <c r="D31" s="341">
        <v>0</v>
      </c>
      <c r="E31" s="859"/>
      <c r="F31" s="739">
        <v>-1528</v>
      </c>
      <c r="G31" s="62"/>
      <c r="H31" s="866" t="s">
        <v>664</v>
      </c>
    </row>
    <row r="32" spans="1:8">
      <c r="A32" s="558" t="s">
        <v>24</v>
      </c>
      <c r="D32" s="341">
        <v>16809</v>
      </c>
      <c r="E32" s="859"/>
      <c r="F32" s="60">
        <f>F$9*D32</f>
        <v>10877.1039</v>
      </c>
      <c r="G32" s="62"/>
      <c r="H32" s="714"/>
    </row>
    <row r="33" spans="1:8" s="630" customFormat="1" ht="12.75" customHeight="1">
      <c r="A33" s="738" t="s">
        <v>570</v>
      </c>
      <c r="B33" s="738"/>
      <c r="C33" s="738"/>
      <c r="D33" s="739">
        <v>0</v>
      </c>
      <c r="E33" s="861"/>
      <c r="F33" s="739">
        <f>F$9*D33</f>
        <v>0</v>
      </c>
      <c r="G33" s="740"/>
      <c r="H33" s="866" t="s">
        <v>663</v>
      </c>
    </row>
    <row r="34" spans="1:8" s="630" customFormat="1" ht="12.75" customHeight="1">
      <c r="A34" s="738" t="s">
        <v>571</v>
      </c>
      <c r="B34" s="738"/>
      <c r="C34" s="738"/>
      <c r="D34" s="739">
        <v>0</v>
      </c>
      <c r="E34" s="862"/>
      <c r="F34" s="739">
        <f>F$9*D34</f>
        <v>0</v>
      </c>
      <c r="G34" s="740"/>
      <c r="H34" s="866" t="s">
        <v>663</v>
      </c>
    </row>
    <row r="35" spans="1:8">
      <c r="A35" s="558" t="s">
        <v>25</v>
      </c>
      <c r="D35" s="343">
        <f>SUM(D22:D34)</f>
        <v>247090</v>
      </c>
      <c r="E35" s="860"/>
      <c r="F35" s="63">
        <f>SUM(F22:F34)</f>
        <v>158363.93900000001</v>
      </c>
      <c r="G35" s="62"/>
      <c r="H35" s="714"/>
    </row>
    <row r="36" spans="1:8">
      <c r="D36" s="18"/>
      <c r="E36" s="857"/>
      <c r="G36" s="72"/>
      <c r="H36" s="714"/>
    </row>
    <row r="37" spans="1:8">
      <c r="A37" s="558" t="s">
        <v>26</v>
      </c>
      <c r="D37" s="341">
        <f>D19-D35</f>
        <v>-146173</v>
      </c>
      <c r="E37" s="859"/>
      <c r="F37" s="60">
        <f>F19-F35</f>
        <v>-93058.260400000014</v>
      </c>
      <c r="G37" s="62"/>
      <c r="H37" s="714"/>
    </row>
    <row r="38" spans="1:8">
      <c r="D38" s="18"/>
      <c r="E38" s="852"/>
      <c r="F38" s="60"/>
      <c r="G38" s="60"/>
      <c r="H38" s="75"/>
    </row>
    <row r="39" spans="1:8">
      <c r="A39" s="558" t="s">
        <v>27</v>
      </c>
      <c r="C39" s="64">
        <v>0.35</v>
      </c>
      <c r="D39" s="18"/>
      <c r="E39" s="851"/>
      <c r="F39" s="61">
        <f>C39*F37</f>
        <v>-32570.391140000003</v>
      </c>
      <c r="G39" s="59"/>
      <c r="H39" s="75"/>
    </row>
    <row r="40" spans="1:8">
      <c r="D40" s="18"/>
      <c r="E40" s="851"/>
      <c r="F40" s="59"/>
      <c r="G40" s="59"/>
      <c r="H40" s="75"/>
    </row>
    <row r="41" spans="1:8">
      <c r="A41" s="558" t="s">
        <v>28</v>
      </c>
      <c r="D41" s="18"/>
      <c r="E41" s="852"/>
      <c r="F41" s="59">
        <f>F37-F39</f>
        <v>-60487.869260000007</v>
      </c>
      <c r="G41" s="60"/>
      <c r="H41" s="75"/>
    </row>
    <row r="42" spans="1:8">
      <c r="D42" s="18"/>
      <c r="E42" s="60"/>
      <c r="F42" s="60"/>
      <c r="G42" s="60"/>
      <c r="H42" s="75"/>
    </row>
    <row r="43" spans="1:8">
      <c r="A43" s="75"/>
      <c r="D43" s="18"/>
      <c r="H43" s="75"/>
    </row>
    <row r="44" spans="1:8">
      <c r="A44" s="18" t="s">
        <v>570</v>
      </c>
      <c r="B44" s="18"/>
      <c r="C44" s="18"/>
      <c r="D44" s="341">
        <v>9335</v>
      </c>
      <c r="E44" s="450"/>
      <c r="F44" s="341">
        <f>F$9*D44</f>
        <v>6040.6785</v>
      </c>
      <c r="G44" s="450"/>
      <c r="H44" s="866" t="s">
        <v>663</v>
      </c>
    </row>
    <row r="45" spans="1:8">
      <c r="A45" s="18" t="s">
        <v>571</v>
      </c>
      <c r="B45" s="18"/>
      <c r="C45" s="18"/>
      <c r="D45" s="341">
        <v>15005</v>
      </c>
      <c r="E45" s="450"/>
      <c r="F45" s="341">
        <f>F$9*D45</f>
        <v>9709.7355000000007</v>
      </c>
      <c r="G45" s="450"/>
      <c r="H45" s="866" t="s">
        <v>663</v>
      </c>
    </row>
  </sheetData>
  <pageMargins left="1.05" right="0.34" top="0.75" bottom="0.77" header="0.5" footer="0.52"/>
  <pageSetup scale="68" orientation="portrait" r:id="rId1"/>
  <headerFooter alignWithMargins="0">
    <oddFooter>&amp;C&amp;F / &amp;A</oddFooter>
  </headerFooter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S111"/>
  <sheetViews>
    <sheetView topLeftCell="D1" workbookViewId="0">
      <selection activeCell="T1" sqref="T1"/>
    </sheetView>
  </sheetViews>
  <sheetFormatPr defaultRowHeight="12.75"/>
  <cols>
    <col min="1" max="1" width="4.85546875" customWidth="1"/>
    <col min="2" max="2" width="4.7109375" customWidth="1"/>
    <col min="3" max="3" width="23" customWidth="1"/>
    <col min="4" max="4" width="4.5703125" customWidth="1"/>
    <col min="5" max="5" width="9.42578125" customWidth="1"/>
    <col min="6" max="14" width="9.7109375" bestFit="1" customWidth="1"/>
    <col min="15" max="15" width="10.7109375" bestFit="1" customWidth="1"/>
    <col min="16" max="16" width="10.5703125" customWidth="1"/>
    <col min="17" max="17" width="9.85546875" bestFit="1" customWidth="1"/>
    <col min="18" max="18" width="9.140625" customWidth="1"/>
    <col min="19" max="19" width="9.140625" style="604" customWidth="1"/>
  </cols>
  <sheetData>
    <row r="2" spans="1:19">
      <c r="A2" s="156" t="s">
        <v>94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</row>
    <row r="3" spans="1:19">
      <c r="A3" s="156" t="s">
        <v>134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9">
      <c r="A4" s="156" t="s">
        <v>489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</row>
    <row r="5" spans="1:19">
      <c r="A5" s="156" t="s">
        <v>93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</row>
    <row r="6" spans="1:19">
      <c r="A6" s="156"/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S6" s="708" t="s">
        <v>662</v>
      </c>
    </row>
    <row r="7" spans="1:19">
      <c r="A7" s="156"/>
      <c r="B7" s="156"/>
      <c r="C7" s="156"/>
      <c r="D7" s="156"/>
      <c r="E7" s="165">
        <v>2000</v>
      </c>
      <c r="F7" s="165">
        <v>2001</v>
      </c>
      <c r="G7" s="165">
        <v>2002</v>
      </c>
      <c r="H7" s="165">
        <v>2003</v>
      </c>
      <c r="I7" s="165">
        <v>2004</v>
      </c>
      <c r="J7" s="165">
        <v>2005</v>
      </c>
      <c r="K7" s="165">
        <v>2006</v>
      </c>
      <c r="L7" s="165">
        <v>2007</v>
      </c>
      <c r="M7" s="165">
        <v>2008</v>
      </c>
      <c r="N7" s="165">
        <v>2009</v>
      </c>
      <c r="O7" s="165">
        <v>2010</v>
      </c>
      <c r="P7" s="165">
        <v>2011</v>
      </c>
      <c r="Q7" s="165">
        <v>2012</v>
      </c>
      <c r="R7" s="165">
        <v>2013</v>
      </c>
      <c r="S7" s="551">
        <v>2014</v>
      </c>
    </row>
    <row r="10" spans="1:19">
      <c r="S10" s="236"/>
    </row>
    <row r="11" spans="1:19">
      <c r="A11" s="12" t="s">
        <v>299</v>
      </c>
      <c r="E11" s="345">
        <f>'CBR Hist'!F24</f>
        <v>-3114</v>
      </c>
      <c r="F11" s="345">
        <f>'CBR Hist'!G24</f>
        <v>9152</v>
      </c>
      <c r="G11" s="345">
        <f>'CBR Hist'!H24</f>
        <v>13808</v>
      </c>
      <c r="H11" s="345">
        <f>'CBR Hist'!I24</f>
        <v>14915</v>
      </c>
      <c r="I11" s="345">
        <f>'CBR Hist'!J24</f>
        <v>22879</v>
      </c>
      <c r="J11" s="345">
        <f>'CBR Hist'!K24</f>
        <v>13812</v>
      </c>
      <c r="K11" s="345">
        <f>'CBR Hist'!L24</f>
        <v>25745</v>
      </c>
      <c r="L11" s="345">
        <f>'CBR Hist'!M24</f>
        <v>21795</v>
      </c>
      <c r="M11" s="345">
        <f>'CBR Hist'!N24</f>
        <v>22000</v>
      </c>
      <c r="N11" s="345">
        <f>'CBR Hist'!O24</f>
        <v>22266</v>
      </c>
      <c r="O11" s="345">
        <f>'CBR Hist'!P24</f>
        <v>22129</v>
      </c>
      <c r="P11" s="345">
        <f>'CBR Hist'!Q24</f>
        <v>25158</v>
      </c>
      <c r="Q11" s="345">
        <f>'CBR Hist'!R24+Q19</f>
        <v>25680</v>
      </c>
      <c r="R11" s="345">
        <f>'CBR Hist'!S24</f>
        <v>23284</v>
      </c>
      <c r="S11" s="693">
        <f>'CBR Hist'!T24</f>
        <v>23715</v>
      </c>
    </row>
    <row r="12" spans="1:19">
      <c r="A12" s="12" t="s">
        <v>300</v>
      </c>
      <c r="P12" s="345">
        <f>'CBR Hist'!Q25</f>
        <v>403</v>
      </c>
      <c r="Q12" s="345">
        <f>'CBR Hist'!R25-Q19</f>
        <v>-7744</v>
      </c>
      <c r="R12" s="345">
        <f>'CBR Hist'!S25</f>
        <v>8629</v>
      </c>
      <c r="S12" s="693">
        <f>'CBR Hist'!T25</f>
        <v>8101</v>
      </c>
    </row>
    <row r="13" spans="1:19">
      <c r="A13" s="12"/>
      <c r="S13" s="236"/>
    </row>
    <row r="14" spans="1:19">
      <c r="A14" s="12"/>
      <c r="B14" s="12"/>
      <c r="E14" s="347"/>
      <c r="F14" s="347"/>
      <c r="G14" s="347"/>
      <c r="H14" s="347"/>
      <c r="I14" s="347"/>
      <c r="J14" s="347"/>
      <c r="K14" s="347"/>
      <c r="L14" s="347"/>
      <c r="M14" s="347"/>
      <c r="N14" s="347"/>
      <c r="O14" s="347"/>
      <c r="P14" s="347"/>
      <c r="Q14" s="347"/>
      <c r="S14" s="236"/>
    </row>
    <row r="15" spans="1:19">
      <c r="A15" s="12"/>
      <c r="B15" s="12"/>
      <c r="E15" s="347"/>
      <c r="F15" s="347"/>
      <c r="G15" s="347"/>
      <c r="H15" s="347"/>
      <c r="I15" s="347"/>
      <c r="J15" s="347"/>
      <c r="K15" s="347"/>
      <c r="L15" s="347"/>
      <c r="M15" s="347"/>
      <c r="N15" s="347"/>
      <c r="O15" s="347"/>
      <c r="P15" s="347"/>
      <c r="Q15" s="347"/>
      <c r="S15" s="236"/>
    </row>
    <row r="16" spans="1:19">
      <c r="A16" s="12" t="s">
        <v>301</v>
      </c>
      <c r="E16" s="346">
        <f>10346-213</f>
        <v>10133</v>
      </c>
      <c r="F16" s="346">
        <f>10784-205</f>
        <v>10579</v>
      </c>
      <c r="G16" s="346">
        <f>12359+3035-228</f>
        <v>15166</v>
      </c>
      <c r="H16" s="346">
        <f>14152+1470-219</f>
        <v>15403</v>
      </c>
      <c r="I16" s="346">
        <f>15379+1705-113-221</f>
        <v>16750</v>
      </c>
      <c r="J16" s="346">
        <f>17205-154-219</f>
        <v>16832</v>
      </c>
      <c r="K16" s="346">
        <f>18582-216</f>
        <v>18366</v>
      </c>
      <c r="L16" s="346">
        <f>18487-225</f>
        <v>18262</v>
      </c>
      <c r="M16" s="346">
        <f>17022-195</f>
        <v>16827</v>
      </c>
      <c r="N16" s="346">
        <f>17556-193</f>
        <v>17363</v>
      </c>
      <c r="O16" s="346">
        <f>18188-191</f>
        <v>17997</v>
      </c>
      <c r="P16" s="346">
        <f>18013-191</f>
        <v>17822</v>
      </c>
      <c r="Q16" s="346">
        <f>18237</f>
        <v>18237</v>
      </c>
      <c r="R16" s="346">
        <v>16250</v>
      </c>
      <c r="S16" s="238">
        <v>16426</v>
      </c>
    </row>
    <row r="17" spans="1:19">
      <c r="A17" s="12" t="s">
        <v>302</v>
      </c>
      <c r="E17" s="346">
        <f>4492</f>
        <v>4492</v>
      </c>
      <c r="F17" s="346">
        <f>4393</f>
        <v>4393</v>
      </c>
      <c r="G17" s="346">
        <f>4780</f>
        <v>4780</v>
      </c>
      <c r="H17" s="346">
        <f>4891</f>
        <v>4891</v>
      </c>
      <c r="I17" s="346">
        <f>5220</f>
        <v>5220</v>
      </c>
      <c r="J17" s="346">
        <v>5531</v>
      </c>
      <c r="K17" s="346">
        <f>5957</f>
        <v>5957</v>
      </c>
      <c r="L17" s="346">
        <f>6352+1</f>
        <v>6353</v>
      </c>
      <c r="M17" s="346">
        <v>5969</v>
      </c>
      <c r="N17" s="346">
        <v>6116</v>
      </c>
      <c r="O17" s="346">
        <v>6354</v>
      </c>
      <c r="P17" s="346">
        <v>6681</v>
      </c>
      <c r="Q17" s="346">
        <v>6976</v>
      </c>
      <c r="R17" s="346">
        <v>6529</v>
      </c>
      <c r="S17" s="238">
        <v>6725</v>
      </c>
    </row>
    <row r="18" spans="1:19">
      <c r="A18" s="12" t="s">
        <v>303</v>
      </c>
      <c r="E18" s="346">
        <f>9+216</f>
        <v>225</v>
      </c>
      <c r="F18" s="346">
        <f>9+221</f>
        <v>230</v>
      </c>
      <c r="G18" s="346">
        <f>1+210</f>
        <v>211</v>
      </c>
      <c r="H18" s="346">
        <f>17+212</f>
        <v>229</v>
      </c>
      <c r="I18" s="346">
        <f>9+212+8+11+102</f>
        <v>342</v>
      </c>
      <c r="J18" s="346">
        <f>10+221+31+4</f>
        <v>266</v>
      </c>
      <c r="K18" s="346">
        <f>32+222</f>
        <v>254</v>
      </c>
      <c r="L18" s="346">
        <f>44+218</f>
        <v>262</v>
      </c>
      <c r="M18" s="346">
        <f>62+218</f>
        <v>280</v>
      </c>
      <c r="N18" s="346">
        <f>63+427</f>
        <v>490</v>
      </c>
      <c r="O18" s="346">
        <f>595+62</f>
        <v>657</v>
      </c>
      <c r="P18" s="346">
        <f>655</f>
        <v>655</v>
      </c>
      <c r="Q18" s="346">
        <v>659</v>
      </c>
      <c r="R18" s="346">
        <v>652</v>
      </c>
      <c r="S18" s="238">
        <v>710</v>
      </c>
    </row>
    <row r="19" spans="1:19">
      <c r="A19" s="12"/>
      <c r="E19" s="348" t="s">
        <v>325</v>
      </c>
      <c r="F19" s="346"/>
      <c r="G19" s="346"/>
      <c r="H19" s="346"/>
      <c r="I19" s="346"/>
      <c r="J19" s="346"/>
      <c r="K19" s="346"/>
      <c r="L19" s="346"/>
      <c r="M19" s="346"/>
      <c r="N19" s="346"/>
      <c r="O19" s="346"/>
      <c r="P19" s="346"/>
      <c r="Q19" s="346">
        <v>-192</v>
      </c>
      <c r="R19" s="346">
        <v>-147</v>
      </c>
      <c r="S19" s="238">
        <v>-146</v>
      </c>
    </row>
    <row r="20" spans="1:19">
      <c r="A20" s="12"/>
      <c r="B20" s="12" t="s">
        <v>323</v>
      </c>
      <c r="E20" s="349">
        <f>SUM(E16:E18)</f>
        <v>14850</v>
      </c>
      <c r="F20" s="349">
        <f t="shared" ref="F20:P20" si="0">SUM(F16:F18)</f>
        <v>15202</v>
      </c>
      <c r="G20" s="349">
        <f t="shared" si="0"/>
        <v>20157</v>
      </c>
      <c r="H20" s="349">
        <f t="shared" si="0"/>
        <v>20523</v>
      </c>
      <c r="I20" s="349">
        <f t="shared" si="0"/>
        <v>22312</v>
      </c>
      <c r="J20" s="349">
        <f t="shared" si="0"/>
        <v>22629</v>
      </c>
      <c r="K20" s="349">
        <f t="shared" si="0"/>
        <v>24577</v>
      </c>
      <c r="L20" s="349">
        <f t="shared" si="0"/>
        <v>24877</v>
      </c>
      <c r="M20" s="349">
        <f t="shared" si="0"/>
        <v>23076</v>
      </c>
      <c r="N20" s="349">
        <f t="shared" si="0"/>
        <v>23969</v>
      </c>
      <c r="O20" s="349">
        <f t="shared" si="0"/>
        <v>25008</v>
      </c>
      <c r="P20" s="349">
        <f t="shared" si="0"/>
        <v>25158</v>
      </c>
      <c r="Q20" s="349">
        <f>SUM(Q16:Q19)</f>
        <v>25680</v>
      </c>
      <c r="R20" s="349">
        <f>SUM(R16:R19)</f>
        <v>23284</v>
      </c>
      <c r="S20" s="694">
        <f>SUM(S16:S19)</f>
        <v>23715</v>
      </c>
    </row>
    <row r="21" spans="1:19">
      <c r="A21" s="12"/>
      <c r="E21" s="346"/>
      <c r="F21" s="346"/>
      <c r="G21" s="346"/>
      <c r="H21" s="346"/>
      <c r="I21" s="346"/>
      <c r="J21" s="346"/>
      <c r="K21" s="346"/>
      <c r="L21" s="346"/>
      <c r="M21" s="346"/>
      <c r="N21" s="346"/>
      <c r="O21" s="346"/>
      <c r="P21" s="346"/>
      <c r="Q21" s="346"/>
      <c r="S21" s="236"/>
    </row>
    <row r="22" spans="1:19">
      <c r="A22" s="12" t="s">
        <v>304</v>
      </c>
      <c r="D22" s="236"/>
      <c r="E22" s="238">
        <f>2448-2448</f>
        <v>0</v>
      </c>
      <c r="F22" s="238">
        <f>2448-2448</f>
        <v>0</v>
      </c>
      <c r="G22" s="238">
        <f>2481-31</f>
        <v>2450</v>
      </c>
      <c r="H22" s="238">
        <f>2450</f>
        <v>2450</v>
      </c>
      <c r="I22" s="238">
        <f>2450</f>
        <v>2450</v>
      </c>
      <c r="J22" s="238">
        <v>2450</v>
      </c>
      <c r="K22" s="238">
        <v>2450</v>
      </c>
      <c r="L22" s="238">
        <v>2450</v>
      </c>
      <c r="M22" s="238">
        <v>2450</v>
      </c>
      <c r="N22" s="238">
        <v>2450</v>
      </c>
      <c r="O22" s="238">
        <v>2450</v>
      </c>
      <c r="P22" s="238">
        <v>2450</v>
      </c>
      <c r="Q22" s="238">
        <v>2450</v>
      </c>
      <c r="R22" s="521">
        <v>2450</v>
      </c>
      <c r="S22" s="521">
        <v>2450</v>
      </c>
    </row>
    <row r="23" spans="1:19">
      <c r="A23" s="12" t="s">
        <v>305</v>
      </c>
      <c r="D23" s="236"/>
      <c r="E23" s="238">
        <f>32</f>
        <v>32</v>
      </c>
      <c r="F23" s="238">
        <f>32</f>
        <v>32</v>
      </c>
      <c r="G23" s="238">
        <f>32</f>
        <v>32</v>
      </c>
      <c r="H23" s="238">
        <f>32</f>
        <v>32</v>
      </c>
      <c r="I23" s="238">
        <f>32</f>
        <v>32</v>
      </c>
      <c r="J23" s="238">
        <f>32</f>
        <v>32</v>
      </c>
      <c r="K23" s="238">
        <f>32</f>
        <v>32</v>
      </c>
      <c r="L23" s="238">
        <f>32</f>
        <v>32</v>
      </c>
      <c r="M23" s="238">
        <f>32</f>
        <v>32</v>
      </c>
      <c r="N23" s="238">
        <f>32</f>
        <v>32</v>
      </c>
      <c r="O23" s="238">
        <f>32</f>
        <v>32</v>
      </c>
      <c r="P23" s="238">
        <f>32</f>
        <v>32</v>
      </c>
      <c r="Q23" s="238">
        <f>32</f>
        <v>32</v>
      </c>
      <c r="R23" s="521">
        <v>32</v>
      </c>
      <c r="S23" s="521">
        <v>32</v>
      </c>
    </row>
    <row r="24" spans="1:19">
      <c r="A24" s="12" t="s">
        <v>306</v>
      </c>
      <c r="D24" s="236"/>
      <c r="E24" s="238">
        <f>-15</f>
        <v>-15</v>
      </c>
      <c r="F24" s="238">
        <v>-3</v>
      </c>
      <c r="G24" s="238">
        <v>-3</v>
      </c>
      <c r="H24" s="238">
        <v>-2</v>
      </c>
      <c r="I24" s="238">
        <v>-4</v>
      </c>
      <c r="J24" s="238"/>
      <c r="K24" s="238"/>
      <c r="L24" s="238"/>
      <c r="M24" s="238"/>
      <c r="N24" s="238"/>
      <c r="O24" s="238"/>
      <c r="P24" s="238"/>
      <c r="Q24" s="238"/>
      <c r="R24" s="236"/>
      <c r="S24" s="236"/>
    </row>
    <row r="25" spans="1:19">
      <c r="A25" s="12" t="s">
        <v>307</v>
      </c>
      <c r="D25" s="547" t="s">
        <v>313</v>
      </c>
      <c r="E25" s="238">
        <f>-16644</f>
        <v>-16644</v>
      </c>
      <c r="F25" s="238">
        <f>-16636+16636</f>
        <v>0</v>
      </c>
      <c r="G25" s="238">
        <v>2</v>
      </c>
      <c r="H25" s="238"/>
      <c r="I25" s="238"/>
      <c r="J25" s="238"/>
      <c r="K25" s="238"/>
      <c r="L25" s="238"/>
      <c r="M25" s="238"/>
      <c r="N25" s="238"/>
      <c r="O25" s="238"/>
      <c r="P25" s="238"/>
      <c r="Q25" s="238"/>
      <c r="R25" s="236"/>
      <c r="S25" s="236"/>
    </row>
    <row r="26" spans="1:19">
      <c r="A26" s="12" t="s">
        <v>308</v>
      </c>
      <c r="D26" s="236"/>
      <c r="E26" s="238">
        <f>-729-444</f>
        <v>-1173</v>
      </c>
      <c r="F26" s="238">
        <f>-2915-1776</f>
        <v>-4691</v>
      </c>
      <c r="G26" s="238">
        <f>-2915+1139</f>
        <v>-1776</v>
      </c>
      <c r="H26" s="238">
        <v>-1776</v>
      </c>
      <c r="I26" s="238">
        <v>-1776</v>
      </c>
      <c r="J26" s="238">
        <v>-1776</v>
      </c>
      <c r="K26" s="238">
        <v>-1332</v>
      </c>
      <c r="L26" s="238"/>
      <c r="M26" s="238"/>
      <c r="N26" s="238"/>
      <c r="O26" s="238"/>
      <c r="P26" s="238"/>
      <c r="Q26" s="238"/>
      <c r="R26" s="236"/>
      <c r="S26" s="236"/>
    </row>
    <row r="27" spans="1:19">
      <c r="A27" s="12" t="s">
        <v>309</v>
      </c>
      <c r="D27" s="236"/>
      <c r="E27" s="236"/>
      <c r="F27" s="238">
        <f>193-1</f>
        <v>192</v>
      </c>
      <c r="G27" s="238">
        <v>191</v>
      </c>
      <c r="H27" s="238">
        <v>191</v>
      </c>
      <c r="I27" s="238"/>
      <c r="J27" s="238"/>
      <c r="K27" s="238"/>
      <c r="L27" s="238"/>
      <c r="M27" s="238"/>
      <c r="N27" s="238"/>
      <c r="O27" s="238"/>
      <c r="P27" s="238"/>
      <c r="Q27" s="238"/>
      <c r="R27" s="236"/>
      <c r="S27" s="236"/>
    </row>
    <row r="28" spans="1:19">
      <c r="A28" s="12" t="s">
        <v>310</v>
      </c>
      <c r="D28" s="547" t="s">
        <v>313</v>
      </c>
      <c r="E28" s="236"/>
      <c r="F28" s="238">
        <v>-1416</v>
      </c>
      <c r="G28" s="238">
        <v>-7512</v>
      </c>
      <c r="H28" s="238">
        <v>-6339</v>
      </c>
      <c r="I28" s="238">
        <f>-7160+7160</f>
        <v>0</v>
      </c>
      <c r="J28" s="238">
        <v>-9388</v>
      </c>
      <c r="K28" s="238">
        <f>-10285+10285</f>
        <v>0</v>
      </c>
      <c r="L28" s="238">
        <v>-5582</v>
      </c>
      <c r="M28" s="238">
        <v>-3576</v>
      </c>
      <c r="N28" s="238">
        <v>-4005</v>
      </c>
      <c r="O28" s="238">
        <v>-6244</v>
      </c>
      <c r="P28" s="238">
        <v>-4794</v>
      </c>
      <c r="Q28" s="238">
        <v>-8505</v>
      </c>
      <c r="R28" s="238">
        <v>0</v>
      </c>
      <c r="S28" s="238">
        <v>0</v>
      </c>
    </row>
    <row r="29" spans="1:19">
      <c r="A29" s="12" t="s">
        <v>311</v>
      </c>
      <c r="D29" s="236"/>
      <c r="E29" s="236"/>
      <c r="F29" s="238"/>
      <c r="G29" s="238">
        <v>431</v>
      </c>
      <c r="H29" s="238"/>
      <c r="I29" s="238"/>
      <c r="J29" s="238"/>
      <c r="K29" s="238">
        <v>153</v>
      </c>
      <c r="L29" s="238">
        <v>153</v>
      </c>
      <c r="M29" s="238">
        <v>153</v>
      </c>
      <c r="N29" s="238">
        <v>153</v>
      </c>
      <c r="O29" s="238">
        <v>153</v>
      </c>
      <c r="P29" s="238">
        <v>153</v>
      </c>
      <c r="Q29" s="238">
        <v>153</v>
      </c>
      <c r="R29" s="238">
        <v>153</v>
      </c>
      <c r="S29" s="238">
        <v>153</v>
      </c>
    </row>
    <row r="30" spans="1:19">
      <c r="A30" s="12" t="s">
        <v>312</v>
      </c>
      <c r="D30" s="236"/>
      <c r="E30" s="238">
        <v>-164</v>
      </c>
      <c r="F30" s="238">
        <v>-164</v>
      </c>
      <c r="G30" s="238">
        <v>-164</v>
      </c>
      <c r="H30" s="238">
        <v>-164</v>
      </c>
      <c r="I30" s="238">
        <v>-135</v>
      </c>
      <c r="J30" s="238">
        <v>-135</v>
      </c>
      <c r="K30" s="238">
        <v>-135</v>
      </c>
      <c r="L30" s="238">
        <v>-135</v>
      </c>
      <c r="M30" s="238">
        <v>-135</v>
      </c>
      <c r="N30" s="238">
        <v>-135</v>
      </c>
      <c r="O30" s="238">
        <v>-134</v>
      </c>
      <c r="P30" s="238">
        <v>-135</v>
      </c>
      <c r="Q30" s="238">
        <v>-135</v>
      </c>
      <c r="R30" s="238">
        <v>-135</v>
      </c>
      <c r="S30" s="238">
        <v>-135</v>
      </c>
    </row>
    <row r="31" spans="1:19">
      <c r="A31" s="12" t="s">
        <v>314</v>
      </c>
      <c r="D31" s="236"/>
      <c r="E31" s="236"/>
      <c r="F31" s="238"/>
      <c r="G31" s="238"/>
      <c r="H31" s="238"/>
      <c r="I31" s="238"/>
      <c r="J31" s="238"/>
      <c r="K31" s="238"/>
      <c r="L31" s="238"/>
      <c r="M31" s="238"/>
      <c r="N31" s="238">
        <f>-201+32-32+390-387</f>
        <v>-198</v>
      </c>
      <c r="O31" s="238">
        <f>20+133+553+45</f>
        <v>751</v>
      </c>
      <c r="P31" s="238">
        <f>73+142+608+152</f>
        <v>975</v>
      </c>
      <c r="Q31" s="238">
        <f>73+141+30+574+152</f>
        <v>970</v>
      </c>
      <c r="R31" s="236">
        <f>73+141+21+576+152</f>
        <v>963</v>
      </c>
      <c r="S31" s="236">
        <f>73+140+21+572+152</f>
        <v>958</v>
      </c>
    </row>
    <row r="32" spans="1:19">
      <c r="A32" s="12" t="s">
        <v>315</v>
      </c>
      <c r="D32" s="236"/>
      <c r="E32" s="236"/>
      <c r="F32" s="238"/>
      <c r="G32" s="238"/>
      <c r="H32" s="238"/>
      <c r="I32" s="238"/>
      <c r="J32" s="238"/>
      <c r="K32" s="238"/>
      <c r="L32" s="238"/>
      <c r="M32" s="238"/>
      <c r="N32" s="238"/>
      <c r="O32" s="238">
        <v>113</v>
      </c>
      <c r="P32" s="238">
        <v>1360</v>
      </c>
      <c r="Q32" s="238">
        <v>1360</v>
      </c>
      <c r="R32" s="238">
        <v>1360</v>
      </c>
      <c r="S32" s="238">
        <v>1360</v>
      </c>
    </row>
    <row r="33" spans="1:19">
      <c r="A33" s="12" t="s">
        <v>316</v>
      </c>
      <c r="D33" s="548" t="s">
        <v>313</v>
      </c>
      <c r="E33" s="236"/>
      <c r="F33" s="238"/>
      <c r="G33" s="238"/>
      <c r="H33" s="238"/>
      <c r="I33" s="238"/>
      <c r="J33" s="238"/>
      <c r="K33" s="238"/>
      <c r="L33" s="238"/>
      <c r="M33" s="238"/>
      <c r="N33" s="238"/>
      <c r="O33" s="238">
        <f>86-86</f>
        <v>0</v>
      </c>
      <c r="P33" s="238">
        <v>184</v>
      </c>
      <c r="Q33" s="238">
        <v>178</v>
      </c>
      <c r="R33" s="238">
        <v>0</v>
      </c>
      <c r="S33" s="238">
        <v>0</v>
      </c>
    </row>
    <row r="34" spans="1:19">
      <c r="A34" s="12" t="s">
        <v>317</v>
      </c>
      <c r="D34" s="236"/>
      <c r="E34" s="236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>
        <v>516</v>
      </c>
      <c r="Q34" s="238">
        <f>-129-4411</f>
        <v>-4540</v>
      </c>
      <c r="R34" s="238">
        <f>974</f>
        <v>974</v>
      </c>
      <c r="S34" s="238">
        <f>974</f>
        <v>974</v>
      </c>
    </row>
    <row r="35" spans="1:19">
      <c r="A35" s="12" t="s">
        <v>318</v>
      </c>
      <c r="D35" s="236"/>
      <c r="E35" s="236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>
        <v>-338</v>
      </c>
      <c r="Q35" s="238">
        <f>640-889</f>
        <v>-249</v>
      </c>
      <c r="R35" s="238">
        <f>726-206</f>
        <v>520</v>
      </c>
      <c r="S35" s="238">
        <v>67</v>
      </c>
    </row>
    <row r="36" spans="1:19">
      <c r="A36" s="12" t="s">
        <v>320</v>
      </c>
      <c r="D36" s="236"/>
      <c r="E36" s="236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>
        <v>472</v>
      </c>
      <c r="R36" s="238">
        <v>0</v>
      </c>
      <c r="S36" s="238">
        <v>0</v>
      </c>
    </row>
    <row r="37" spans="1:19">
      <c r="A37" s="12" t="s">
        <v>319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>
        <v>165</v>
      </c>
      <c r="R37" s="238">
        <v>165</v>
      </c>
      <c r="S37" s="238">
        <v>165</v>
      </c>
    </row>
    <row r="38" spans="1:19">
      <c r="A38" s="12" t="s">
        <v>485</v>
      </c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8">
        <v>2082</v>
      </c>
      <c r="S38" s="238">
        <f>2082</f>
        <v>2082</v>
      </c>
    </row>
    <row r="39" spans="1:19">
      <c r="A39" s="12" t="s">
        <v>486</v>
      </c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8">
        <v>70</v>
      </c>
      <c r="S39" s="238">
        <v>0</v>
      </c>
    </row>
    <row r="40" spans="1:19">
      <c r="A40" s="12" t="s">
        <v>321</v>
      </c>
      <c r="D40" s="236"/>
      <c r="E40" s="236"/>
      <c r="F40" s="236"/>
      <c r="G40" s="236"/>
      <c r="H40" s="236"/>
      <c r="I40" s="236"/>
      <c r="J40" s="236"/>
      <c r="K40" s="236"/>
      <c r="L40" s="236"/>
      <c r="M40" s="236"/>
      <c r="N40" s="236"/>
      <c r="O40" s="236"/>
      <c r="P40" s="236"/>
      <c r="Q40" s="238">
        <v>-4</v>
      </c>
      <c r="R40" s="238">
        <v>-5</v>
      </c>
      <c r="S40" s="238">
        <v>-5</v>
      </c>
    </row>
    <row r="41" spans="1:19">
      <c r="A41" s="12" t="s">
        <v>322</v>
      </c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8">
        <v>-91</v>
      </c>
      <c r="R41" s="238">
        <v>0</v>
      </c>
      <c r="S41" s="238">
        <v>0</v>
      </c>
    </row>
    <row r="42" spans="1:19">
      <c r="B42" s="350" t="s">
        <v>324</v>
      </c>
      <c r="D42" s="236"/>
      <c r="E42" s="549">
        <f>SUM(E22:E41)</f>
        <v>-17964</v>
      </c>
      <c r="F42" s="549">
        <f t="shared" ref="F42:P42" si="1">SUM(F22:F41)</f>
        <v>-6050</v>
      </c>
      <c r="G42" s="549">
        <f t="shared" si="1"/>
        <v>-6349</v>
      </c>
      <c r="H42" s="549">
        <f t="shared" si="1"/>
        <v>-5608</v>
      </c>
      <c r="I42" s="549">
        <f t="shared" si="1"/>
        <v>567</v>
      </c>
      <c r="J42" s="549">
        <f t="shared" si="1"/>
        <v>-8817</v>
      </c>
      <c r="K42" s="549">
        <f t="shared" si="1"/>
        <v>1168</v>
      </c>
      <c r="L42" s="549">
        <f t="shared" si="1"/>
        <v>-3082</v>
      </c>
      <c r="M42" s="549">
        <f t="shared" si="1"/>
        <v>-1076</v>
      </c>
      <c r="N42" s="549">
        <f t="shared" si="1"/>
        <v>-1703</v>
      </c>
      <c r="O42" s="549">
        <f t="shared" si="1"/>
        <v>-2879</v>
      </c>
      <c r="P42" s="549">
        <f t="shared" si="1"/>
        <v>403</v>
      </c>
      <c r="Q42" s="549">
        <f>SUM(Q22:Q41)</f>
        <v>-7744</v>
      </c>
      <c r="R42" s="549">
        <f>SUM(R22:R41)</f>
        <v>8629</v>
      </c>
      <c r="S42" s="549">
        <f>SUM(S22:S41)</f>
        <v>8101</v>
      </c>
    </row>
    <row r="43" spans="1:19">
      <c r="D43" s="236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1:19">
      <c r="B44" s="12" t="s">
        <v>326</v>
      </c>
      <c r="D44" s="236"/>
      <c r="E44" s="550">
        <f t="shared" ref="E44:P44" si="2">E20+E42</f>
        <v>-3114</v>
      </c>
      <c r="F44" s="550">
        <f t="shared" si="2"/>
        <v>9152</v>
      </c>
      <c r="G44" s="550">
        <f t="shared" si="2"/>
        <v>13808</v>
      </c>
      <c r="H44" s="550">
        <f t="shared" si="2"/>
        <v>14915</v>
      </c>
      <c r="I44" s="550">
        <f t="shared" si="2"/>
        <v>22879</v>
      </c>
      <c r="J44" s="550">
        <f t="shared" si="2"/>
        <v>13812</v>
      </c>
      <c r="K44" s="550">
        <f t="shared" si="2"/>
        <v>25745</v>
      </c>
      <c r="L44" s="550">
        <f t="shared" si="2"/>
        <v>21795</v>
      </c>
      <c r="M44" s="550">
        <f t="shared" si="2"/>
        <v>22000</v>
      </c>
      <c r="N44" s="550">
        <f t="shared" si="2"/>
        <v>22266</v>
      </c>
      <c r="O44" s="550">
        <f t="shared" si="2"/>
        <v>22129</v>
      </c>
      <c r="P44" s="550">
        <f t="shared" si="2"/>
        <v>25561</v>
      </c>
      <c r="Q44" s="550">
        <f>Q20+Q42</f>
        <v>17936</v>
      </c>
      <c r="R44" s="550">
        <f>R20+R42</f>
        <v>31913</v>
      </c>
      <c r="S44" s="550">
        <f>S20+S42</f>
        <v>31816</v>
      </c>
    </row>
    <row r="45" spans="1:19">
      <c r="D45" s="236"/>
      <c r="E45" s="236" t="str">
        <f t="shared" ref="E45:Q45" si="3">IF(E44=E11+E12,"","check")</f>
        <v/>
      </c>
      <c r="F45" s="236" t="str">
        <f t="shared" si="3"/>
        <v/>
      </c>
      <c r="G45" s="236" t="str">
        <f t="shared" si="3"/>
        <v/>
      </c>
      <c r="H45" s="236" t="str">
        <f t="shared" si="3"/>
        <v/>
      </c>
      <c r="I45" s="236" t="str">
        <f t="shared" si="3"/>
        <v/>
      </c>
      <c r="J45" s="236" t="str">
        <f t="shared" si="3"/>
        <v/>
      </c>
      <c r="K45" s="236" t="str">
        <f t="shared" si="3"/>
        <v/>
      </c>
      <c r="L45" s="236" t="str">
        <f t="shared" si="3"/>
        <v/>
      </c>
      <c r="M45" s="236" t="str">
        <f t="shared" si="3"/>
        <v/>
      </c>
      <c r="N45" s="236" t="str">
        <f t="shared" si="3"/>
        <v/>
      </c>
      <c r="O45" s="236" t="str">
        <f t="shared" si="3"/>
        <v/>
      </c>
      <c r="P45" s="236" t="str">
        <f t="shared" si="3"/>
        <v/>
      </c>
      <c r="Q45" s="236" t="str">
        <f t="shared" si="3"/>
        <v/>
      </c>
      <c r="R45" s="236"/>
      <c r="S45" s="236"/>
    </row>
    <row r="46" spans="1:19">
      <c r="B46" t="s">
        <v>327</v>
      </c>
      <c r="D46" s="236"/>
      <c r="E46" s="236"/>
      <c r="F46" s="236"/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1:19">
      <c r="D47" s="236"/>
      <c r="E47" s="550">
        <f>E42-E25</f>
        <v>-1320</v>
      </c>
      <c r="F47" s="550">
        <f>F42-F28</f>
        <v>-4634</v>
      </c>
      <c r="G47" s="550">
        <f t="shared" ref="G47:O47" si="4">G42-G28</f>
        <v>1163</v>
      </c>
      <c r="H47" s="550">
        <f t="shared" si="4"/>
        <v>731</v>
      </c>
      <c r="I47" s="550">
        <f t="shared" si="4"/>
        <v>567</v>
      </c>
      <c r="J47" s="550">
        <f t="shared" si="4"/>
        <v>571</v>
      </c>
      <c r="K47" s="550">
        <f>K42-K28</f>
        <v>1168</v>
      </c>
      <c r="L47" s="550">
        <f t="shared" si="4"/>
        <v>2500</v>
      </c>
      <c r="M47" s="550">
        <f t="shared" si="4"/>
        <v>2500</v>
      </c>
      <c r="N47" s="550">
        <f t="shared" si="4"/>
        <v>2302</v>
      </c>
      <c r="O47" s="550">
        <f t="shared" si="4"/>
        <v>3365</v>
      </c>
      <c r="P47" s="550">
        <f>P42-P28-P33</f>
        <v>5013</v>
      </c>
      <c r="Q47" s="550">
        <f>Q42-Q28-Q33</f>
        <v>583</v>
      </c>
      <c r="R47" s="550">
        <f>R42-R28</f>
        <v>8629</v>
      </c>
      <c r="S47" s="550">
        <f>S42-S28</f>
        <v>8101</v>
      </c>
    </row>
    <row r="48" spans="1:19">
      <c r="D48" s="236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236"/>
      <c r="S48" s="236"/>
    </row>
    <row r="49" spans="1:19">
      <c r="D49" s="236"/>
      <c r="E49" s="551">
        <v>2000</v>
      </c>
      <c r="F49" s="551">
        <v>2001</v>
      </c>
      <c r="G49" s="551">
        <v>2002</v>
      </c>
      <c r="H49" s="551">
        <v>2003</v>
      </c>
      <c r="I49" s="551">
        <v>2004</v>
      </c>
      <c r="J49" s="551">
        <v>2005</v>
      </c>
      <c r="K49" s="551">
        <v>2006</v>
      </c>
      <c r="L49" s="551">
        <v>2007</v>
      </c>
      <c r="M49" s="551">
        <v>2008</v>
      </c>
      <c r="N49" s="551">
        <v>2009</v>
      </c>
      <c r="O49" s="551">
        <v>2010</v>
      </c>
      <c r="P49" s="551">
        <v>2011</v>
      </c>
      <c r="Q49" s="551">
        <v>2012</v>
      </c>
      <c r="R49" s="551">
        <v>2013</v>
      </c>
      <c r="S49" s="551">
        <v>2014</v>
      </c>
    </row>
    <row r="50" spans="1:19">
      <c r="A50" s="54"/>
      <c r="B50" s="40" t="s">
        <v>61</v>
      </c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</row>
    <row r="51" spans="1:19">
      <c r="A51" s="54"/>
      <c r="B51" s="40" t="s">
        <v>60</v>
      </c>
      <c r="C51" s="40"/>
      <c r="D51" s="40"/>
      <c r="E51" s="40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</row>
    <row r="52" spans="1:19">
      <c r="A52" s="54">
        <v>31</v>
      </c>
      <c r="B52" s="40"/>
      <c r="C52" s="40" t="s">
        <v>59</v>
      </c>
      <c r="D52" s="40"/>
      <c r="E52" s="552">
        <f>'CBR Hist'!F58</f>
        <v>15127</v>
      </c>
      <c r="F52" s="552">
        <f>'CBR Hist'!G58</f>
        <v>16340</v>
      </c>
      <c r="G52" s="552">
        <f>'CBR Hist'!H58</f>
        <v>20910</v>
      </c>
      <c r="H52" s="552">
        <f>'CBR Hist'!I58</f>
        <v>21299</v>
      </c>
      <c r="I52" s="552">
        <f>'CBR Hist'!J58</f>
        <v>21374</v>
      </c>
      <c r="J52" s="552">
        <f>'CBR Hist'!K58</f>
        <v>22459</v>
      </c>
      <c r="K52" s="552">
        <f>'CBR Hist'!L58</f>
        <v>23458</v>
      </c>
      <c r="L52" s="552">
        <f>'CBR Hist'!M58</f>
        <v>20632</v>
      </c>
      <c r="M52" s="552">
        <f>'CBR Hist'!N58</f>
        <v>23321</v>
      </c>
      <c r="N52" s="552">
        <f>'CBR Hist'!O58</f>
        <v>57116</v>
      </c>
      <c r="O52" s="552">
        <f>'CBR Hist'!P58</f>
        <v>81955</v>
      </c>
      <c r="P52" s="552">
        <f>'CBR Hist'!Q58</f>
        <v>84081</v>
      </c>
      <c r="Q52" s="552">
        <f>'CBR Hist'!R58</f>
        <v>85247</v>
      </c>
      <c r="R52" s="552">
        <f>'CBR Hist'!S58</f>
        <v>91466</v>
      </c>
      <c r="S52" s="552">
        <f>'CBR Hist'!T58</f>
        <v>102620</v>
      </c>
    </row>
    <row r="53" spans="1:19">
      <c r="A53" s="54">
        <v>32</v>
      </c>
      <c r="B53" s="40"/>
      <c r="C53" s="40" t="s">
        <v>58</v>
      </c>
      <c r="D53" s="40"/>
      <c r="E53" s="194">
        <f>'CBR Hist'!F59</f>
        <v>369323</v>
      </c>
      <c r="F53" s="194">
        <f>'CBR Hist'!G59</f>
        <v>382522</v>
      </c>
      <c r="G53" s="194">
        <f>'CBR Hist'!H59</f>
        <v>598523</v>
      </c>
      <c r="H53" s="194">
        <f>'CBR Hist'!I59</f>
        <v>609668</v>
      </c>
      <c r="I53" s="194">
        <f>'CBR Hist'!J59</f>
        <v>651608</v>
      </c>
      <c r="J53" s="194">
        <f>'CBR Hist'!K59</f>
        <v>669043</v>
      </c>
      <c r="K53" s="194">
        <f>'CBR Hist'!L59</f>
        <v>703455</v>
      </c>
      <c r="L53" s="194">
        <f>'CBR Hist'!M59</f>
        <v>712962</v>
      </c>
      <c r="M53" s="194">
        <f>'CBR Hist'!N59</f>
        <v>724416</v>
      </c>
      <c r="N53" s="194">
        <f>'CBR Hist'!O59</f>
        <v>751055</v>
      </c>
      <c r="O53" s="194">
        <f>'CBR Hist'!P59</f>
        <v>767632</v>
      </c>
      <c r="P53" s="194">
        <f>'CBR Hist'!Q59</f>
        <v>706894</v>
      </c>
      <c r="Q53" s="194">
        <f>'CBR Hist'!R59</f>
        <v>717448</v>
      </c>
      <c r="R53" s="194">
        <f>'CBR Hist'!S59</f>
        <v>738315</v>
      </c>
      <c r="S53" s="194">
        <f>'CBR Hist'!T59</f>
        <v>746101</v>
      </c>
    </row>
    <row r="54" spans="1:19">
      <c r="A54" s="54">
        <v>33</v>
      </c>
      <c r="B54" s="40"/>
      <c r="C54" s="40" t="s">
        <v>57</v>
      </c>
      <c r="D54" s="40"/>
      <c r="E54" s="194">
        <f>'CBR Hist'!F60</f>
        <v>181627</v>
      </c>
      <c r="F54" s="194">
        <f>'CBR Hist'!G60</f>
        <v>191517</v>
      </c>
      <c r="G54" s="194">
        <f>'CBR Hist'!H60</f>
        <v>186550</v>
      </c>
      <c r="H54" s="194">
        <f>'CBR Hist'!I60</f>
        <v>196937</v>
      </c>
      <c r="I54" s="194">
        <f>'CBR Hist'!J60</f>
        <v>213539</v>
      </c>
      <c r="J54" s="194">
        <f>'CBR Hist'!K60</f>
        <v>224696</v>
      </c>
      <c r="K54" s="194">
        <f>'CBR Hist'!L60</f>
        <v>244435</v>
      </c>
      <c r="L54" s="194">
        <f>'CBR Hist'!M60</f>
        <v>259532</v>
      </c>
      <c r="M54" s="194">
        <f>'CBR Hist'!N60</f>
        <v>289302</v>
      </c>
      <c r="N54" s="194">
        <f>'CBR Hist'!O60</f>
        <v>301090</v>
      </c>
      <c r="O54" s="194">
        <f>'CBR Hist'!P60</f>
        <v>312505</v>
      </c>
      <c r="P54" s="194">
        <f>'CBR Hist'!Q60</f>
        <v>328012</v>
      </c>
      <c r="Q54" s="194">
        <f>'CBR Hist'!R60</f>
        <v>342382</v>
      </c>
      <c r="R54" s="194">
        <f>'CBR Hist'!S60</f>
        <v>359941</v>
      </c>
      <c r="S54" s="194">
        <f>'CBR Hist'!T60</f>
        <v>371971</v>
      </c>
    </row>
    <row r="55" spans="1:19">
      <c r="A55" s="54">
        <v>34</v>
      </c>
      <c r="B55" s="40"/>
      <c r="C55" s="40" t="s">
        <v>56</v>
      </c>
      <c r="D55" s="40"/>
      <c r="E55" s="194">
        <f>'CBR Hist'!F61</f>
        <v>398104</v>
      </c>
      <c r="F55" s="194">
        <f>'CBR Hist'!G61</f>
        <v>416427</v>
      </c>
      <c r="G55" s="194">
        <f>'CBR Hist'!H61</f>
        <v>429742</v>
      </c>
      <c r="H55" s="194">
        <f>'CBR Hist'!I61</f>
        <v>443424</v>
      </c>
      <c r="I55" s="194">
        <f>'CBR Hist'!J61</f>
        <v>459516</v>
      </c>
      <c r="J55" s="194">
        <f>'CBR Hist'!K61</f>
        <v>480638</v>
      </c>
      <c r="K55" s="194">
        <f>'CBR Hist'!L61</f>
        <v>502571</v>
      </c>
      <c r="L55" s="194">
        <f>'CBR Hist'!M61</f>
        <v>528809</v>
      </c>
      <c r="M55" s="194">
        <f>'CBR Hist'!N61</f>
        <v>561016</v>
      </c>
      <c r="N55" s="194">
        <f>'CBR Hist'!O61</f>
        <v>598884</v>
      </c>
      <c r="O55" s="194">
        <f>'CBR Hist'!P61</f>
        <v>638445</v>
      </c>
      <c r="P55" s="194">
        <f>'CBR Hist'!Q61</f>
        <v>696082</v>
      </c>
      <c r="Q55" s="194">
        <f>'CBR Hist'!R61</f>
        <v>743732</v>
      </c>
      <c r="R55" s="194">
        <f>'CBR Hist'!S61</f>
        <v>796640</v>
      </c>
      <c r="S55" s="194">
        <f>'CBR Hist'!T61</f>
        <v>842795</v>
      </c>
    </row>
    <row r="56" spans="1:19">
      <c r="A56" s="54">
        <v>35</v>
      </c>
      <c r="B56" s="40"/>
      <c r="C56" s="40" t="s">
        <v>55</v>
      </c>
      <c r="D56" s="40"/>
      <c r="E56" s="194">
        <f>'CBR Hist'!F62</f>
        <v>58402</v>
      </c>
      <c r="F56" s="194">
        <f>'CBR Hist'!G62</f>
        <v>59846</v>
      </c>
      <c r="G56" s="194">
        <f>'CBR Hist'!H62</f>
        <v>59771</v>
      </c>
      <c r="H56" s="194">
        <f>'CBR Hist'!I62</f>
        <v>60444</v>
      </c>
      <c r="I56" s="194">
        <f>'CBR Hist'!J62</f>
        <v>63155</v>
      </c>
      <c r="J56" s="194">
        <f>'CBR Hist'!K62</f>
        <v>65299</v>
      </c>
      <c r="K56" s="194">
        <f>'CBR Hist'!L62</f>
        <v>80110</v>
      </c>
      <c r="L56" s="194">
        <f>'CBR Hist'!M62</f>
        <v>81368</v>
      </c>
      <c r="M56" s="194">
        <f>'CBR Hist'!N62</f>
        <v>91205</v>
      </c>
      <c r="N56" s="194">
        <f>'CBR Hist'!O62</f>
        <v>98727</v>
      </c>
      <c r="O56" s="194">
        <f>'CBR Hist'!P62</f>
        <v>120996</v>
      </c>
      <c r="P56" s="194">
        <f>'CBR Hist'!Q62</f>
        <v>140218</v>
      </c>
      <c r="Q56" s="194">
        <f>'CBR Hist'!R62</f>
        <v>155104</v>
      </c>
      <c r="R56" s="194">
        <f>'CBR Hist'!S62</f>
        <v>179134</v>
      </c>
      <c r="S56" s="194">
        <f>'CBR Hist'!T62</f>
        <v>196867</v>
      </c>
    </row>
    <row r="57" spans="1:19">
      <c r="A57" s="54">
        <v>36</v>
      </c>
      <c r="B57" s="40" t="s">
        <v>54</v>
      </c>
      <c r="C57" s="40"/>
      <c r="D57" s="40"/>
      <c r="E57" s="415">
        <f>SUM(E52:E56)</f>
        <v>1022583</v>
      </c>
      <c r="F57" s="415">
        <f t="shared" ref="F57:O57" si="5">SUM(F52:F56)</f>
        <v>1066652</v>
      </c>
      <c r="G57" s="415">
        <f t="shared" si="5"/>
        <v>1295496</v>
      </c>
      <c r="H57" s="415">
        <f t="shared" si="5"/>
        <v>1331772</v>
      </c>
      <c r="I57" s="415">
        <f t="shared" si="5"/>
        <v>1409192</v>
      </c>
      <c r="J57" s="415">
        <f t="shared" si="5"/>
        <v>1462135</v>
      </c>
      <c r="K57" s="415">
        <f t="shared" si="5"/>
        <v>1554029</v>
      </c>
      <c r="L57" s="415">
        <f t="shared" si="5"/>
        <v>1603303</v>
      </c>
      <c r="M57" s="415">
        <f t="shared" si="5"/>
        <v>1689260</v>
      </c>
      <c r="N57" s="415">
        <f t="shared" si="5"/>
        <v>1806872</v>
      </c>
      <c r="O57" s="415">
        <f t="shared" si="5"/>
        <v>1921533</v>
      </c>
      <c r="P57" s="415">
        <f t="shared" ref="P57" si="6">SUM(P52:P56)</f>
        <v>1955287</v>
      </c>
      <c r="Q57" s="415">
        <f t="shared" ref="Q57:R57" si="7">SUM(Q52:Q56)</f>
        <v>2043913</v>
      </c>
      <c r="R57" s="415">
        <f t="shared" si="7"/>
        <v>2165496</v>
      </c>
      <c r="S57" s="415">
        <f t="shared" ref="S57" si="8">SUM(S52:S56)</f>
        <v>2260354</v>
      </c>
    </row>
    <row r="58" spans="1:19">
      <c r="A58" s="54"/>
      <c r="B58" s="40" t="s">
        <v>142</v>
      </c>
      <c r="C58" s="40"/>
      <c r="D58" s="4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>
      <c r="A59" s="54">
        <v>37</v>
      </c>
      <c r="B59" s="40"/>
      <c r="C59" s="40" t="s">
        <v>59</v>
      </c>
      <c r="D59" s="40"/>
      <c r="E59" s="196" t="s">
        <v>278</v>
      </c>
      <c r="F59" s="196" t="s">
        <v>278</v>
      </c>
      <c r="G59" s="196" t="s">
        <v>278</v>
      </c>
      <c r="H59" s="196" t="s">
        <v>278</v>
      </c>
      <c r="I59" s="196" t="s">
        <v>278</v>
      </c>
      <c r="J59" s="196" t="s">
        <v>278</v>
      </c>
      <c r="K59" s="196" t="s">
        <v>278</v>
      </c>
      <c r="L59" s="196" t="s">
        <v>278</v>
      </c>
      <c r="M59" s="196" t="s">
        <v>278</v>
      </c>
      <c r="N59" s="196" t="s">
        <v>278</v>
      </c>
      <c r="O59" s="196" t="s">
        <v>278</v>
      </c>
      <c r="P59" s="194">
        <f>'CBR Hist'!Q65</f>
        <v>3744</v>
      </c>
      <c r="Q59" s="194">
        <f>'CBR Hist'!R65</f>
        <v>4369</v>
      </c>
      <c r="R59" s="194">
        <f>'CBR Hist'!S65</f>
        <v>17667</v>
      </c>
      <c r="S59" s="194">
        <f>'CBR Hist'!T65</f>
        <v>20242</v>
      </c>
    </row>
    <row r="60" spans="1:19">
      <c r="A60" s="54">
        <v>38</v>
      </c>
      <c r="B60" s="40"/>
      <c r="C60" s="40" t="s">
        <v>58</v>
      </c>
      <c r="D60" s="40"/>
      <c r="E60" s="196" t="s">
        <v>278</v>
      </c>
      <c r="F60" s="196" t="s">
        <v>278</v>
      </c>
      <c r="G60" s="196" t="s">
        <v>278</v>
      </c>
      <c r="H60" s="196" t="s">
        <v>278</v>
      </c>
      <c r="I60" s="196" t="s">
        <v>278</v>
      </c>
      <c r="J60" s="196" t="s">
        <v>278</v>
      </c>
      <c r="K60" s="196" t="s">
        <v>278</v>
      </c>
      <c r="L60" s="196" t="s">
        <v>278</v>
      </c>
      <c r="M60" s="196" t="s">
        <v>278</v>
      </c>
      <c r="N60" s="196" t="s">
        <v>278</v>
      </c>
      <c r="O60" s="196" t="s">
        <v>278</v>
      </c>
      <c r="P60" s="194">
        <f>'CBR Hist'!Q66</f>
        <v>286300</v>
      </c>
      <c r="Q60" s="194">
        <f>'CBR Hist'!R66</f>
        <v>300170</v>
      </c>
      <c r="R60" s="194">
        <f>'CBR Hist'!S66</f>
        <v>314599</v>
      </c>
      <c r="S60" s="194">
        <f>'CBR Hist'!T66</f>
        <v>325531</v>
      </c>
    </row>
    <row r="61" spans="1:19">
      <c r="A61" s="54">
        <v>39</v>
      </c>
      <c r="B61" s="40"/>
      <c r="C61" s="40" t="s">
        <v>57</v>
      </c>
      <c r="D61" s="40"/>
      <c r="E61" s="196" t="s">
        <v>278</v>
      </c>
      <c r="F61" s="196" t="s">
        <v>278</v>
      </c>
      <c r="G61" s="196" t="s">
        <v>278</v>
      </c>
      <c r="H61" s="196" t="s">
        <v>278</v>
      </c>
      <c r="I61" s="196" t="s">
        <v>278</v>
      </c>
      <c r="J61" s="196" t="s">
        <v>278</v>
      </c>
      <c r="K61" s="196" t="s">
        <v>278</v>
      </c>
      <c r="L61" s="196" t="s">
        <v>278</v>
      </c>
      <c r="M61" s="196" t="s">
        <v>278</v>
      </c>
      <c r="N61" s="196" t="s">
        <v>278</v>
      </c>
      <c r="O61" s="196" t="s">
        <v>278</v>
      </c>
      <c r="P61" s="194">
        <f>'CBR Hist'!Q67</f>
        <v>111144</v>
      </c>
      <c r="Q61" s="194">
        <f>'CBR Hist'!R67</f>
        <v>116316</v>
      </c>
      <c r="R61" s="194">
        <f>'CBR Hist'!S67</f>
        <v>122308</v>
      </c>
      <c r="S61" s="194">
        <f>'CBR Hist'!T67</f>
        <v>123869</v>
      </c>
    </row>
    <row r="62" spans="1:19">
      <c r="A62" s="54">
        <v>40</v>
      </c>
      <c r="B62" s="40"/>
      <c r="C62" s="40" t="s">
        <v>56</v>
      </c>
      <c r="D62" s="40"/>
      <c r="E62" s="196" t="s">
        <v>278</v>
      </c>
      <c r="F62" s="196" t="s">
        <v>278</v>
      </c>
      <c r="G62" s="196" t="s">
        <v>278</v>
      </c>
      <c r="H62" s="196" t="s">
        <v>278</v>
      </c>
      <c r="I62" s="196" t="s">
        <v>278</v>
      </c>
      <c r="J62" s="196" t="s">
        <v>278</v>
      </c>
      <c r="K62" s="196" t="s">
        <v>278</v>
      </c>
      <c r="L62" s="196" t="s">
        <v>278</v>
      </c>
      <c r="M62" s="196" t="s">
        <v>278</v>
      </c>
      <c r="N62" s="196" t="s">
        <v>278</v>
      </c>
      <c r="O62" s="196" t="s">
        <v>278</v>
      </c>
      <c r="P62" s="194">
        <f>'CBR Hist'!Q68</f>
        <v>209101</v>
      </c>
      <c r="Q62" s="194">
        <f>'CBR Hist'!R68</f>
        <v>221408</v>
      </c>
      <c r="R62" s="194">
        <f>'CBR Hist'!S68</f>
        <v>236201</v>
      </c>
      <c r="S62" s="194">
        <f>'CBR Hist'!T68</f>
        <v>252722</v>
      </c>
    </row>
    <row r="63" spans="1:19">
      <c r="A63" s="54">
        <v>41</v>
      </c>
      <c r="B63" s="40"/>
      <c r="C63" s="40" t="s">
        <v>55</v>
      </c>
      <c r="D63" s="40"/>
      <c r="E63" s="196" t="s">
        <v>278</v>
      </c>
      <c r="F63" s="196" t="s">
        <v>278</v>
      </c>
      <c r="G63" s="196" t="s">
        <v>278</v>
      </c>
      <c r="H63" s="196" t="s">
        <v>278</v>
      </c>
      <c r="I63" s="196" t="s">
        <v>278</v>
      </c>
      <c r="J63" s="196" t="s">
        <v>278</v>
      </c>
      <c r="K63" s="196" t="s">
        <v>278</v>
      </c>
      <c r="L63" s="196" t="s">
        <v>278</v>
      </c>
      <c r="M63" s="196" t="s">
        <v>278</v>
      </c>
      <c r="N63" s="196" t="s">
        <v>278</v>
      </c>
      <c r="O63" s="196" t="s">
        <v>278</v>
      </c>
      <c r="P63" s="194">
        <f>'CBR Hist'!Q69</f>
        <v>56694</v>
      </c>
      <c r="Q63" s="194">
        <f>'CBR Hist'!R69</f>
        <v>61871</v>
      </c>
      <c r="R63" s="194">
        <f>'CBR Hist'!S69</f>
        <v>58357</v>
      </c>
      <c r="S63" s="194">
        <f>'CBR Hist'!T69</f>
        <v>65720</v>
      </c>
    </row>
    <row r="64" spans="1:19">
      <c r="A64" s="54">
        <v>42</v>
      </c>
      <c r="B64" s="40" t="s">
        <v>143</v>
      </c>
      <c r="C64" s="40"/>
      <c r="D64" s="40"/>
      <c r="E64" s="194">
        <f>'CBR Hist'!F70</f>
        <v>348345</v>
      </c>
      <c r="F64" s="194">
        <f>'CBR Hist'!G70</f>
        <v>359654</v>
      </c>
      <c r="G64" s="194">
        <f>'CBR Hist'!H70</f>
        <v>418593</v>
      </c>
      <c r="H64" s="194">
        <f>'CBR Hist'!I70</f>
        <v>450096</v>
      </c>
      <c r="I64" s="194">
        <f>'CBR Hist'!J70</f>
        <v>475935</v>
      </c>
      <c r="J64" s="194">
        <f>'CBR Hist'!K70</f>
        <v>503194</v>
      </c>
      <c r="K64" s="194">
        <f>'CBR Hist'!L70</f>
        <v>536682</v>
      </c>
      <c r="L64" s="194">
        <f>'CBR Hist'!M70</f>
        <v>567320</v>
      </c>
      <c r="M64" s="194">
        <f>'CBR Hist'!N70</f>
        <v>600292</v>
      </c>
      <c r="N64" s="194">
        <f>'CBR Hist'!O70</f>
        <v>632110</v>
      </c>
      <c r="O64" s="194">
        <f>'CBR Hist'!P70</f>
        <v>676635</v>
      </c>
      <c r="P64" s="419">
        <f>SUM(P59:P63)</f>
        <v>666983</v>
      </c>
      <c r="Q64" s="419">
        <f>SUM(Q59:Q63)</f>
        <v>704134</v>
      </c>
      <c r="R64" s="419">
        <f>SUM(R59:R63)</f>
        <v>749132</v>
      </c>
      <c r="S64" s="419">
        <f>SUM(S59:S63)</f>
        <v>788084</v>
      </c>
    </row>
    <row r="65" spans="1:19">
      <c r="A65" s="54">
        <v>43</v>
      </c>
      <c r="B65" s="40" t="s">
        <v>144</v>
      </c>
      <c r="C65" s="40"/>
      <c r="D65" s="40"/>
      <c r="E65" s="418">
        <f t="shared" ref="E65" si="9">E57-E64</f>
        <v>674238</v>
      </c>
      <c r="F65" s="418">
        <f t="shared" ref="F65:O65" si="10">F57-F64</f>
        <v>706998</v>
      </c>
      <c r="G65" s="418">
        <f t="shared" si="10"/>
        <v>876903</v>
      </c>
      <c r="H65" s="418">
        <f t="shared" si="10"/>
        <v>881676</v>
      </c>
      <c r="I65" s="418">
        <f t="shared" si="10"/>
        <v>933257</v>
      </c>
      <c r="J65" s="418">
        <f t="shared" si="10"/>
        <v>958941</v>
      </c>
      <c r="K65" s="418">
        <f t="shared" si="10"/>
        <v>1017347</v>
      </c>
      <c r="L65" s="418">
        <f t="shared" si="10"/>
        <v>1035983</v>
      </c>
      <c r="M65" s="418">
        <f t="shared" si="10"/>
        <v>1088968</v>
      </c>
      <c r="N65" s="418">
        <f t="shared" si="10"/>
        <v>1174762</v>
      </c>
      <c r="O65" s="418">
        <f t="shared" si="10"/>
        <v>1244898</v>
      </c>
      <c r="P65" s="418">
        <f t="shared" ref="P65:Q65" si="11">P57-P64</f>
        <v>1288304</v>
      </c>
      <c r="Q65" s="418">
        <f t="shared" si="11"/>
        <v>1339779</v>
      </c>
      <c r="R65" s="418">
        <f t="shared" ref="R65:S65" si="12">R57-R64</f>
        <v>1416364</v>
      </c>
      <c r="S65" s="418">
        <f t="shared" si="12"/>
        <v>1472270</v>
      </c>
    </row>
    <row r="66" spans="1:19">
      <c r="A66" s="54"/>
      <c r="B66" s="40"/>
      <c r="C66" s="40"/>
      <c r="D66" s="40"/>
      <c r="E66" s="194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</row>
    <row r="67" spans="1:19">
      <c r="A67" s="54">
        <v>44</v>
      </c>
      <c r="B67" s="40" t="s">
        <v>52</v>
      </c>
      <c r="C67" s="40"/>
      <c r="D67" s="40"/>
      <c r="E67" s="44">
        <f>'CBR Hist'!F73</f>
        <v>-104246</v>
      </c>
      <c r="F67" s="44">
        <f>'CBR Hist'!G73</f>
        <v>-108113</v>
      </c>
      <c r="G67" s="44">
        <f>'CBR Hist'!H73</f>
        <v>-113807</v>
      </c>
      <c r="H67" s="44">
        <f>'CBR Hist'!I73</f>
        <v>-138127</v>
      </c>
      <c r="I67" s="44">
        <f>'CBR Hist'!J73</f>
        <v>-154531</v>
      </c>
      <c r="J67" s="44">
        <f>'CBR Hist'!K73</f>
        <v>-138256</v>
      </c>
      <c r="K67" s="44">
        <f>'CBR Hist'!L73</f>
        <v>-142383</v>
      </c>
      <c r="L67" s="44">
        <f>'CBR Hist'!M73</f>
        <v>-143546</v>
      </c>
      <c r="M67" s="44">
        <f>'CBR Hist'!N73</f>
        <v>-151677</v>
      </c>
      <c r="N67" s="44">
        <f>'CBR Hist'!O73</f>
        <v>-169421</v>
      </c>
      <c r="O67" s="44">
        <f>'CBR Hist'!P73</f>
        <v>-190931</v>
      </c>
      <c r="P67" s="44">
        <f>'CBR Hist'!Q73</f>
        <v>-201163</v>
      </c>
      <c r="Q67" s="44">
        <f>'CBR Hist'!R73</f>
        <v>-208209</v>
      </c>
      <c r="R67" s="44">
        <f>'CBR Hist'!S73</f>
        <v>-221354</v>
      </c>
      <c r="S67" s="44">
        <f>'CBR Hist'!T73</f>
        <v>-257766</v>
      </c>
    </row>
    <row r="68" spans="1:19">
      <c r="A68" s="54">
        <v>45</v>
      </c>
      <c r="B68" s="40"/>
      <c r="C68" s="40" t="s">
        <v>292</v>
      </c>
      <c r="D68" s="40"/>
      <c r="E68" s="415">
        <f>E65+E67</f>
        <v>569992</v>
      </c>
      <c r="F68" s="415">
        <f t="shared" ref="F68:O68" si="13">F65+F67</f>
        <v>598885</v>
      </c>
      <c r="G68" s="415">
        <f t="shared" si="13"/>
        <v>763096</v>
      </c>
      <c r="H68" s="415">
        <f t="shared" si="13"/>
        <v>743549</v>
      </c>
      <c r="I68" s="415">
        <f t="shared" si="13"/>
        <v>778726</v>
      </c>
      <c r="J68" s="415">
        <f t="shared" si="13"/>
        <v>820685</v>
      </c>
      <c r="K68" s="415">
        <f t="shared" si="13"/>
        <v>874964</v>
      </c>
      <c r="L68" s="415">
        <f t="shared" si="13"/>
        <v>892437</v>
      </c>
      <c r="M68" s="415">
        <f t="shared" si="13"/>
        <v>937291</v>
      </c>
      <c r="N68" s="415">
        <f t="shared" si="13"/>
        <v>1005341</v>
      </c>
      <c r="O68" s="415">
        <f t="shared" si="13"/>
        <v>1053967</v>
      </c>
      <c r="P68" s="415">
        <f t="shared" ref="P68" si="14">P65+P67</f>
        <v>1087141</v>
      </c>
      <c r="Q68" s="415">
        <f t="shared" ref="Q68:R68" si="15">Q65+Q67</f>
        <v>1131570</v>
      </c>
      <c r="R68" s="415">
        <f t="shared" si="15"/>
        <v>1195010</v>
      </c>
      <c r="S68" s="415">
        <f t="shared" ref="S68" si="16">S65+S67</f>
        <v>1214504</v>
      </c>
    </row>
    <row r="69" spans="1:19">
      <c r="A69" s="54">
        <v>46</v>
      </c>
      <c r="B69" s="40" t="s">
        <v>146</v>
      </c>
      <c r="C69" s="40"/>
      <c r="D69" s="40"/>
      <c r="E69" s="194">
        <f>'CBR Hist'!F75</f>
        <v>-1500</v>
      </c>
      <c r="F69" s="194">
        <f>'CBR Hist'!G75</f>
        <v>-1370</v>
      </c>
      <c r="G69" s="194">
        <f>'CBR Hist'!H75</f>
        <v>-1238</v>
      </c>
      <c r="H69" s="194">
        <f>'CBR Hist'!I75</f>
        <v>-1106</v>
      </c>
      <c r="I69" s="194">
        <f>'CBR Hist'!J75</f>
        <v>-715</v>
      </c>
      <c r="J69" s="194">
        <f>'CBR Hist'!K75</f>
        <v>-843</v>
      </c>
      <c r="K69" s="194">
        <f>'CBR Hist'!L75</f>
        <v>-453</v>
      </c>
      <c r="L69" s="194">
        <f>'CBR Hist'!M75</f>
        <v>-582</v>
      </c>
      <c r="M69" s="194">
        <f>'CBR Hist'!N75</f>
        <v>-451</v>
      </c>
      <c r="N69" s="194">
        <f>'CBR Hist'!O75</f>
        <v>-322</v>
      </c>
      <c r="O69" s="194">
        <f>'CBR Hist'!P75</f>
        <v>-127</v>
      </c>
      <c r="P69" s="194">
        <f>'CBR Hist'!Q75</f>
        <v>32534</v>
      </c>
      <c r="Q69" s="194">
        <f>'CBR Hist'!R75</f>
        <v>16438</v>
      </c>
      <c r="R69" s="194">
        <f>'CBR Hist'!S75</f>
        <v>14761</v>
      </c>
      <c r="S69" s="194">
        <f>'CBR Hist'!T75</f>
        <v>10846</v>
      </c>
    </row>
    <row r="70" spans="1:19">
      <c r="A70" s="54">
        <v>47</v>
      </c>
      <c r="B70" s="40" t="s">
        <v>53</v>
      </c>
      <c r="C70" s="40"/>
      <c r="D70" s="40"/>
      <c r="E70" s="194">
        <f>'CBR Hist'!F76</f>
        <v>0</v>
      </c>
      <c r="F70" s="194">
        <f>'CBR Hist'!G76</f>
        <v>0</v>
      </c>
      <c r="G70" s="194">
        <f>'CBR Hist'!H76</f>
        <v>0</v>
      </c>
      <c r="H70" s="194">
        <f>'CBR Hist'!I76</f>
        <v>0</v>
      </c>
      <c r="I70" s="194">
        <f>'CBR Hist'!J76</f>
        <v>0</v>
      </c>
      <c r="J70" s="194">
        <f>'CBR Hist'!K76</f>
        <v>0</v>
      </c>
      <c r="K70" s="194">
        <f>'CBR Hist'!L76</f>
        <v>0</v>
      </c>
      <c r="L70" s="194">
        <f>'CBR Hist'!M76</f>
        <v>0</v>
      </c>
      <c r="M70" s="194">
        <f>'CBR Hist'!N76</f>
        <v>0</v>
      </c>
      <c r="N70" s="194">
        <f>'CBR Hist'!O76</f>
        <v>0</v>
      </c>
      <c r="O70" s="194">
        <f>'CBR Hist'!P76</f>
        <v>18188</v>
      </c>
      <c r="P70" s="194">
        <f>'CBR Hist'!Q76</f>
        <v>18188</v>
      </c>
      <c r="Q70" s="194">
        <f>'CBR Hist'!R76</f>
        <v>10967</v>
      </c>
      <c r="R70" s="194">
        <f>'CBR Hist'!S76</f>
        <v>16281</v>
      </c>
      <c r="S70" s="194">
        <f>'CBR Hist'!T76</f>
        <v>47807</v>
      </c>
    </row>
    <row r="71" spans="1:19">
      <c r="A71" s="54"/>
      <c r="B71" s="40"/>
      <c r="C71" s="40"/>
      <c r="D71" s="40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ht="13.5" thickBot="1">
      <c r="A72" s="54">
        <v>48</v>
      </c>
      <c r="B72" s="40" t="s">
        <v>51</v>
      </c>
      <c r="C72" s="40"/>
      <c r="D72" s="40"/>
      <c r="E72" s="417">
        <f>SUM(E68:E71)</f>
        <v>568492</v>
      </c>
      <c r="F72" s="417">
        <f t="shared" ref="F72:O72" si="17">SUM(F68:F71)</f>
        <v>597515</v>
      </c>
      <c r="G72" s="417">
        <f t="shared" si="17"/>
        <v>761858</v>
      </c>
      <c r="H72" s="417">
        <f t="shared" si="17"/>
        <v>742443</v>
      </c>
      <c r="I72" s="417">
        <f t="shared" si="17"/>
        <v>778011</v>
      </c>
      <c r="J72" s="417">
        <f t="shared" si="17"/>
        <v>819842</v>
      </c>
      <c r="K72" s="417">
        <f t="shared" si="17"/>
        <v>874511</v>
      </c>
      <c r="L72" s="417">
        <f t="shared" si="17"/>
        <v>891855</v>
      </c>
      <c r="M72" s="417">
        <f t="shared" si="17"/>
        <v>936840</v>
      </c>
      <c r="N72" s="417">
        <f t="shared" si="17"/>
        <v>1005019</v>
      </c>
      <c r="O72" s="417">
        <f t="shared" si="17"/>
        <v>1072028</v>
      </c>
      <c r="P72" s="417">
        <f t="shared" ref="P72" si="18">SUM(P68:P71)</f>
        <v>1137863</v>
      </c>
      <c r="Q72" s="417">
        <f t="shared" ref="Q72:R72" si="19">SUM(Q68:Q71)</f>
        <v>1158975</v>
      </c>
      <c r="R72" s="417">
        <f t="shared" si="19"/>
        <v>1226052</v>
      </c>
      <c r="S72" s="417">
        <f t="shared" ref="S72" si="20">SUM(S68:S71)</f>
        <v>1273157</v>
      </c>
    </row>
    <row r="73" spans="1:19" ht="13.5" thickTop="1">
      <c r="D73" s="236"/>
      <c r="E73" s="236" t="str">
        <f>IF(E65+E67+E69+E70=E72,"","check total")</f>
        <v/>
      </c>
      <c r="F73" s="236" t="str">
        <f t="shared" ref="F73:Q73" si="21">IF(F65+F67+F69+F70=F72,"","check total")</f>
        <v/>
      </c>
      <c r="G73" s="236" t="str">
        <f t="shared" si="21"/>
        <v/>
      </c>
      <c r="H73" s="236" t="str">
        <f t="shared" si="21"/>
        <v/>
      </c>
      <c r="I73" s="236" t="str">
        <f t="shared" si="21"/>
        <v/>
      </c>
      <c r="J73" s="236" t="str">
        <f t="shared" si="21"/>
        <v/>
      </c>
      <c r="K73" s="236" t="str">
        <f t="shared" si="21"/>
        <v/>
      </c>
      <c r="L73" s="236" t="str">
        <f t="shared" si="21"/>
        <v/>
      </c>
      <c r="M73" s="236" t="str">
        <f t="shared" si="21"/>
        <v/>
      </c>
      <c r="N73" s="236" t="str">
        <f t="shared" si="21"/>
        <v/>
      </c>
      <c r="O73" s="236" t="str">
        <f t="shared" si="21"/>
        <v/>
      </c>
      <c r="P73" s="236" t="str">
        <f t="shared" si="21"/>
        <v/>
      </c>
      <c r="Q73" s="236" t="str">
        <f t="shared" si="21"/>
        <v/>
      </c>
      <c r="R73" s="236"/>
      <c r="S73" s="236"/>
    </row>
    <row r="74" spans="1:19">
      <c r="D74" s="236"/>
      <c r="E74" s="553">
        <f>E49</f>
        <v>2000</v>
      </c>
      <c r="F74" s="553">
        <f t="shared" ref="F74:R74" si="22">F49</f>
        <v>2001</v>
      </c>
      <c r="G74" s="553">
        <f t="shared" si="22"/>
        <v>2002</v>
      </c>
      <c r="H74" s="553">
        <f t="shared" si="22"/>
        <v>2003</v>
      </c>
      <c r="I74" s="553">
        <f t="shared" si="22"/>
        <v>2004</v>
      </c>
      <c r="J74" s="553">
        <f t="shared" si="22"/>
        <v>2005</v>
      </c>
      <c r="K74" s="553">
        <f t="shared" si="22"/>
        <v>2006</v>
      </c>
      <c r="L74" s="553">
        <f t="shared" si="22"/>
        <v>2007</v>
      </c>
      <c r="M74" s="553">
        <f t="shared" si="22"/>
        <v>2008</v>
      </c>
      <c r="N74" s="553">
        <f t="shared" si="22"/>
        <v>2009</v>
      </c>
      <c r="O74" s="553">
        <f t="shared" si="22"/>
        <v>2010</v>
      </c>
      <c r="P74" s="553">
        <f t="shared" si="22"/>
        <v>2011</v>
      </c>
      <c r="Q74" s="553">
        <f t="shared" si="22"/>
        <v>2012</v>
      </c>
      <c r="R74" s="553">
        <f t="shared" si="22"/>
        <v>2013</v>
      </c>
      <c r="S74" s="553">
        <f t="shared" ref="S74" si="23">S49</f>
        <v>2014</v>
      </c>
    </row>
    <row r="75" spans="1:19">
      <c r="B75" s="46" t="s">
        <v>245</v>
      </c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</row>
    <row r="76" spans="1:19">
      <c r="A76" s="12" t="s">
        <v>330</v>
      </c>
      <c r="D76" s="554" t="s">
        <v>239</v>
      </c>
      <c r="E76" s="238">
        <v>-1500</v>
      </c>
      <c r="F76" s="238">
        <v>-1370</v>
      </c>
      <c r="G76" s="238">
        <v>-1238</v>
      </c>
      <c r="H76" s="238">
        <v>-1106</v>
      </c>
      <c r="I76" s="238">
        <v>-715</v>
      </c>
      <c r="J76" s="238">
        <v>-843</v>
      </c>
      <c r="K76" s="238">
        <v>-453</v>
      </c>
      <c r="L76" s="238">
        <v>-582</v>
      </c>
      <c r="M76" s="238">
        <v>-451</v>
      </c>
      <c r="N76" s="238">
        <v>-322</v>
      </c>
      <c r="O76" s="238">
        <v>-127</v>
      </c>
      <c r="P76" s="238">
        <v>-66</v>
      </c>
      <c r="Q76" s="238">
        <v>0</v>
      </c>
      <c r="R76" s="238">
        <v>0</v>
      </c>
      <c r="S76" s="238">
        <v>0</v>
      </c>
    </row>
    <row r="77" spans="1:19">
      <c r="A77" s="12" t="s">
        <v>348</v>
      </c>
      <c r="D77" s="554" t="s">
        <v>335</v>
      </c>
      <c r="E77" s="238">
        <v>525</v>
      </c>
      <c r="F77" s="238">
        <v>480</v>
      </c>
      <c r="G77" s="238">
        <v>433</v>
      </c>
      <c r="H77" s="238">
        <v>387</v>
      </c>
      <c r="I77" s="238">
        <v>250</v>
      </c>
      <c r="J77" s="238">
        <v>295</v>
      </c>
      <c r="K77" s="238">
        <v>158</v>
      </c>
      <c r="L77" s="238">
        <v>204</v>
      </c>
      <c r="M77" s="238">
        <v>158</v>
      </c>
      <c r="N77" s="238">
        <v>113</v>
      </c>
      <c r="O77" s="238"/>
      <c r="P77" s="238">
        <v>23</v>
      </c>
      <c r="Q77" s="238">
        <v>0</v>
      </c>
      <c r="R77" s="238">
        <v>0</v>
      </c>
      <c r="S77" s="238">
        <v>0</v>
      </c>
    </row>
    <row r="78" spans="1:19">
      <c r="A78" s="12" t="s">
        <v>331</v>
      </c>
      <c r="D78" s="554" t="s">
        <v>346</v>
      </c>
      <c r="E78" s="238">
        <v>-7073</v>
      </c>
      <c r="F78" s="238">
        <v>-6807</v>
      </c>
      <c r="G78" s="238">
        <v>-7557</v>
      </c>
      <c r="H78" s="238">
        <v>-7254</v>
      </c>
      <c r="I78" s="238">
        <v>-7325</v>
      </c>
      <c r="J78" s="238">
        <v>-7278</v>
      </c>
      <c r="K78" s="238">
        <v>-7175</v>
      </c>
      <c r="L78" s="238">
        <v>-7452</v>
      </c>
      <c r="M78" s="238">
        <v>-7490</v>
      </c>
      <c r="N78" s="238">
        <v>-7390</v>
      </c>
      <c r="O78" s="238">
        <v>-7325</v>
      </c>
      <c r="P78" s="238">
        <v>-7307</v>
      </c>
      <c r="Q78" s="238">
        <v>-7359</v>
      </c>
      <c r="R78" s="238">
        <v>-7318</v>
      </c>
      <c r="S78" s="238">
        <v>-7426</v>
      </c>
    </row>
    <row r="79" spans="1:19">
      <c r="A79" s="12" t="s">
        <v>331</v>
      </c>
      <c r="D79" s="554" t="s">
        <v>333</v>
      </c>
      <c r="E79" s="238">
        <v>3571</v>
      </c>
      <c r="F79" s="238">
        <v>3642</v>
      </c>
      <c r="G79" s="238">
        <v>4272</v>
      </c>
      <c r="H79" s="238">
        <v>4318</v>
      </c>
      <c r="I79" s="238">
        <v>5023</v>
      </c>
      <c r="J79" s="238">
        <v>4772</v>
      </c>
      <c r="K79" s="238">
        <v>4920</v>
      </c>
      <c r="L79" s="238">
        <v>5110</v>
      </c>
      <c r="M79" s="238">
        <v>5572</v>
      </c>
      <c r="N79" s="238">
        <v>5690</v>
      </c>
      <c r="O79" s="238">
        <v>5832</v>
      </c>
      <c r="P79" s="238">
        <v>6008</v>
      </c>
      <c r="Q79" s="238">
        <v>6242</v>
      </c>
      <c r="R79" s="238">
        <v>6375</v>
      </c>
      <c r="S79" s="238">
        <v>6614</v>
      </c>
    </row>
    <row r="80" spans="1:19">
      <c r="A80" s="12" t="s">
        <v>332</v>
      </c>
      <c r="D80" s="554" t="s">
        <v>346</v>
      </c>
      <c r="E80" s="238">
        <v>682</v>
      </c>
      <c r="F80" s="238">
        <v>651</v>
      </c>
      <c r="G80" s="238">
        <v>619</v>
      </c>
      <c r="H80" s="238">
        <v>587</v>
      </c>
      <c r="I80" s="238">
        <v>492</v>
      </c>
      <c r="J80" s="238">
        <v>524</v>
      </c>
      <c r="K80" s="238">
        <v>492</v>
      </c>
      <c r="L80" s="238">
        <v>460</v>
      </c>
      <c r="M80" s="238">
        <v>429</v>
      </c>
      <c r="N80" s="238">
        <v>426</v>
      </c>
      <c r="O80" s="238">
        <v>365</v>
      </c>
      <c r="P80" s="238">
        <v>1111</v>
      </c>
      <c r="Q80" s="238">
        <v>1111</v>
      </c>
      <c r="R80" s="238">
        <v>1111</v>
      </c>
      <c r="S80" s="238">
        <v>1111</v>
      </c>
    </row>
    <row r="81" spans="1:19">
      <c r="A81" s="12" t="s">
        <v>332</v>
      </c>
      <c r="D81" s="554" t="s">
        <v>333</v>
      </c>
      <c r="E81" s="238"/>
      <c r="F81" s="238"/>
      <c r="G81" s="238"/>
      <c r="H81" s="238"/>
      <c r="I81" s="238"/>
      <c r="J81" s="238"/>
      <c r="K81" s="238"/>
      <c r="L81" s="238"/>
      <c r="M81" s="238"/>
      <c r="N81" s="238"/>
      <c r="O81" s="238"/>
      <c r="P81" s="238">
        <v>-778</v>
      </c>
      <c r="Q81" s="238">
        <v>-809</v>
      </c>
      <c r="R81" s="238">
        <v>-841</v>
      </c>
      <c r="S81" s="238">
        <v>-873</v>
      </c>
    </row>
    <row r="82" spans="1:19">
      <c r="A82" s="12" t="s">
        <v>334</v>
      </c>
      <c r="D82" s="554" t="s">
        <v>346</v>
      </c>
      <c r="E82" s="238">
        <v>-5248</v>
      </c>
      <c r="F82" s="238">
        <v>-5248</v>
      </c>
      <c r="G82" s="238">
        <v>-5248</v>
      </c>
      <c r="H82" s="238">
        <v>-5248</v>
      </c>
      <c r="I82" s="238">
        <v>-5248</v>
      </c>
      <c r="J82" s="238">
        <v>-5248</v>
      </c>
      <c r="K82" s="238">
        <v>-5248</v>
      </c>
      <c r="L82" s="238">
        <v>-5248</v>
      </c>
      <c r="M82" s="238">
        <v>-5248</v>
      </c>
      <c r="N82" s="238">
        <v>-5248</v>
      </c>
      <c r="O82" s="238">
        <v>-5248</v>
      </c>
      <c r="P82" s="238">
        <v>-5248</v>
      </c>
      <c r="Q82" s="238">
        <v>-5248</v>
      </c>
      <c r="R82" s="238">
        <v>-5248</v>
      </c>
      <c r="S82" s="238">
        <v>-5248</v>
      </c>
    </row>
    <row r="83" spans="1:19">
      <c r="A83" s="12" t="s">
        <v>334</v>
      </c>
      <c r="D83" s="554" t="s">
        <v>333</v>
      </c>
      <c r="E83" s="238">
        <v>2619</v>
      </c>
      <c r="F83" s="238">
        <v>2783</v>
      </c>
      <c r="G83" s="238">
        <v>2947</v>
      </c>
      <c r="H83" s="238">
        <v>3111</v>
      </c>
      <c r="I83" s="238">
        <v>3559</v>
      </c>
      <c r="J83" s="238">
        <v>3424</v>
      </c>
      <c r="K83" s="238">
        <v>3559</v>
      </c>
      <c r="L83" s="238">
        <v>3695</v>
      </c>
      <c r="M83" s="238">
        <v>3830</v>
      </c>
      <c r="N83" s="238">
        <v>3964</v>
      </c>
      <c r="O83" s="238">
        <v>4100</v>
      </c>
      <c r="P83" s="238">
        <v>4235</v>
      </c>
      <c r="Q83" s="238">
        <v>4370</v>
      </c>
      <c r="R83" s="238">
        <v>4505</v>
      </c>
      <c r="S83" s="238">
        <v>4640</v>
      </c>
    </row>
    <row r="84" spans="1:19">
      <c r="A84" s="12" t="s">
        <v>334</v>
      </c>
      <c r="D84" s="554" t="s">
        <v>335</v>
      </c>
      <c r="E84" s="238">
        <v>1004</v>
      </c>
      <c r="F84" s="238">
        <v>948</v>
      </c>
      <c r="G84" s="238">
        <v>892</v>
      </c>
      <c r="H84" s="238">
        <v>836</v>
      </c>
      <c r="I84" s="238">
        <v>668</v>
      </c>
      <c r="J84" s="238">
        <v>724</v>
      </c>
      <c r="K84" s="238">
        <v>696</v>
      </c>
      <c r="L84" s="238">
        <v>640</v>
      </c>
      <c r="M84" s="238">
        <v>584</v>
      </c>
      <c r="N84" s="238">
        <v>528</v>
      </c>
      <c r="O84" s="238">
        <v>472</v>
      </c>
      <c r="P84" s="238">
        <v>416</v>
      </c>
      <c r="Q84" s="238">
        <v>360</v>
      </c>
      <c r="R84" s="238">
        <v>303</v>
      </c>
      <c r="S84" s="238">
        <v>247</v>
      </c>
    </row>
    <row r="85" spans="1:19">
      <c r="A85" s="12" t="s">
        <v>336</v>
      </c>
      <c r="D85" s="554" t="s">
        <v>346</v>
      </c>
      <c r="E85" s="238"/>
      <c r="F85" s="238"/>
      <c r="G85" s="238">
        <v>79626</v>
      </c>
      <c r="H85" s="238">
        <v>79626</v>
      </c>
      <c r="I85" s="238">
        <v>79626</v>
      </c>
      <c r="J85" s="238">
        <v>79626</v>
      </c>
      <c r="K85" s="238">
        <v>79626</v>
      </c>
      <c r="L85" s="238">
        <v>79626</v>
      </c>
      <c r="M85" s="238">
        <v>79626</v>
      </c>
      <c r="N85" s="238">
        <v>79626</v>
      </c>
      <c r="O85" s="238">
        <v>79626</v>
      </c>
      <c r="P85" s="238">
        <v>79626</v>
      </c>
      <c r="Q85" s="238">
        <v>79626</v>
      </c>
      <c r="R85" s="238">
        <v>79626</v>
      </c>
      <c r="S85" s="238">
        <v>79626</v>
      </c>
    </row>
    <row r="86" spans="1:19">
      <c r="A86" s="12" t="s">
        <v>336</v>
      </c>
      <c r="D86" s="554" t="s">
        <v>333</v>
      </c>
      <c r="E86" s="238"/>
      <c r="F86" s="238"/>
      <c r="G86" s="238">
        <v>-37568</v>
      </c>
      <c r="H86" s="238">
        <v>-40018</v>
      </c>
      <c r="I86" s="238">
        <v>-47368</v>
      </c>
      <c r="J86" s="238">
        <v>-44918</v>
      </c>
      <c r="K86" s="238">
        <v>-52268</v>
      </c>
      <c r="L86" s="238">
        <v>-49818</v>
      </c>
      <c r="M86" s="238">
        <v>-52268</v>
      </c>
      <c r="N86" s="238">
        <v>-55943</v>
      </c>
      <c r="O86" s="238">
        <v>-57168</v>
      </c>
      <c r="P86" s="238">
        <v>-59618</v>
      </c>
      <c r="Q86" s="238">
        <v>-62068</v>
      </c>
      <c r="R86" s="238">
        <v>-64518</v>
      </c>
      <c r="S86" s="238">
        <v>-66968</v>
      </c>
    </row>
    <row r="87" spans="1:19">
      <c r="A87" s="12" t="s">
        <v>336</v>
      </c>
      <c r="D87" s="554" t="s">
        <v>335</v>
      </c>
      <c r="E87" s="238"/>
      <c r="F87" s="238"/>
      <c r="G87" s="238">
        <v>-7339</v>
      </c>
      <c r="H87" s="238">
        <v>-6898</v>
      </c>
      <c r="I87" s="238">
        <v>-5577</v>
      </c>
      <c r="J87" s="238">
        <v>-6017</v>
      </c>
      <c r="K87" s="238">
        <v>-4917</v>
      </c>
      <c r="L87" s="238">
        <v>-5357</v>
      </c>
      <c r="M87" s="238">
        <v>-4917</v>
      </c>
      <c r="N87" s="238">
        <v>-4256</v>
      </c>
      <c r="O87" s="238">
        <v>-4036</v>
      </c>
      <c r="P87" s="238">
        <v>-3596</v>
      </c>
      <c r="Q87" s="238">
        <v>-3155</v>
      </c>
      <c r="R87" s="238">
        <v>-2715</v>
      </c>
      <c r="S87" s="238">
        <v>-2275</v>
      </c>
    </row>
    <row r="88" spans="1:19">
      <c r="A88" s="12" t="s">
        <v>342</v>
      </c>
      <c r="D88" s="554" t="s">
        <v>346</v>
      </c>
      <c r="E88" s="238">
        <v>-74560</v>
      </c>
      <c r="F88" s="238">
        <v>-66845</v>
      </c>
      <c r="G88" s="238">
        <v>-14205</v>
      </c>
      <c r="H88" s="238">
        <v>-14205</v>
      </c>
      <c r="I88" s="238">
        <v>-14205</v>
      </c>
      <c r="J88" s="238">
        <v>-14205</v>
      </c>
      <c r="K88" s="238">
        <v>-14205</v>
      </c>
      <c r="L88" s="238"/>
      <c r="M88" s="238"/>
      <c r="N88" s="238"/>
      <c r="O88" s="238"/>
      <c r="P88" s="238"/>
      <c r="Q88" s="238"/>
      <c r="R88" s="236"/>
      <c r="S88" s="236"/>
    </row>
    <row r="89" spans="1:19">
      <c r="A89" s="12" t="s">
        <v>342</v>
      </c>
      <c r="D89" s="554" t="s">
        <v>333</v>
      </c>
      <c r="E89" s="238">
        <v>147</v>
      </c>
      <c r="F89" s="238">
        <v>7011</v>
      </c>
      <c r="G89" s="238">
        <v>3107</v>
      </c>
      <c r="H89" s="238">
        <v>4883</v>
      </c>
      <c r="I89" s="238">
        <v>10210</v>
      </c>
      <c r="J89" s="238">
        <v>8434</v>
      </c>
      <c r="K89" s="238">
        <v>13706</v>
      </c>
      <c r="L89" s="238"/>
      <c r="M89" s="238"/>
      <c r="N89" s="238"/>
      <c r="O89" s="238"/>
      <c r="P89" s="238"/>
      <c r="Q89" s="238"/>
      <c r="R89" s="236"/>
      <c r="S89" s="236"/>
    </row>
    <row r="90" spans="1:19">
      <c r="A90" s="12" t="s">
        <v>342</v>
      </c>
      <c r="D90" s="554" t="s">
        <v>335</v>
      </c>
      <c r="E90" s="238"/>
      <c r="F90" s="238"/>
      <c r="G90" s="238">
        <v>3574</v>
      </c>
      <c r="H90" s="238">
        <v>2952</v>
      </c>
      <c r="I90" s="238">
        <v>1088</v>
      </c>
      <c r="J90" s="238">
        <v>1709</v>
      </c>
      <c r="K90" s="238">
        <v>175</v>
      </c>
      <c r="L90" s="238"/>
      <c r="M90" s="238"/>
      <c r="N90" s="238"/>
      <c r="O90" s="238"/>
      <c r="P90" s="238"/>
      <c r="Q90" s="238"/>
      <c r="R90" s="236"/>
      <c r="S90" s="236"/>
    </row>
    <row r="91" spans="1:19">
      <c r="A91" s="12" t="s">
        <v>337</v>
      </c>
      <c r="D91" s="554" t="s">
        <v>346</v>
      </c>
      <c r="E91" s="238"/>
      <c r="F91" s="238"/>
      <c r="G91" s="238"/>
      <c r="H91" s="238"/>
      <c r="I91" s="238"/>
      <c r="J91" s="238"/>
      <c r="K91" s="238"/>
      <c r="L91" s="238"/>
      <c r="M91" s="238"/>
      <c r="N91" s="238">
        <f>673+247</f>
        <v>920</v>
      </c>
      <c r="O91" s="238">
        <f>1647+1201</f>
        <v>2848</v>
      </c>
      <c r="P91" s="238">
        <f>1432+104+687+436</f>
        <v>2659</v>
      </c>
      <c r="Q91" s="238">
        <f>1554+113+743+472</f>
        <v>2882</v>
      </c>
      <c r="R91" s="238">
        <f>1554+113+743+472</f>
        <v>2882</v>
      </c>
      <c r="S91" s="238">
        <f>1554+113+743+472</f>
        <v>2882</v>
      </c>
    </row>
    <row r="92" spans="1:19">
      <c r="A92" s="12" t="s">
        <v>337</v>
      </c>
      <c r="D92" s="554" t="s">
        <v>333</v>
      </c>
      <c r="E92" s="238"/>
      <c r="F92" s="238"/>
      <c r="G92" s="238"/>
      <c r="H92" s="238"/>
      <c r="I92" s="238"/>
      <c r="J92" s="238"/>
      <c r="K92" s="238"/>
      <c r="L92" s="238"/>
      <c r="M92" s="238"/>
      <c r="N92" s="238"/>
      <c r="O92" s="238"/>
      <c r="P92" s="238"/>
      <c r="Q92" s="238">
        <f>-273-20-129-82</f>
        <v>-504</v>
      </c>
      <c r="R92" s="238">
        <f>-425-31-202-129</f>
        <v>-787</v>
      </c>
      <c r="S92" s="238">
        <f>-578-42-275-175</f>
        <v>-1070</v>
      </c>
    </row>
    <row r="93" spans="1:19">
      <c r="A93" s="12" t="s">
        <v>337</v>
      </c>
      <c r="D93" s="352" t="s">
        <v>335</v>
      </c>
      <c r="E93" s="346"/>
      <c r="F93" s="346"/>
      <c r="G93" s="346"/>
      <c r="H93" s="346"/>
      <c r="I93" s="346"/>
      <c r="J93" s="346"/>
      <c r="K93" s="346"/>
      <c r="L93" s="346"/>
      <c r="M93" s="346"/>
      <c r="N93" s="346">
        <f>-236-78</f>
        <v>-314</v>
      </c>
      <c r="O93" s="346">
        <f>-476-429</f>
        <v>-905</v>
      </c>
      <c r="P93" s="346">
        <f>-501-36-240-153</f>
        <v>-930</v>
      </c>
      <c r="Q93" s="346">
        <f>-448-33-215-136</f>
        <v>-832</v>
      </c>
      <c r="R93" s="346">
        <f>-395-189-121</f>
        <v>-705</v>
      </c>
      <c r="S93" s="238">
        <f>-342-163-104</f>
        <v>-609</v>
      </c>
    </row>
    <row r="94" spans="1:19">
      <c r="A94" s="12" t="s">
        <v>338</v>
      </c>
      <c r="D94" s="352" t="s">
        <v>346</v>
      </c>
      <c r="E94" s="346"/>
      <c r="F94" s="346"/>
      <c r="G94" s="346"/>
      <c r="H94" s="346"/>
      <c r="I94" s="346"/>
      <c r="J94" s="346"/>
      <c r="K94" s="346"/>
      <c r="L94" s="346"/>
      <c r="M94" s="346"/>
      <c r="N94" s="346">
        <v>5075</v>
      </c>
      <c r="O94" s="346">
        <v>4398</v>
      </c>
      <c r="P94" s="346">
        <v>3721</v>
      </c>
      <c r="Q94" s="346">
        <v>3045</v>
      </c>
      <c r="R94" s="346">
        <v>2368</v>
      </c>
      <c r="S94" s="238">
        <v>1692</v>
      </c>
    </row>
    <row r="95" spans="1:19">
      <c r="A95" s="12" t="s">
        <v>338</v>
      </c>
      <c r="D95" s="352" t="s">
        <v>335</v>
      </c>
      <c r="E95" s="346"/>
      <c r="F95" s="346"/>
      <c r="G95" s="346"/>
      <c r="H95" s="346"/>
      <c r="I95" s="346"/>
      <c r="J95" s="346"/>
      <c r="K95" s="346"/>
      <c r="L95" s="346"/>
      <c r="M95" s="346"/>
      <c r="N95" s="346">
        <v>-1776</v>
      </c>
      <c r="O95" s="346">
        <v>-1539</v>
      </c>
      <c r="P95" s="346">
        <v>-1303</v>
      </c>
      <c r="Q95" s="346">
        <v>-1066</v>
      </c>
      <c r="R95" s="346">
        <v>-829</v>
      </c>
      <c r="S95" s="238">
        <v>-592</v>
      </c>
    </row>
    <row r="96" spans="1:19">
      <c r="A96" s="12" t="s">
        <v>339</v>
      </c>
      <c r="D96" s="352" t="s">
        <v>346</v>
      </c>
      <c r="E96" s="346"/>
      <c r="F96" s="346"/>
      <c r="G96" s="346"/>
      <c r="H96" s="346"/>
      <c r="I96" s="346"/>
      <c r="J96" s="346"/>
      <c r="K96" s="346"/>
      <c r="L96" s="346"/>
      <c r="M96" s="346"/>
      <c r="N96" s="346"/>
      <c r="O96" s="346">
        <v>279</v>
      </c>
      <c r="P96" s="346">
        <v>6007</v>
      </c>
      <c r="Q96" s="346">
        <v>4647</v>
      </c>
      <c r="R96" s="346">
        <v>3287</v>
      </c>
      <c r="S96" s="238">
        <v>1927</v>
      </c>
    </row>
    <row r="97" spans="1:19">
      <c r="A97" s="12" t="s">
        <v>339</v>
      </c>
      <c r="D97" s="352" t="s">
        <v>335</v>
      </c>
      <c r="E97" s="346"/>
      <c r="F97" s="346"/>
      <c r="G97" s="346"/>
      <c r="H97" s="346"/>
      <c r="I97" s="346"/>
      <c r="J97" s="346"/>
      <c r="K97" s="346"/>
      <c r="L97" s="346"/>
      <c r="M97" s="346"/>
      <c r="N97" s="346"/>
      <c r="O97" s="346">
        <v>-98</v>
      </c>
      <c r="P97" s="346">
        <v>-2102</v>
      </c>
      <c r="Q97" s="346">
        <v>-1626</v>
      </c>
      <c r="R97" s="346">
        <v>-1150</v>
      </c>
      <c r="S97" s="238">
        <v>-674</v>
      </c>
    </row>
    <row r="98" spans="1:19">
      <c r="A98" s="12" t="s">
        <v>343</v>
      </c>
      <c r="D98" s="352" t="s">
        <v>346</v>
      </c>
      <c r="E98" s="346">
        <v>24</v>
      </c>
      <c r="F98" s="346">
        <v>479</v>
      </c>
      <c r="G98" s="346">
        <v>286</v>
      </c>
      <c r="H98" s="346">
        <v>95</v>
      </c>
      <c r="I98" s="346"/>
      <c r="J98" s="346"/>
      <c r="K98" s="346"/>
      <c r="L98" s="346"/>
      <c r="M98" s="346"/>
      <c r="N98" s="346"/>
      <c r="O98" s="346"/>
      <c r="P98" s="346"/>
      <c r="Q98" s="346"/>
      <c r="R98" s="346"/>
      <c r="S98" s="238"/>
    </row>
    <row r="99" spans="1:19">
      <c r="A99" s="12" t="s">
        <v>340</v>
      </c>
      <c r="D99" s="352" t="s">
        <v>347</v>
      </c>
      <c r="E99" s="346">
        <v>-848</v>
      </c>
      <c r="F99" s="346">
        <v>-487</v>
      </c>
      <c r="G99" s="346">
        <v>-245</v>
      </c>
      <c r="H99" s="346">
        <v>-225</v>
      </c>
      <c r="I99" s="346">
        <v>-223</v>
      </c>
      <c r="J99" s="346">
        <v>-248</v>
      </c>
      <c r="K99" s="346">
        <v>-267</v>
      </c>
      <c r="L99" s="346">
        <v>-258</v>
      </c>
      <c r="M99" s="346">
        <v>-232</v>
      </c>
      <c r="N99" s="346">
        <v>-257</v>
      </c>
      <c r="O99" s="346">
        <v>-279</v>
      </c>
      <c r="P99" s="346">
        <f>-248-22</f>
        <v>-270</v>
      </c>
      <c r="Q99" s="346">
        <v>-236</v>
      </c>
      <c r="R99" s="346">
        <v>-363</v>
      </c>
      <c r="S99" s="238">
        <v>-438</v>
      </c>
    </row>
    <row r="100" spans="1:19">
      <c r="A100" s="12" t="s">
        <v>341</v>
      </c>
      <c r="D100" s="352" t="s">
        <v>347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>
        <v>-3060</v>
      </c>
      <c r="O100" s="346">
        <v>-3419</v>
      </c>
      <c r="P100" s="346">
        <v>-3743</v>
      </c>
      <c r="Q100" s="346">
        <v>-2942</v>
      </c>
      <c r="R100" s="346">
        <v>-1222</v>
      </c>
      <c r="S100" s="238">
        <v>-1720</v>
      </c>
    </row>
    <row r="101" spans="1:19">
      <c r="A101" s="12"/>
      <c r="S101" s="236"/>
    </row>
    <row r="102" spans="1:19">
      <c r="A102" s="12" t="s">
        <v>8</v>
      </c>
      <c r="E102" s="347">
        <f t="shared" ref="E102:M102" si="24">SUM(E76:E100)</f>
        <v>-80657</v>
      </c>
      <c r="F102" s="347">
        <f t="shared" si="24"/>
        <v>-64763</v>
      </c>
      <c r="G102" s="347">
        <f t="shared" si="24"/>
        <v>22356</v>
      </c>
      <c r="H102" s="347">
        <f t="shared" si="24"/>
        <v>21841</v>
      </c>
      <c r="I102" s="347">
        <f t="shared" si="24"/>
        <v>20255</v>
      </c>
      <c r="J102" s="347">
        <f t="shared" si="24"/>
        <v>20751</v>
      </c>
      <c r="K102" s="347">
        <f t="shared" si="24"/>
        <v>18799</v>
      </c>
      <c r="L102" s="347">
        <f t="shared" si="24"/>
        <v>21020</v>
      </c>
      <c r="M102" s="347">
        <f t="shared" si="24"/>
        <v>19593</v>
      </c>
      <c r="N102" s="347">
        <f t="shared" ref="N102:S102" si="25">SUM(N76:N100)</f>
        <v>17776</v>
      </c>
      <c r="O102" s="347">
        <f t="shared" si="25"/>
        <v>17776</v>
      </c>
      <c r="P102" s="347">
        <f t="shared" si="25"/>
        <v>18845</v>
      </c>
      <c r="Q102" s="347">
        <f t="shared" si="25"/>
        <v>16438</v>
      </c>
      <c r="R102" s="347">
        <f t="shared" si="25"/>
        <v>14761</v>
      </c>
      <c r="S102" s="550">
        <f t="shared" si="25"/>
        <v>10846</v>
      </c>
    </row>
    <row r="103" spans="1:19">
      <c r="A103" s="12" t="s">
        <v>344</v>
      </c>
      <c r="E103" s="347">
        <f>E78+E80+E82+E85+E88+E91+E94+E96+E98</f>
        <v>-86175</v>
      </c>
      <c r="F103" s="347">
        <f t="shared" ref="F103:O103" si="26">F78+F80+F82+F85+F88+F91+F94+F96+F98</f>
        <v>-77770</v>
      </c>
      <c r="G103" s="347">
        <f t="shared" si="26"/>
        <v>53521</v>
      </c>
      <c r="H103" s="347">
        <f t="shared" si="26"/>
        <v>53601</v>
      </c>
      <c r="I103" s="347">
        <f t="shared" si="26"/>
        <v>53340</v>
      </c>
      <c r="J103" s="347">
        <f t="shared" si="26"/>
        <v>53419</v>
      </c>
      <c r="K103" s="347">
        <f t="shared" si="26"/>
        <v>53490</v>
      </c>
      <c r="L103" s="347">
        <f t="shared" si="26"/>
        <v>67386</v>
      </c>
      <c r="M103" s="347">
        <f t="shared" si="26"/>
        <v>67317</v>
      </c>
      <c r="N103" s="347">
        <f t="shared" si="26"/>
        <v>73409</v>
      </c>
      <c r="O103" s="347">
        <f t="shared" si="26"/>
        <v>74943</v>
      </c>
      <c r="P103" s="347"/>
      <c r="Q103" s="347"/>
      <c r="R103" s="347"/>
      <c r="S103" s="550"/>
    </row>
    <row r="104" spans="1:19">
      <c r="A104" s="12" t="s">
        <v>345</v>
      </c>
      <c r="E104" s="347">
        <f>E99+E100</f>
        <v>-848</v>
      </c>
      <c r="F104" s="347">
        <f t="shared" ref="F104:O104" si="27">F99+F100</f>
        <v>-487</v>
      </c>
      <c r="G104" s="347">
        <f t="shared" si="27"/>
        <v>-245</v>
      </c>
      <c r="H104" s="347">
        <f t="shared" si="27"/>
        <v>-225</v>
      </c>
      <c r="I104" s="347">
        <f t="shared" si="27"/>
        <v>-223</v>
      </c>
      <c r="J104" s="347">
        <f t="shared" si="27"/>
        <v>-248</v>
      </c>
      <c r="K104" s="347">
        <f t="shared" si="27"/>
        <v>-267</v>
      </c>
      <c r="L104" s="347">
        <f t="shared" si="27"/>
        <v>-258</v>
      </c>
      <c r="M104" s="347">
        <f t="shared" si="27"/>
        <v>-232</v>
      </c>
      <c r="N104" s="347">
        <f t="shared" si="27"/>
        <v>-3317</v>
      </c>
      <c r="O104" s="347">
        <f t="shared" si="27"/>
        <v>-3698</v>
      </c>
      <c r="P104" s="347"/>
      <c r="Q104" s="347"/>
      <c r="R104" s="347"/>
      <c r="S104" s="550"/>
    </row>
    <row r="105" spans="1:19">
      <c r="A105" s="12" t="s">
        <v>333</v>
      </c>
      <c r="E105" s="347">
        <f>E79+E81+E83+E86+E89+E92</f>
        <v>6337</v>
      </c>
      <c r="F105" s="347">
        <f t="shared" ref="F105:O105" si="28">F79+F81+F83+F86+F89+F92</f>
        <v>13436</v>
      </c>
      <c r="G105" s="347">
        <f t="shared" si="28"/>
        <v>-27242</v>
      </c>
      <c r="H105" s="347">
        <f t="shared" si="28"/>
        <v>-27706</v>
      </c>
      <c r="I105" s="347">
        <f t="shared" si="28"/>
        <v>-28576</v>
      </c>
      <c r="J105" s="347">
        <f t="shared" si="28"/>
        <v>-28288</v>
      </c>
      <c r="K105" s="347">
        <f t="shared" si="28"/>
        <v>-30083</v>
      </c>
      <c r="L105" s="347">
        <f t="shared" si="28"/>
        <v>-41013</v>
      </c>
      <c r="M105" s="347">
        <f t="shared" si="28"/>
        <v>-42866</v>
      </c>
      <c r="N105" s="347">
        <f t="shared" si="28"/>
        <v>-46289</v>
      </c>
      <c r="O105" s="347">
        <f t="shared" si="28"/>
        <v>-47236</v>
      </c>
      <c r="P105" s="347"/>
      <c r="Q105" s="347"/>
      <c r="R105" s="347"/>
      <c r="S105" s="550"/>
    </row>
    <row r="106" spans="1:19">
      <c r="A106" s="12" t="s">
        <v>335</v>
      </c>
      <c r="E106" s="347">
        <f>E77+E84+E87+E90+E93+E95+E97</f>
        <v>1529</v>
      </c>
      <c r="F106" s="347">
        <f t="shared" ref="F106:O106" si="29">F77+F84+F87+F90+F93+F95+F97</f>
        <v>1428</v>
      </c>
      <c r="G106" s="347">
        <f t="shared" si="29"/>
        <v>-2440</v>
      </c>
      <c r="H106" s="347">
        <f t="shared" si="29"/>
        <v>-2723</v>
      </c>
      <c r="I106" s="347">
        <f t="shared" si="29"/>
        <v>-3571</v>
      </c>
      <c r="J106" s="347">
        <f t="shared" si="29"/>
        <v>-3289</v>
      </c>
      <c r="K106" s="347">
        <f t="shared" si="29"/>
        <v>-3888</v>
      </c>
      <c r="L106" s="347">
        <f t="shared" si="29"/>
        <v>-4513</v>
      </c>
      <c r="M106" s="347">
        <f t="shared" si="29"/>
        <v>-4175</v>
      </c>
      <c r="N106" s="347">
        <f t="shared" si="29"/>
        <v>-5705</v>
      </c>
      <c r="O106" s="347">
        <f t="shared" si="29"/>
        <v>-6106</v>
      </c>
      <c r="P106" s="347"/>
      <c r="Q106" s="347"/>
      <c r="R106" s="347"/>
      <c r="S106" s="550"/>
    </row>
    <row r="107" spans="1:19">
      <c r="A107" s="12" t="s">
        <v>239</v>
      </c>
      <c r="E107" s="347">
        <f t="shared" ref="E107" si="30">E76</f>
        <v>-1500</v>
      </c>
      <c r="F107" s="347">
        <f t="shared" ref="F107:O107" si="31">F76</f>
        <v>-1370</v>
      </c>
      <c r="G107" s="347">
        <f t="shared" si="31"/>
        <v>-1238</v>
      </c>
      <c r="H107" s="347">
        <f t="shared" si="31"/>
        <v>-1106</v>
      </c>
      <c r="I107" s="347">
        <f t="shared" si="31"/>
        <v>-715</v>
      </c>
      <c r="J107" s="347">
        <f t="shared" si="31"/>
        <v>-843</v>
      </c>
      <c r="K107" s="347">
        <f t="shared" si="31"/>
        <v>-453</v>
      </c>
      <c r="L107" s="347">
        <f t="shared" si="31"/>
        <v>-582</v>
      </c>
      <c r="M107" s="347">
        <f t="shared" si="31"/>
        <v>-451</v>
      </c>
      <c r="N107" s="347">
        <f t="shared" si="31"/>
        <v>-322</v>
      </c>
      <c r="O107" s="347">
        <f t="shared" si="31"/>
        <v>-127</v>
      </c>
      <c r="P107" s="347">
        <f>P69</f>
        <v>32534</v>
      </c>
      <c r="Q107" s="347">
        <f t="shared" ref="Q107" si="32">Q69</f>
        <v>16438</v>
      </c>
      <c r="R107" s="347">
        <f>R69</f>
        <v>14761</v>
      </c>
      <c r="S107" s="550">
        <f>S69</f>
        <v>10846</v>
      </c>
    </row>
    <row r="108" spans="1:19">
      <c r="S108" s="236"/>
    </row>
    <row r="109" spans="1:19">
      <c r="O109" s="352" t="s">
        <v>491</v>
      </c>
      <c r="P109" s="347">
        <f>P102-P107</f>
        <v>-13689</v>
      </c>
      <c r="S109" s="236"/>
    </row>
    <row r="110" spans="1:19">
      <c r="O110" s="352" t="s">
        <v>492</v>
      </c>
      <c r="P110" s="347">
        <f>-P109</f>
        <v>13689</v>
      </c>
      <c r="S110" s="236"/>
    </row>
    <row r="111" spans="1:19">
      <c r="P111" s="347"/>
      <c r="Q111" s="347"/>
      <c r="R111" s="347"/>
      <c r="S111" s="347"/>
    </row>
  </sheetData>
  <printOptions horizontalCentered="1"/>
  <pageMargins left="0.23" right="0.2" top="0.75" bottom="0.75" header="0.3" footer="0.54"/>
  <pageSetup scale="80" orientation="landscape" r:id="rId1"/>
  <headerFooter>
    <oddFooter>&amp;C&amp;F /&amp;A&amp;RPage &amp;P</oddFooter>
  </headerFooter>
  <rowBreaks count="2" manualBreakCount="2">
    <brk id="48" max="16383" man="1"/>
    <brk id="73" max="16383" man="1"/>
  </rowBreaks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X57"/>
  <sheetViews>
    <sheetView topLeftCell="E1" workbookViewId="0">
      <selection activeCell="T1" sqref="T1"/>
    </sheetView>
  </sheetViews>
  <sheetFormatPr defaultColWidth="9.140625" defaultRowHeight="12.75"/>
  <cols>
    <col min="1" max="1" width="6.7109375" style="156" hidden="1" customWidth="1"/>
    <col min="2" max="2" width="3.42578125" style="156" hidden="1" customWidth="1"/>
    <col min="3" max="3" width="26.140625" style="156" hidden="1" customWidth="1"/>
    <col min="4" max="4" width="9" style="156" hidden="1" customWidth="1"/>
    <col min="5" max="5" width="6.7109375" style="156" customWidth="1"/>
    <col min="6" max="6" width="3.42578125" style="156" customWidth="1"/>
    <col min="7" max="7" width="26.140625" style="156" customWidth="1"/>
    <col min="8" max="8" width="9" style="156" bestFit="1" customWidth="1"/>
    <col min="9" max="20" width="7.5703125" style="156" bestFit="1" customWidth="1"/>
    <col min="21" max="22" width="9.140625" style="156"/>
    <col min="23" max="23" width="10.42578125" style="156" customWidth="1"/>
    <col min="24" max="16384" width="9.14062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294</v>
      </c>
    </row>
    <row r="5" spans="1:24">
      <c r="A5" s="156" t="s">
        <v>93</v>
      </c>
      <c r="E5" s="156" t="s">
        <v>93</v>
      </c>
    </row>
    <row r="7" spans="1:24">
      <c r="I7" s="165">
        <v>2000</v>
      </c>
      <c r="J7" s="165">
        <v>2001</v>
      </c>
      <c r="K7" s="165">
        <v>2002</v>
      </c>
      <c r="L7" s="165">
        <v>2003</v>
      </c>
      <c r="M7" s="165">
        <v>2004</v>
      </c>
      <c r="N7" s="165">
        <v>2005</v>
      </c>
      <c r="O7" s="165">
        <v>2006</v>
      </c>
      <c r="P7" s="165">
        <v>2007</v>
      </c>
      <c r="Q7" s="165">
        <v>2008</v>
      </c>
      <c r="R7" s="165">
        <v>2009</v>
      </c>
      <c r="S7" s="165">
        <v>2010</v>
      </c>
      <c r="T7" s="165">
        <v>2011</v>
      </c>
      <c r="U7" s="165">
        <v>2012</v>
      </c>
      <c r="V7" s="523" t="s">
        <v>603</v>
      </c>
      <c r="W7" s="523"/>
      <c r="X7" s="524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158" t="s">
        <v>92</v>
      </c>
      <c r="N8" s="158" t="s">
        <v>92</v>
      </c>
      <c r="O8" s="158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31" t="s">
        <v>497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236</v>
      </c>
      <c r="J9" s="159" t="s">
        <v>236</v>
      </c>
      <c r="K9" s="159" t="s">
        <v>236</v>
      </c>
      <c r="L9" s="159" t="s">
        <v>236</v>
      </c>
      <c r="M9" s="159" t="s">
        <v>236</v>
      </c>
      <c r="N9" s="159" t="s">
        <v>236</v>
      </c>
      <c r="O9" s="159" t="s">
        <v>236</v>
      </c>
      <c r="P9" s="159" t="s">
        <v>236</v>
      </c>
      <c r="Q9" s="159" t="s">
        <v>236</v>
      </c>
      <c r="R9" s="159" t="s">
        <v>236</v>
      </c>
      <c r="S9" s="159" t="s">
        <v>236</v>
      </c>
      <c r="T9" s="159" t="s">
        <v>236</v>
      </c>
      <c r="U9" s="159" t="s">
        <v>236</v>
      </c>
    </row>
    <row r="10" spans="1:24">
      <c r="A10" s="158"/>
      <c r="E10" s="158"/>
    </row>
    <row r="11" spans="1:24">
      <c r="A11" s="158"/>
      <c r="B11" s="156" t="s">
        <v>86</v>
      </c>
      <c r="E11" s="158"/>
      <c r="F11" s="156" t="s">
        <v>86</v>
      </c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161">
        <f>ROR!F35</f>
        <v>0.95411999999999997</v>
      </c>
      <c r="I12" s="162">
        <f>I35/$H12</f>
        <v>-3608.5607680375633</v>
      </c>
      <c r="J12" s="162">
        <f>J35/$H12</f>
        <v>-5317.9893514442629</v>
      </c>
      <c r="K12" s="162">
        <f>K35/$H12</f>
        <v>-6355.5946841068208</v>
      </c>
      <c r="L12" s="162">
        <f>L35/$H12</f>
        <v>-6424.7683729509918</v>
      </c>
      <c r="M12" s="162">
        <f>M35/$H12</f>
        <v>-7071.4375550245259</v>
      </c>
      <c r="N12" s="162">
        <f t="shared" ref="N12:U12" si="0">N35/$D12</f>
        <v>-6918.6472620668001</v>
      </c>
      <c r="O12" s="162">
        <f t="shared" si="0"/>
        <v>-6889.3309601088895</v>
      </c>
      <c r="P12" s="162">
        <f t="shared" si="0"/>
        <v>-6980.4208983352528</v>
      </c>
      <c r="Q12" s="162">
        <f t="shared" si="0"/>
        <v>-12660.454402680349</v>
      </c>
      <c r="R12" s="162">
        <f t="shared" si="0"/>
        <v>-19767.563605905143</v>
      </c>
      <c r="S12" s="162">
        <f t="shared" si="0"/>
        <v>-20398.911108784421</v>
      </c>
      <c r="T12" s="162">
        <f t="shared" si="0"/>
        <v>-21047.010784211077</v>
      </c>
      <c r="U12" s="162">
        <f t="shared" si="0"/>
        <v>-17700.764317872476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I15" s="162">
        <f>SUM(I12:I14)</f>
        <v>-3608.5607680375633</v>
      </c>
      <c r="J15" s="162">
        <f>SUM(J12:J14)</f>
        <v>-5317.9893514442629</v>
      </c>
      <c r="K15" s="162">
        <f>SUM(K12:K14)</f>
        <v>-6355.5946841068208</v>
      </c>
      <c r="L15" s="162">
        <f>SUM(L12:L14)</f>
        <v>-6424.7683729509918</v>
      </c>
      <c r="M15" s="162">
        <f>SUM(M12:M14)</f>
        <v>-7071.4375550245259</v>
      </c>
      <c r="N15" s="162">
        <f t="shared" ref="N15:T15" si="1">SUM(N12:N14)</f>
        <v>-6918.6472620668001</v>
      </c>
      <c r="O15" s="162">
        <f t="shared" si="1"/>
        <v>-6889.3309601088895</v>
      </c>
      <c r="P15" s="162">
        <f t="shared" si="1"/>
        <v>-6980.4208983352528</v>
      </c>
      <c r="Q15" s="162">
        <f t="shared" si="1"/>
        <v>-12660.454402680349</v>
      </c>
      <c r="R15" s="162">
        <f t="shared" si="1"/>
        <v>-19767.563605905143</v>
      </c>
      <c r="S15" s="162">
        <f t="shared" si="1"/>
        <v>-20398.911108784421</v>
      </c>
      <c r="T15" s="162">
        <f t="shared" si="1"/>
        <v>-21047.010784211077</v>
      </c>
      <c r="U15" s="162">
        <f t="shared" ref="U15" si="2">SUM(U12:U14)</f>
        <v>-17700.764317872476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I17" s="162">
        <f>I15+I16</f>
        <v>-3608.5607680375633</v>
      </c>
      <c r="J17" s="162">
        <f>J15+J16</f>
        <v>-5317.9893514442629</v>
      </c>
      <c r="K17" s="162">
        <f>K15+K16</f>
        <v>-6355.5946841068208</v>
      </c>
      <c r="L17" s="162">
        <f>L15+L16</f>
        <v>-6424.7683729509918</v>
      </c>
      <c r="M17" s="162">
        <f>M15+M16</f>
        <v>-7071.4375550245259</v>
      </c>
      <c r="N17" s="162">
        <f t="shared" ref="N17:T17" si="3">N15+N16</f>
        <v>-6918.6472620668001</v>
      </c>
      <c r="O17" s="162">
        <f t="shared" si="3"/>
        <v>-6889.3309601088895</v>
      </c>
      <c r="P17" s="162">
        <f t="shared" si="3"/>
        <v>-6980.4208983352528</v>
      </c>
      <c r="Q17" s="162">
        <f t="shared" si="3"/>
        <v>-12660.454402680349</v>
      </c>
      <c r="R17" s="162">
        <f t="shared" si="3"/>
        <v>-19767.563605905143</v>
      </c>
      <c r="S17" s="162">
        <f t="shared" si="3"/>
        <v>-20398.911108784421</v>
      </c>
      <c r="T17" s="162">
        <f t="shared" si="3"/>
        <v>-21047.010784211077</v>
      </c>
      <c r="U17" s="162">
        <f t="shared" ref="U17" si="4">U15+U16</f>
        <v>-17700.764317872476</v>
      </c>
    </row>
    <row r="18" spans="1:21">
      <c r="A18" s="158"/>
      <c r="E18" s="158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I26" s="162">
        <f>SUM(I21:I25)</f>
        <v>0</v>
      </c>
      <c r="J26" s="162">
        <f>SUM(J21:J25)</f>
        <v>0</v>
      </c>
      <c r="K26" s="162">
        <f>SUM(K21:K25)</f>
        <v>0</v>
      </c>
      <c r="L26" s="162">
        <f>SUM(L21:L25)</f>
        <v>0</v>
      </c>
      <c r="M26" s="162">
        <f>SUM(M21:M25)</f>
        <v>0</v>
      </c>
      <c r="N26" s="162">
        <f t="shared" ref="N26:T26" si="5">SUM(N21:N25)</f>
        <v>0</v>
      </c>
      <c r="O26" s="162">
        <f t="shared" si="5"/>
        <v>0</v>
      </c>
      <c r="P26" s="162">
        <f t="shared" si="5"/>
        <v>0</v>
      </c>
      <c r="Q26" s="162">
        <f t="shared" si="5"/>
        <v>0</v>
      </c>
      <c r="R26" s="162">
        <f t="shared" si="5"/>
        <v>0</v>
      </c>
      <c r="S26" s="162">
        <f t="shared" si="5"/>
        <v>0</v>
      </c>
      <c r="T26" s="162">
        <f t="shared" si="5"/>
        <v>0</v>
      </c>
      <c r="U26" s="162">
        <f t="shared" ref="U26" si="6">SUM(U21:U25)</f>
        <v>0</v>
      </c>
    </row>
    <row r="27" spans="1:21">
      <c r="A27" s="158"/>
      <c r="E27" s="158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ROR!F31</f>
        <v>3.8526999999999999E-2</v>
      </c>
      <c r="I31" s="163">
        <f>I12*$H31</f>
        <v>-139.02702071018319</v>
      </c>
      <c r="J31" s="163">
        <f>J12*$H31</f>
        <v>-204.8861757430931</v>
      </c>
      <c r="K31" s="163">
        <f>K12*$H31</f>
        <v>-244.86199639458349</v>
      </c>
      <c r="L31" s="163">
        <f>L12*$H31</f>
        <v>-247.52705110468284</v>
      </c>
      <c r="M31" s="163">
        <f>M12*$H31</f>
        <v>-272.44127468242988</v>
      </c>
      <c r="N31" s="163">
        <f>N12*$D31</f>
        <v>-266.79687571981992</v>
      </c>
      <c r="O31" s="163">
        <f>O12*$D31</f>
        <v>-265.66638048371897</v>
      </c>
      <c r="P31" s="163">
        <f t="shared" ref="P31:U31" si="7">P12*$D31</f>
        <v>-269.17899068160403</v>
      </c>
      <c r="Q31" s="163">
        <f t="shared" si="7"/>
        <v>-488.21244267615958</v>
      </c>
      <c r="R31" s="163">
        <f t="shared" si="7"/>
        <v>-762.2767877709141</v>
      </c>
      <c r="S31" s="163">
        <f t="shared" si="7"/>
        <v>-786.62281017694488</v>
      </c>
      <c r="T31" s="163">
        <f t="shared" si="7"/>
        <v>-811.61482986074759</v>
      </c>
      <c r="U31" s="163">
        <f t="shared" si="7"/>
        <v>-682.57687362579838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-139.02702071018319</v>
      </c>
      <c r="J32" s="162">
        <f>SUM(J29:J31)</f>
        <v>-204.8861757430931</v>
      </c>
      <c r="K32" s="162">
        <f>SUM(K29:K31)</f>
        <v>-244.86199639458349</v>
      </c>
      <c r="L32" s="162">
        <f>SUM(L29:L31)</f>
        <v>-247.52705110468284</v>
      </c>
      <c r="M32" s="162">
        <f>SUM(M29:M31)</f>
        <v>-272.44127468242988</v>
      </c>
      <c r="N32" s="162">
        <f t="shared" ref="N32:T32" si="8">SUM(N29:N31)</f>
        <v>-266.79687571981992</v>
      </c>
      <c r="O32" s="162">
        <f t="shared" si="8"/>
        <v>-265.66638048371897</v>
      </c>
      <c r="P32" s="162">
        <f t="shared" si="8"/>
        <v>-269.17899068160403</v>
      </c>
      <c r="Q32" s="162">
        <f t="shared" si="8"/>
        <v>-488.21244267615958</v>
      </c>
      <c r="R32" s="162">
        <f t="shared" si="8"/>
        <v>-762.2767877709141</v>
      </c>
      <c r="S32" s="162">
        <f t="shared" si="8"/>
        <v>-786.62281017694488</v>
      </c>
      <c r="T32" s="162">
        <f t="shared" si="8"/>
        <v>-811.61482986074759</v>
      </c>
      <c r="U32" s="162">
        <f t="shared" ref="U32" si="9">SUM(U29:U31)</f>
        <v>-682.57687362579838</v>
      </c>
    </row>
    <row r="33" spans="1:21">
      <c r="A33" s="158"/>
      <c r="E33" s="158"/>
      <c r="H33" s="208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ROR!F27</f>
        <v>5.3530000000000001E-3</v>
      </c>
      <c r="I34" s="162">
        <f>I12*$H34</f>
        <v>-19.316625791305079</v>
      </c>
      <c r="J34" s="162">
        <f>J12*$H34</f>
        <v>-28.467196998281139</v>
      </c>
      <c r="K34" s="162">
        <f>K12*$H34</f>
        <v>-34.021498344023811</v>
      </c>
      <c r="L34" s="162">
        <f>L12*$H34</f>
        <v>-34.391785100406658</v>
      </c>
      <c r="M34" s="162">
        <f>M12*$H34</f>
        <v>-37.853405232046285</v>
      </c>
      <c r="N34" s="162">
        <f t="shared" ref="N34:T34" si="10">N12*$D34</f>
        <v>-30.013091822845777</v>
      </c>
      <c r="O34" s="162">
        <f t="shared" si="10"/>
        <v>-29.885917704952362</v>
      </c>
      <c r="P34" s="162">
        <f t="shared" si="10"/>
        <v>-30.281065856978326</v>
      </c>
      <c r="Q34" s="162">
        <f t="shared" si="10"/>
        <v>-54.92105119882735</v>
      </c>
      <c r="R34" s="162">
        <f t="shared" si="10"/>
        <v>-85.7516909224165</v>
      </c>
      <c r="S34" s="162">
        <f t="shared" si="10"/>
        <v>-88.490476389906817</v>
      </c>
      <c r="T34" s="162">
        <f t="shared" si="10"/>
        <v>-91.301932781907652</v>
      </c>
      <c r="U34" s="162">
        <f t="shared" ref="U34" si="11">U12*$D34</f>
        <v>-76.7859156109308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>
        <v>-3443</v>
      </c>
      <c r="J35" s="162">
        <v>-5074</v>
      </c>
      <c r="K35" s="162">
        <v>-6064</v>
      </c>
      <c r="L35" s="162">
        <v>-6130</v>
      </c>
      <c r="M35" s="162">
        <f>-6330-417</f>
        <v>-6747</v>
      </c>
      <c r="N35" s="162">
        <v>-6608</v>
      </c>
      <c r="O35" s="162">
        <v>-6580</v>
      </c>
      <c r="P35" s="162">
        <v>-6667</v>
      </c>
      <c r="Q35" s="162">
        <v>-12092</v>
      </c>
      <c r="R35" s="162">
        <v>-18880</v>
      </c>
      <c r="S35" s="162">
        <v>-19483</v>
      </c>
      <c r="T35" s="162">
        <v>-20102</v>
      </c>
      <c r="U35" s="162">
        <f>-17498+592</f>
        <v>-16906</v>
      </c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ROR!F29</f>
        <v>2E-3</v>
      </c>
      <c r="I39" s="162">
        <f>I12*$H39</f>
        <v>-7.2171215360751271</v>
      </c>
      <c r="J39" s="162">
        <f>J12*$H39</f>
        <v>-10.635978702888526</v>
      </c>
      <c r="K39" s="162">
        <f>K12*$H39</f>
        <v>-12.711189368213642</v>
      </c>
      <c r="L39" s="162">
        <f>L12*$H39</f>
        <v>-12.849536745901984</v>
      </c>
      <c r="M39" s="162">
        <f>M12*$H39</f>
        <v>-14.142875110049053</v>
      </c>
      <c r="N39" s="162">
        <f t="shared" ref="N39:T39" si="12">N12*$D39</f>
        <v>-13.837294524133601</v>
      </c>
      <c r="O39" s="162">
        <f t="shared" si="12"/>
        <v>-13.778661920217779</v>
      </c>
      <c r="P39" s="162">
        <f t="shared" si="12"/>
        <v>-13.960841796670506</v>
      </c>
      <c r="Q39" s="162">
        <f t="shared" si="12"/>
        <v>-25.320908805360698</v>
      </c>
      <c r="R39" s="162">
        <f t="shared" si="12"/>
        <v>-39.535127211810284</v>
      </c>
      <c r="S39" s="162">
        <f t="shared" si="12"/>
        <v>-40.797822217568843</v>
      </c>
      <c r="T39" s="162">
        <f t="shared" si="12"/>
        <v>-42.094021568422157</v>
      </c>
      <c r="U39" s="162">
        <f t="shared" ref="U39" si="13">U12*$D39</f>
        <v>-35.401528635744953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-7.2171215360751271</v>
      </c>
      <c r="J42" s="164">
        <f>SUM(J39:J41)</f>
        <v>-10.635978702888526</v>
      </c>
      <c r="K42" s="164">
        <f>SUM(K39:K41)</f>
        <v>-12.711189368213642</v>
      </c>
      <c r="L42" s="164">
        <f>SUM(L39:L41)</f>
        <v>-12.849536745901984</v>
      </c>
      <c r="M42" s="164">
        <f>SUM(M39:M41)</f>
        <v>-14.142875110049053</v>
      </c>
      <c r="N42" s="164">
        <f t="shared" ref="N42:T42" si="14">SUM(N39:N41)</f>
        <v>-13.837294524133601</v>
      </c>
      <c r="O42" s="164">
        <f t="shared" si="14"/>
        <v>-13.778661920217779</v>
      </c>
      <c r="P42" s="164">
        <f t="shared" si="14"/>
        <v>-13.960841796670506</v>
      </c>
      <c r="Q42" s="164">
        <f t="shared" si="14"/>
        <v>-25.320908805360698</v>
      </c>
      <c r="R42" s="164">
        <f t="shared" si="14"/>
        <v>-39.535127211810284</v>
      </c>
      <c r="S42" s="164">
        <f t="shared" si="14"/>
        <v>-40.797822217568843</v>
      </c>
      <c r="T42" s="164">
        <f t="shared" si="14"/>
        <v>-42.094021568422157</v>
      </c>
      <c r="U42" s="164">
        <f t="shared" ref="U42" si="15">SUM(U39:U41)</f>
        <v>-35.401528635744953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-3608.5607680375633</v>
      </c>
      <c r="J43" s="164">
        <f>J26+J32+J34+J35+J36+J42</f>
        <v>-5317.9893514442629</v>
      </c>
      <c r="K43" s="164">
        <f>K26+K32+K34+K35+K36+K42</f>
        <v>-6355.5946841068217</v>
      </c>
      <c r="L43" s="164">
        <f>L26+L32+L34+L35+L36+L42</f>
        <v>-6424.7683729509918</v>
      </c>
      <c r="M43" s="164">
        <f>M26+M32+M34+M35+M36+M42</f>
        <v>-7071.4375550245259</v>
      </c>
      <c r="N43" s="164">
        <f t="shared" ref="N43:T43" si="16">N26+N32+N34+N35+N36+N42</f>
        <v>-6918.6472620667992</v>
      </c>
      <c r="O43" s="164">
        <f t="shared" si="16"/>
        <v>-6889.3309601088895</v>
      </c>
      <c r="P43" s="164">
        <f t="shared" si="16"/>
        <v>-6980.4208983352528</v>
      </c>
      <c r="Q43" s="164">
        <f t="shared" si="16"/>
        <v>-12660.454402680347</v>
      </c>
      <c r="R43" s="164">
        <f t="shared" si="16"/>
        <v>-19767.563605905139</v>
      </c>
      <c r="S43" s="164">
        <f t="shared" si="16"/>
        <v>-20398.911108784421</v>
      </c>
      <c r="T43" s="164">
        <f t="shared" si="16"/>
        <v>-21047.010784211077</v>
      </c>
      <c r="U43" s="164">
        <f t="shared" ref="U43" si="17">U26+U32+U34+U35+U36+U42</f>
        <v>-17700.764317872476</v>
      </c>
    </row>
    <row r="44" spans="1:21">
      <c r="A44" s="158"/>
      <c r="E44" s="158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162">
        <f>M17-M43</f>
        <v>0</v>
      </c>
      <c r="N45" s="162">
        <f t="shared" ref="N45:T45" si="18">N17-N43</f>
        <v>0</v>
      </c>
      <c r="O45" s="162">
        <f t="shared" si="18"/>
        <v>0</v>
      </c>
      <c r="P45" s="162">
        <f t="shared" si="18"/>
        <v>0</v>
      </c>
      <c r="Q45" s="162">
        <f t="shared" si="18"/>
        <v>0</v>
      </c>
      <c r="R45" s="162">
        <f t="shared" si="18"/>
        <v>0</v>
      </c>
      <c r="S45" s="162">
        <f t="shared" si="18"/>
        <v>0</v>
      </c>
      <c r="T45" s="162">
        <f t="shared" si="18"/>
        <v>0</v>
      </c>
      <c r="U45" s="162">
        <f t="shared" ref="U45" si="19">U17-U43</f>
        <v>0</v>
      </c>
    </row>
    <row r="46" spans="1:21">
      <c r="A46" s="158"/>
      <c r="E46" s="158"/>
      <c r="I46" s="162"/>
      <c r="J46" s="162"/>
      <c r="K46" s="162"/>
      <c r="L46" s="162"/>
      <c r="M46" s="162"/>
      <c r="N46" s="162"/>
      <c r="O46" s="162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162">
        <f>ROUND(0.35*M45,0)</f>
        <v>0</v>
      </c>
      <c r="N48" s="162">
        <f t="shared" ref="N48:T48" si="20">ROUND(0.35*N45,0)</f>
        <v>0</v>
      </c>
      <c r="O48" s="162">
        <f t="shared" si="20"/>
        <v>0</v>
      </c>
      <c r="P48" s="162">
        <f t="shared" si="20"/>
        <v>0</v>
      </c>
      <c r="Q48" s="162">
        <f t="shared" si="20"/>
        <v>0</v>
      </c>
      <c r="R48" s="162">
        <f t="shared" si="20"/>
        <v>0</v>
      </c>
      <c r="S48" s="162">
        <f t="shared" si="20"/>
        <v>0</v>
      </c>
      <c r="T48" s="162">
        <f t="shared" si="20"/>
        <v>0</v>
      </c>
      <c r="U48" s="162">
        <f t="shared" ref="U48" si="21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162">
        <f>M45-M48-M49-M50-M51</f>
        <v>0</v>
      </c>
      <c r="N53" s="162">
        <f t="shared" ref="N53:T53" si="22">N45-N48-N49-N50-N51</f>
        <v>0</v>
      </c>
      <c r="O53" s="162">
        <f t="shared" si="22"/>
        <v>0</v>
      </c>
      <c r="P53" s="162">
        <f t="shared" si="22"/>
        <v>0</v>
      </c>
      <c r="Q53" s="162">
        <f t="shared" si="22"/>
        <v>0</v>
      </c>
      <c r="R53" s="162">
        <f t="shared" si="22"/>
        <v>0</v>
      </c>
      <c r="S53" s="162">
        <f t="shared" si="22"/>
        <v>0</v>
      </c>
      <c r="T53" s="162">
        <f t="shared" si="22"/>
        <v>0</v>
      </c>
      <c r="U53" s="162">
        <f t="shared" ref="U53" si="23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401</v>
      </c>
    </row>
    <row r="56" spans="1:21">
      <c r="F56" s="156" t="s">
        <v>295</v>
      </c>
    </row>
    <row r="57" spans="1:21">
      <c r="F57" s="156" t="s">
        <v>496</v>
      </c>
    </row>
  </sheetData>
  <phoneticPr fontId="55" type="noConversion"/>
  <pageMargins left="0.7" right="0.7" top="0.33" bottom="0.5" header="0.17" footer="0.3"/>
  <pageSetup scale="75" orientation="landscape" r:id="rId1"/>
  <headerFooter>
    <oddFooter>&amp;C&amp;F/&amp;A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X58"/>
  <sheetViews>
    <sheetView topLeftCell="E1" workbookViewId="0">
      <selection activeCell="T1" sqref="T1"/>
    </sheetView>
  </sheetViews>
  <sheetFormatPr defaultColWidth="9.140625" defaultRowHeight="12.75"/>
  <cols>
    <col min="1" max="1" width="6.7109375" style="156" hidden="1" customWidth="1"/>
    <col min="2" max="2" width="3.42578125" style="156" hidden="1" customWidth="1"/>
    <col min="3" max="3" width="26.140625" style="156" hidden="1" customWidth="1"/>
    <col min="4" max="4" width="9" style="156" hidden="1" customWidth="1"/>
    <col min="5" max="5" width="6.7109375" style="156" customWidth="1"/>
    <col min="6" max="6" width="3.42578125" style="156" customWidth="1"/>
    <col min="7" max="7" width="26.140625" style="156" customWidth="1"/>
    <col min="8" max="8" width="9" style="156" bestFit="1" customWidth="1"/>
    <col min="9" max="12" width="7.5703125" style="156" bestFit="1" customWidth="1"/>
    <col min="13" max="15" width="7.5703125" style="208" bestFit="1" customWidth="1"/>
    <col min="16" max="20" width="7.5703125" style="156" bestFit="1" customWidth="1"/>
    <col min="21" max="22" width="9.140625" style="156"/>
    <col min="23" max="23" width="10.42578125" style="156" customWidth="1"/>
    <col min="24" max="16384" width="9.140625" style="156"/>
  </cols>
  <sheetData>
    <row r="2" spans="1:24">
      <c r="A2" s="156" t="s">
        <v>94</v>
      </c>
      <c r="E2" s="156" t="s">
        <v>94</v>
      </c>
    </row>
    <row r="3" spans="1:24">
      <c r="A3" s="156" t="s">
        <v>134</v>
      </c>
      <c r="E3" s="156" t="s">
        <v>134</v>
      </c>
    </row>
    <row r="4" spans="1:24">
      <c r="A4" s="156" t="s">
        <v>233</v>
      </c>
      <c r="E4" s="156" t="s">
        <v>294</v>
      </c>
    </row>
    <row r="5" spans="1:24">
      <c r="A5" s="156" t="s">
        <v>93</v>
      </c>
      <c r="E5" s="156" t="s">
        <v>93</v>
      </c>
    </row>
    <row r="7" spans="1:24">
      <c r="I7" s="157">
        <v>2000</v>
      </c>
      <c r="J7" s="157">
        <v>2001</v>
      </c>
      <c r="K7" s="157">
        <v>2002</v>
      </c>
      <c r="L7" s="157">
        <v>2003</v>
      </c>
      <c r="M7" s="525">
        <v>2004</v>
      </c>
      <c r="N7" s="534">
        <v>2005</v>
      </c>
      <c r="O7" s="525">
        <v>2006</v>
      </c>
      <c r="P7" s="157">
        <v>2007</v>
      </c>
      <c r="Q7" s="157">
        <v>2008</v>
      </c>
      <c r="R7" s="157">
        <v>2009</v>
      </c>
      <c r="S7" s="157">
        <v>2010</v>
      </c>
      <c r="T7" s="157">
        <v>2011</v>
      </c>
      <c r="U7" s="157">
        <v>2012</v>
      </c>
      <c r="V7" s="540" t="s">
        <v>603</v>
      </c>
      <c r="W7" s="540"/>
      <c r="X7" s="663"/>
    </row>
    <row r="8" spans="1:24">
      <c r="A8" s="158" t="s">
        <v>3</v>
      </c>
      <c r="E8" s="158" t="s">
        <v>3</v>
      </c>
      <c r="I8" s="158" t="s">
        <v>92</v>
      </c>
      <c r="J8" s="158" t="s">
        <v>92</v>
      </c>
      <c r="K8" s="158" t="s">
        <v>92</v>
      </c>
      <c r="L8" s="158" t="s">
        <v>92</v>
      </c>
      <c r="M8" s="526" t="s">
        <v>92</v>
      </c>
      <c r="N8" s="535" t="s">
        <v>92</v>
      </c>
      <c r="O8" s="526" t="s">
        <v>92</v>
      </c>
      <c r="P8" s="158" t="s">
        <v>92</v>
      </c>
      <c r="Q8" s="158" t="s">
        <v>92</v>
      </c>
      <c r="R8" s="158" t="s">
        <v>92</v>
      </c>
      <c r="S8" s="158" t="s">
        <v>92</v>
      </c>
      <c r="T8" s="158" t="s">
        <v>92</v>
      </c>
      <c r="U8" s="338" t="s">
        <v>92</v>
      </c>
      <c r="V8" s="531" t="s">
        <v>494</v>
      </c>
    </row>
    <row r="9" spans="1:24">
      <c r="A9" s="159" t="s">
        <v>90</v>
      </c>
      <c r="C9" s="160" t="s">
        <v>4</v>
      </c>
      <c r="D9" s="158" t="s">
        <v>234</v>
      </c>
      <c r="E9" s="159" t="s">
        <v>90</v>
      </c>
      <c r="G9" s="160" t="s">
        <v>4</v>
      </c>
      <c r="H9" s="158" t="s">
        <v>234</v>
      </c>
      <c r="I9" s="159" t="s">
        <v>235</v>
      </c>
      <c r="J9" s="159" t="s">
        <v>235</v>
      </c>
      <c r="K9" s="159" t="s">
        <v>235</v>
      </c>
      <c r="L9" s="159" t="s">
        <v>235</v>
      </c>
      <c r="M9" s="527" t="s">
        <v>235</v>
      </c>
      <c r="N9" s="536" t="s">
        <v>235</v>
      </c>
      <c r="O9" s="527" t="s">
        <v>235</v>
      </c>
      <c r="P9" s="159" t="s">
        <v>235</v>
      </c>
      <c r="Q9" s="159" t="s">
        <v>235</v>
      </c>
      <c r="R9" s="159" t="s">
        <v>235</v>
      </c>
      <c r="S9" s="159" t="s">
        <v>235</v>
      </c>
      <c r="T9" s="159" t="s">
        <v>235</v>
      </c>
      <c r="U9" s="159" t="s">
        <v>235</v>
      </c>
    </row>
    <row r="10" spans="1:24">
      <c r="A10" s="158"/>
      <c r="E10" s="158"/>
      <c r="I10" s="156" t="s">
        <v>237</v>
      </c>
      <c r="M10" s="524"/>
      <c r="O10" s="524"/>
    </row>
    <row r="11" spans="1:24">
      <c r="A11" s="158"/>
      <c r="B11" s="156" t="s">
        <v>86</v>
      </c>
      <c r="E11" s="158"/>
      <c r="F11" s="156" t="s">
        <v>86</v>
      </c>
      <c r="M11" s="524"/>
      <c r="O11" s="524"/>
    </row>
    <row r="12" spans="1:24">
      <c r="A12" s="158">
        <v>1</v>
      </c>
      <c r="B12" s="156" t="s">
        <v>85</v>
      </c>
      <c r="D12" s="161">
        <v>0.95509999999999995</v>
      </c>
      <c r="E12" s="158">
        <v>1</v>
      </c>
      <c r="F12" s="156" t="s">
        <v>85</v>
      </c>
      <c r="H12" s="448">
        <f>ROR!F35</f>
        <v>0.95411999999999997</v>
      </c>
      <c r="I12" s="162">
        <f>I24/$H12</f>
        <v>17444.346623066282</v>
      </c>
      <c r="J12" s="162">
        <f>J24/$H12</f>
        <v>1484.0900515658409</v>
      </c>
      <c r="K12" s="162">
        <f>K24/$H12</f>
        <v>7873.2234939001382</v>
      </c>
      <c r="L12" s="162">
        <f>L24/$H12</f>
        <v>6643.8183876241983</v>
      </c>
      <c r="M12" s="528">
        <f>M24/$H12</f>
        <v>7504.2971533978953</v>
      </c>
      <c r="N12" s="537">
        <f t="shared" ref="N12:T12" si="0">N24/$D12</f>
        <v>9829.3372421735949</v>
      </c>
      <c r="O12" s="528">
        <f t="shared" si="0"/>
        <v>10768.505915610931</v>
      </c>
      <c r="P12" s="162">
        <f t="shared" si="0"/>
        <v>5844.4141974662343</v>
      </c>
      <c r="Q12" s="162">
        <f t="shared" si="0"/>
        <v>3744.1105643388128</v>
      </c>
      <c r="R12" s="162">
        <f t="shared" si="0"/>
        <v>4193.2781907653653</v>
      </c>
      <c r="S12" s="162">
        <f t="shared" si="0"/>
        <v>6537.535336613967</v>
      </c>
      <c r="T12" s="162">
        <f t="shared" si="0"/>
        <v>4826.7197152130666</v>
      </c>
      <c r="U12" s="162">
        <f t="shared" ref="U12" si="1">U24/$D12</f>
        <v>8718.4588001256416</v>
      </c>
    </row>
    <row r="13" spans="1:24">
      <c r="A13" s="158">
        <v>2</v>
      </c>
      <c r="B13" s="156" t="s">
        <v>84</v>
      </c>
      <c r="E13" s="158">
        <v>2</v>
      </c>
      <c r="F13" s="156" t="s">
        <v>84</v>
      </c>
      <c r="H13" s="208"/>
      <c r="I13" s="162"/>
      <c r="J13" s="162"/>
      <c r="K13" s="162"/>
      <c r="L13" s="162"/>
      <c r="M13" s="528"/>
      <c r="N13" s="537"/>
      <c r="O13" s="528"/>
      <c r="P13" s="162"/>
      <c r="Q13" s="162"/>
      <c r="R13" s="162"/>
      <c r="S13" s="162"/>
      <c r="T13" s="162"/>
      <c r="U13" s="162"/>
    </row>
    <row r="14" spans="1:24">
      <c r="A14" s="158">
        <v>3</v>
      </c>
      <c r="B14" s="156" t="s">
        <v>83</v>
      </c>
      <c r="E14" s="158">
        <v>3</v>
      </c>
      <c r="F14" s="156" t="s">
        <v>83</v>
      </c>
      <c r="H14" s="208"/>
      <c r="I14" s="163"/>
      <c r="J14" s="163"/>
      <c r="K14" s="163"/>
      <c r="L14" s="163"/>
      <c r="M14" s="529"/>
      <c r="N14" s="538"/>
      <c r="O14" s="529"/>
      <c r="P14" s="163"/>
      <c r="Q14" s="163"/>
      <c r="R14" s="163"/>
      <c r="S14" s="163"/>
      <c r="T14" s="163"/>
      <c r="U14" s="163"/>
    </row>
    <row r="15" spans="1:24">
      <c r="A15" s="158">
        <v>4</v>
      </c>
      <c r="B15" s="156" t="s">
        <v>82</v>
      </c>
      <c r="E15" s="158">
        <v>4</v>
      </c>
      <c r="F15" s="156" t="s">
        <v>82</v>
      </c>
      <c r="H15" s="208"/>
      <c r="I15" s="162">
        <f>SUM(I12:I14)</f>
        <v>17444.346623066282</v>
      </c>
      <c r="J15" s="162">
        <f>SUM(J12:J14)</f>
        <v>1484.0900515658409</v>
      </c>
      <c r="K15" s="162">
        <f>SUM(K12:K14)</f>
        <v>7873.2234939001382</v>
      </c>
      <c r="L15" s="162">
        <f>SUM(L12:L14)</f>
        <v>6643.8183876241983</v>
      </c>
      <c r="M15" s="528">
        <f>SUM(M12:M14)</f>
        <v>7504.2971533978953</v>
      </c>
      <c r="N15" s="537">
        <f t="shared" ref="N15:T15" si="2">SUM(N12:N14)</f>
        <v>9829.3372421735949</v>
      </c>
      <c r="O15" s="528">
        <f t="shared" si="2"/>
        <v>10768.505915610931</v>
      </c>
      <c r="P15" s="162">
        <f t="shared" si="2"/>
        <v>5844.4141974662343</v>
      </c>
      <c r="Q15" s="162">
        <f t="shared" si="2"/>
        <v>3744.1105643388128</v>
      </c>
      <c r="R15" s="162">
        <f t="shared" si="2"/>
        <v>4193.2781907653653</v>
      </c>
      <c r="S15" s="162">
        <f t="shared" si="2"/>
        <v>6537.535336613967</v>
      </c>
      <c r="T15" s="162">
        <f t="shared" si="2"/>
        <v>4826.7197152130666</v>
      </c>
      <c r="U15" s="162">
        <f t="shared" ref="U15" si="3">SUM(U12:U14)</f>
        <v>8718.4588001256416</v>
      </c>
    </row>
    <row r="16" spans="1:24">
      <c r="A16" s="158">
        <v>5</v>
      </c>
      <c r="B16" s="156" t="s">
        <v>81</v>
      </c>
      <c r="E16" s="158">
        <v>5</v>
      </c>
      <c r="F16" s="156" t="s">
        <v>81</v>
      </c>
      <c r="H16" s="208"/>
      <c r="I16" s="163"/>
      <c r="J16" s="163"/>
      <c r="K16" s="163"/>
      <c r="L16" s="163"/>
      <c r="M16" s="529"/>
      <c r="N16" s="538"/>
      <c r="O16" s="529"/>
      <c r="P16" s="163"/>
      <c r="Q16" s="163"/>
      <c r="R16" s="163"/>
      <c r="S16" s="163"/>
      <c r="T16" s="163"/>
      <c r="U16" s="163"/>
    </row>
    <row r="17" spans="1:21">
      <c r="A17" s="158">
        <v>6</v>
      </c>
      <c r="B17" s="156" t="s">
        <v>80</v>
      </c>
      <c r="E17" s="158">
        <v>6</v>
      </c>
      <c r="F17" s="156" t="s">
        <v>80</v>
      </c>
      <c r="H17" s="208"/>
      <c r="I17" s="162">
        <f>I15+I16</f>
        <v>17444.346623066282</v>
      </c>
      <c r="J17" s="162">
        <f>J15+J16</f>
        <v>1484.0900515658409</v>
      </c>
      <c r="K17" s="162">
        <f>K15+K16</f>
        <v>7873.2234939001382</v>
      </c>
      <c r="L17" s="162">
        <f>L15+L16</f>
        <v>6643.8183876241983</v>
      </c>
      <c r="M17" s="528">
        <f>M15+M16</f>
        <v>7504.2971533978953</v>
      </c>
      <c r="N17" s="537">
        <f t="shared" ref="N17:T17" si="4">N15+N16</f>
        <v>9829.3372421735949</v>
      </c>
      <c r="O17" s="528">
        <f t="shared" si="4"/>
        <v>10768.505915610931</v>
      </c>
      <c r="P17" s="162">
        <f t="shared" si="4"/>
        <v>5844.4141974662343</v>
      </c>
      <c r="Q17" s="162">
        <f t="shared" si="4"/>
        <v>3744.1105643388128</v>
      </c>
      <c r="R17" s="162">
        <f t="shared" si="4"/>
        <v>4193.2781907653653</v>
      </c>
      <c r="S17" s="162">
        <f t="shared" si="4"/>
        <v>6537.535336613967</v>
      </c>
      <c r="T17" s="162">
        <f t="shared" si="4"/>
        <v>4826.7197152130666</v>
      </c>
      <c r="U17" s="162">
        <f t="shared" ref="U17" si="5">U15+U16</f>
        <v>8718.4588001256416</v>
      </c>
    </row>
    <row r="18" spans="1:21">
      <c r="A18" s="158"/>
      <c r="E18" s="158"/>
      <c r="H18" s="208"/>
      <c r="I18" s="162"/>
      <c r="J18" s="162"/>
      <c r="K18" s="162"/>
      <c r="L18" s="162"/>
      <c r="M18" s="528"/>
      <c r="N18" s="537"/>
      <c r="O18" s="528"/>
      <c r="P18" s="162"/>
      <c r="Q18" s="162"/>
      <c r="R18" s="162"/>
      <c r="S18" s="162"/>
      <c r="T18" s="162"/>
      <c r="U18" s="162"/>
    </row>
    <row r="19" spans="1:21">
      <c r="A19" s="158"/>
      <c r="B19" s="156" t="s">
        <v>79</v>
      </c>
      <c r="E19" s="158"/>
      <c r="F19" s="156" t="s">
        <v>79</v>
      </c>
      <c r="H19" s="208"/>
      <c r="I19" s="162"/>
      <c r="J19" s="162"/>
      <c r="K19" s="162"/>
      <c r="L19" s="162"/>
      <c r="M19" s="528"/>
      <c r="N19" s="537"/>
      <c r="O19" s="528"/>
      <c r="P19" s="162"/>
      <c r="Q19" s="162"/>
      <c r="R19" s="162"/>
      <c r="S19" s="162"/>
      <c r="T19" s="162"/>
      <c r="U19" s="162"/>
    </row>
    <row r="20" spans="1:21">
      <c r="A20" s="158"/>
      <c r="B20" s="156" t="s">
        <v>78</v>
      </c>
      <c r="E20" s="158"/>
      <c r="F20" s="156" t="s">
        <v>78</v>
      </c>
      <c r="H20" s="208"/>
      <c r="I20" s="162"/>
      <c r="J20" s="162"/>
      <c r="K20" s="162"/>
      <c r="L20" s="162"/>
      <c r="M20" s="528"/>
      <c r="N20" s="537"/>
      <c r="O20" s="528"/>
      <c r="P20" s="162"/>
      <c r="Q20" s="162"/>
      <c r="R20" s="162"/>
      <c r="S20" s="162"/>
      <c r="T20" s="162"/>
      <c r="U20" s="162"/>
    </row>
    <row r="21" spans="1:21">
      <c r="A21" s="158">
        <v>7</v>
      </c>
      <c r="C21" s="156" t="s">
        <v>70</v>
      </c>
      <c r="E21" s="158">
        <v>7</v>
      </c>
      <c r="G21" s="156" t="s">
        <v>70</v>
      </c>
      <c r="H21" s="208"/>
      <c r="I21" s="162"/>
      <c r="J21" s="162"/>
      <c r="K21" s="162"/>
      <c r="L21" s="162"/>
      <c r="M21" s="528"/>
      <c r="N21" s="537"/>
      <c r="O21" s="528"/>
      <c r="P21" s="162"/>
      <c r="Q21" s="162"/>
      <c r="R21" s="162"/>
      <c r="S21" s="162"/>
      <c r="T21" s="162"/>
      <c r="U21" s="162"/>
    </row>
    <row r="22" spans="1:21">
      <c r="A22" s="158">
        <v>8</v>
      </c>
      <c r="C22" s="156" t="s">
        <v>77</v>
      </c>
      <c r="E22" s="158">
        <v>8</v>
      </c>
      <c r="G22" s="156" t="s">
        <v>77</v>
      </c>
      <c r="H22" s="208"/>
      <c r="I22" s="162"/>
      <c r="J22" s="162"/>
      <c r="K22" s="162"/>
      <c r="L22" s="162"/>
      <c r="M22" s="528"/>
      <c r="N22" s="537"/>
      <c r="O22" s="528"/>
      <c r="P22" s="162"/>
      <c r="Q22" s="162"/>
      <c r="R22" s="162"/>
      <c r="S22" s="162"/>
      <c r="T22" s="162"/>
      <c r="U22" s="162"/>
    </row>
    <row r="23" spans="1:21">
      <c r="A23" s="158">
        <v>9</v>
      </c>
      <c r="C23" s="156" t="s">
        <v>137</v>
      </c>
      <c r="E23" s="158">
        <v>9</v>
      </c>
      <c r="G23" s="156" t="s">
        <v>137</v>
      </c>
      <c r="H23" s="208"/>
      <c r="I23" s="162"/>
      <c r="J23" s="162"/>
      <c r="K23" s="162"/>
      <c r="L23" s="162"/>
      <c r="M23" s="528"/>
      <c r="N23" s="537"/>
      <c r="O23" s="528"/>
      <c r="P23" s="162"/>
      <c r="Q23" s="162"/>
      <c r="R23" s="162"/>
      <c r="S23" s="162"/>
      <c r="T23" s="162"/>
      <c r="U23" s="162"/>
    </row>
    <row r="24" spans="1:21">
      <c r="A24" s="158">
        <v>10</v>
      </c>
      <c r="C24" s="156" t="s">
        <v>138</v>
      </c>
      <c r="E24" s="158">
        <v>10</v>
      </c>
      <c r="G24" s="156" t="s">
        <v>138</v>
      </c>
      <c r="H24" s="208"/>
      <c r="I24" s="162">
        <v>16644</v>
      </c>
      <c r="J24" s="162">
        <v>1416</v>
      </c>
      <c r="K24" s="162">
        <v>7512</v>
      </c>
      <c r="L24" s="162">
        <v>6339</v>
      </c>
      <c r="M24" s="528">
        <v>7160</v>
      </c>
      <c r="N24" s="537">
        <v>9388</v>
      </c>
      <c r="O24" s="528">
        <v>10285</v>
      </c>
      <c r="P24" s="162">
        <v>5582</v>
      </c>
      <c r="Q24" s="162">
        <v>3576</v>
      </c>
      <c r="R24" s="162">
        <v>4005</v>
      </c>
      <c r="S24" s="162">
        <v>6244</v>
      </c>
      <c r="T24" s="162">
        <f>4794-184</f>
        <v>4610</v>
      </c>
      <c r="U24" s="162">
        <f>8505-178</f>
        <v>8327</v>
      </c>
    </row>
    <row r="25" spans="1:21">
      <c r="A25" s="158">
        <v>11</v>
      </c>
      <c r="C25" s="156" t="s">
        <v>69</v>
      </c>
      <c r="E25" s="158">
        <v>11</v>
      </c>
      <c r="G25" s="156" t="s">
        <v>69</v>
      </c>
      <c r="H25" s="208"/>
      <c r="I25" s="163"/>
      <c r="J25" s="163"/>
      <c r="K25" s="163"/>
      <c r="L25" s="163"/>
      <c r="M25" s="529"/>
      <c r="N25" s="538"/>
      <c r="O25" s="529"/>
      <c r="P25" s="163"/>
      <c r="Q25" s="163"/>
      <c r="R25" s="163"/>
      <c r="S25" s="163"/>
      <c r="T25" s="163"/>
      <c r="U25" s="163"/>
    </row>
    <row r="26" spans="1:21">
      <c r="A26" s="158">
        <v>12</v>
      </c>
      <c r="B26" s="156" t="s">
        <v>76</v>
      </c>
      <c r="E26" s="158">
        <v>12</v>
      </c>
      <c r="F26" s="156" t="s">
        <v>76</v>
      </c>
      <c r="H26" s="208"/>
      <c r="I26" s="162">
        <f>SUM(I21:I25)</f>
        <v>16644</v>
      </c>
      <c r="J26" s="162">
        <f>SUM(J21:J25)</f>
        <v>1416</v>
      </c>
      <c r="K26" s="162">
        <f>SUM(K21:K25)</f>
        <v>7512</v>
      </c>
      <c r="L26" s="162">
        <f>SUM(L21:L25)</f>
        <v>6339</v>
      </c>
      <c r="M26" s="528">
        <f>SUM(M21:M25)</f>
        <v>7160</v>
      </c>
      <c r="N26" s="537">
        <f t="shared" ref="N26:T26" si="6">SUM(N21:N25)</f>
        <v>9388</v>
      </c>
      <c r="O26" s="528">
        <f t="shared" si="6"/>
        <v>10285</v>
      </c>
      <c r="P26" s="162">
        <f t="shared" si="6"/>
        <v>5582</v>
      </c>
      <c r="Q26" s="162">
        <f t="shared" si="6"/>
        <v>3576</v>
      </c>
      <c r="R26" s="162">
        <f t="shared" si="6"/>
        <v>4005</v>
      </c>
      <c r="S26" s="162">
        <f t="shared" si="6"/>
        <v>6244</v>
      </c>
      <c r="T26" s="162">
        <f t="shared" si="6"/>
        <v>4610</v>
      </c>
      <c r="U26" s="162">
        <f t="shared" ref="U26" si="7">SUM(U21:U25)</f>
        <v>8327</v>
      </c>
    </row>
    <row r="27" spans="1:21">
      <c r="A27" s="158"/>
      <c r="E27" s="158"/>
      <c r="H27" s="208"/>
      <c r="I27" s="162"/>
      <c r="J27" s="162"/>
      <c r="K27" s="162"/>
      <c r="L27" s="162"/>
      <c r="M27" s="528"/>
      <c r="N27" s="537"/>
      <c r="O27" s="528"/>
      <c r="P27" s="162"/>
      <c r="Q27" s="162"/>
      <c r="R27" s="162"/>
      <c r="S27" s="162"/>
      <c r="T27" s="162"/>
      <c r="U27" s="162"/>
    </row>
    <row r="28" spans="1:21">
      <c r="A28" s="158"/>
      <c r="B28" s="156" t="s">
        <v>56</v>
      </c>
      <c r="E28" s="158"/>
      <c r="F28" s="156" t="s">
        <v>56</v>
      </c>
      <c r="H28" s="208"/>
      <c r="I28" s="162"/>
      <c r="J28" s="162"/>
      <c r="K28" s="162"/>
      <c r="L28" s="162"/>
      <c r="M28" s="528"/>
      <c r="N28" s="537"/>
      <c r="O28" s="528"/>
      <c r="P28" s="162"/>
      <c r="Q28" s="162"/>
      <c r="R28" s="162"/>
      <c r="S28" s="162"/>
      <c r="T28" s="162"/>
      <c r="U28" s="162"/>
    </row>
    <row r="29" spans="1:21">
      <c r="A29" s="158">
        <v>13</v>
      </c>
      <c r="C29" s="156" t="s">
        <v>70</v>
      </c>
      <c r="E29" s="158">
        <v>13</v>
      </c>
      <c r="G29" s="156" t="s">
        <v>70</v>
      </c>
      <c r="H29" s="208"/>
      <c r="I29" s="162"/>
      <c r="J29" s="162"/>
      <c r="K29" s="162"/>
      <c r="L29" s="162"/>
      <c r="M29" s="528"/>
      <c r="N29" s="537"/>
      <c r="O29" s="528"/>
      <c r="P29" s="162"/>
      <c r="Q29" s="162"/>
      <c r="R29" s="162"/>
      <c r="S29" s="162"/>
      <c r="T29" s="162"/>
      <c r="U29" s="162"/>
    </row>
    <row r="30" spans="1:21">
      <c r="A30" s="158">
        <v>14</v>
      </c>
      <c r="C30" s="156" t="s">
        <v>139</v>
      </c>
      <c r="E30" s="158">
        <v>14</v>
      </c>
      <c r="G30" s="156" t="s">
        <v>139</v>
      </c>
      <c r="H30" s="208"/>
      <c r="I30" s="162"/>
      <c r="J30" s="162"/>
      <c r="K30" s="162"/>
      <c r="L30" s="162"/>
      <c r="M30" s="528"/>
      <c r="N30" s="537"/>
      <c r="O30" s="528"/>
      <c r="P30" s="162"/>
      <c r="Q30" s="162"/>
      <c r="R30" s="162"/>
      <c r="S30" s="162"/>
      <c r="T30" s="162"/>
      <c r="U30" s="162"/>
    </row>
    <row r="31" spans="1:21">
      <c r="A31" s="158">
        <v>15</v>
      </c>
      <c r="C31" s="156" t="s">
        <v>69</v>
      </c>
      <c r="D31" s="161">
        <v>3.8561999999999999E-2</v>
      </c>
      <c r="E31" s="158">
        <v>15</v>
      </c>
      <c r="G31" s="156" t="s">
        <v>69</v>
      </c>
      <c r="H31" s="448">
        <f>ROR!F31</f>
        <v>3.8526999999999999E-2</v>
      </c>
      <c r="I31" s="163">
        <f>I12*$H31</f>
        <v>672.07834234687459</v>
      </c>
      <c r="J31" s="163">
        <f>J12*$H31</f>
        <v>57.177537416677147</v>
      </c>
      <c r="K31" s="163">
        <f>K12*$H31</f>
        <v>303.33168154949061</v>
      </c>
      <c r="L31" s="163">
        <f>L12*$H31</f>
        <v>255.96639101999747</v>
      </c>
      <c r="M31" s="529">
        <f>M12*$H31</f>
        <v>289.1180564289607</v>
      </c>
      <c r="N31" s="538">
        <f t="shared" ref="N31:U31" si="8">N12*$D31</f>
        <v>379.03890273269815</v>
      </c>
      <c r="O31" s="529">
        <f t="shared" si="8"/>
        <v>415.25512511778874</v>
      </c>
      <c r="P31" s="163">
        <f t="shared" si="8"/>
        <v>225.37230028269292</v>
      </c>
      <c r="Q31" s="163">
        <f t="shared" si="8"/>
        <v>144.3803915820333</v>
      </c>
      <c r="R31" s="163">
        <f t="shared" si="8"/>
        <v>161.701193592294</v>
      </c>
      <c r="S31" s="163">
        <f t="shared" si="8"/>
        <v>252.10043765050779</v>
      </c>
      <c r="T31" s="163">
        <f t="shared" si="8"/>
        <v>186.12796565804626</v>
      </c>
      <c r="U31" s="163">
        <f t="shared" si="8"/>
        <v>336.20120825044501</v>
      </c>
    </row>
    <row r="32" spans="1:21">
      <c r="A32" s="158">
        <v>16</v>
      </c>
      <c r="B32" s="156" t="s">
        <v>75</v>
      </c>
      <c r="E32" s="158">
        <v>16</v>
      </c>
      <c r="F32" s="156" t="s">
        <v>75</v>
      </c>
      <c r="H32" s="208"/>
      <c r="I32" s="162">
        <f>SUM(I29:I31)</f>
        <v>672.07834234687459</v>
      </c>
      <c r="J32" s="162">
        <f>SUM(J29:J31)</f>
        <v>57.177537416677147</v>
      </c>
      <c r="K32" s="162">
        <f>SUM(K29:K31)</f>
        <v>303.33168154949061</v>
      </c>
      <c r="L32" s="162">
        <f>SUM(L29:L31)</f>
        <v>255.96639101999747</v>
      </c>
      <c r="M32" s="528">
        <f>SUM(M29:M31)</f>
        <v>289.1180564289607</v>
      </c>
      <c r="N32" s="537">
        <f t="shared" ref="N32:T32" si="9">SUM(N29:N31)</f>
        <v>379.03890273269815</v>
      </c>
      <c r="O32" s="528">
        <f t="shared" si="9"/>
        <v>415.25512511778874</v>
      </c>
      <c r="P32" s="162">
        <f t="shared" si="9"/>
        <v>225.37230028269292</v>
      </c>
      <c r="Q32" s="162">
        <f t="shared" si="9"/>
        <v>144.3803915820333</v>
      </c>
      <c r="R32" s="162">
        <f t="shared" si="9"/>
        <v>161.701193592294</v>
      </c>
      <c r="S32" s="162">
        <f t="shared" si="9"/>
        <v>252.10043765050779</v>
      </c>
      <c r="T32" s="162">
        <f t="shared" si="9"/>
        <v>186.12796565804626</v>
      </c>
      <c r="U32" s="162">
        <f t="shared" ref="U32" si="10">SUM(U29:U31)</f>
        <v>336.20120825044501</v>
      </c>
    </row>
    <row r="33" spans="1:21">
      <c r="A33" s="158"/>
      <c r="E33" s="158"/>
      <c r="H33" s="208"/>
      <c r="I33" s="162"/>
      <c r="J33" s="162"/>
      <c r="K33" s="162"/>
      <c r="L33" s="162"/>
      <c r="M33" s="528"/>
      <c r="N33" s="537"/>
      <c r="O33" s="528"/>
      <c r="P33" s="162"/>
      <c r="Q33" s="162"/>
      <c r="R33" s="162"/>
      <c r="S33" s="162"/>
      <c r="T33" s="162"/>
      <c r="U33" s="162"/>
    </row>
    <row r="34" spans="1:21">
      <c r="A34" s="158">
        <v>17</v>
      </c>
      <c r="B34" s="156" t="s">
        <v>74</v>
      </c>
      <c r="D34" s="161">
        <v>4.3379999999999998E-3</v>
      </c>
      <c r="E34" s="158">
        <v>17</v>
      </c>
      <c r="F34" s="156" t="s">
        <v>74</v>
      </c>
      <c r="H34" s="448">
        <f>ROR!F27</f>
        <v>5.3530000000000001E-3</v>
      </c>
      <c r="I34" s="162">
        <f>I12*$H34</f>
        <v>93.379587473273801</v>
      </c>
      <c r="J34" s="162">
        <f>J12*$H34</f>
        <v>7.9443340460319467</v>
      </c>
      <c r="K34" s="162">
        <f>K12*$H34</f>
        <v>42.145365362847443</v>
      </c>
      <c r="L34" s="162">
        <f>L12*$H34</f>
        <v>35.564359828952334</v>
      </c>
      <c r="M34" s="528">
        <f>M12*$H34</f>
        <v>40.170502662138937</v>
      </c>
      <c r="N34" s="537">
        <f t="shared" ref="N34:S34" si="11">N12*$D34</f>
        <v>42.639664956549055</v>
      </c>
      <c r="O34" s="528">
        <f t="shared" si="11"/>
        <v>46.713778661920216</v>
      </c>
      <c r="P34" s="162">
        <f t="shared" si="11"/>
        <v>25.353068788608525</v>
      </c>
      <c r="Q34" s="162">
        <f t="shared" si="11"/>
        <v>16.24195162810177</v>
      </c>
      <c r="R34" s="162">
        <f t="shared" si="11"/>
        <v>18.190440791540155</v>
      </c>
      <c r="S34" s="162">
        <f t="shared" si="11"/>
        <v>28.359828290231388</v>
      </c>
      <c r="T34" s="162">
        <f>T12*$D34</f>
        <v>20.938310124594281</v>
      </c>
      <c r="U34" s="162">
        <f>U12*$D34</f>
        <v>37.820674274945034</v>
      </c>
    </row>
    <row r="35" spans="1:21">
      <c r="A35" s="158">
        <v>18</v>
      </c>
      <c r="B35" s="156" t="s">
        <v>73</v>
      </c>
      <c r="E35" s="158">
        <v>18</v>
      </c>
      <c r="F35" s="156" t="s">
        <v>73</v>
      </c>
      <c r="H35" s="208"/>
      <c r="I35" s="162"/>
      <c r="J35" s="162"/>
      <c r="K35" s="162"/>
      <c r="L35" s="162"/>
      <c r="M35" s="528"/>
      <c r="N35" s="537"/>
      <c r="O35" s="528"/>
      <c r="P35" s="162"/>
      <c r="Q35" s="162"/>
      <c r="R35" s="162"/>
      <c r="S35" s="162"/>
      <c r="T35" s="162"/>
      <c r="U35" s="162"/>
    </row>
    <row r="36" spans="1:21">
      <c r="A36" s="158">
        <v>19</v>
      </c>
      <c r="B36" s="156" t="s">
        <v>72</v>
      </c>
      <c r="E36" s="158">
        <v>19</v>
      </c>
      <c r="F36" s="156" t="s">
        <v>72</v>
      </c>
      <c r="H36" s="208"/>
      <c r="I36" s="162"/>
      <c r="J36" s="162"/>
      <c r="K36" s="162"/>
      <c r="L36" s="162"/>
      <c r="M36" s="528"/>
      <c r="N36" s="537"/>
      <c r="O36" s="528"/>
      <c r="P36" s="162"/>
      <c r="Q36" s="162"/>
      <c r="R36" s="162"/>
      <c r="S36" s="162"/>
      <c r="T36" s="162"/>
      <c r="U36" s="162"/>
    </row>
    <row r="37" spans="1:21">
      <c r="A37" s="158"/>
      <c r="E37" s="158"/>
      <c r="H37" s="208"/>
      <c r="I37" s="162"/>
      <c r="J37" s="162"/>
      <c r="K37" s="162"/>
      <c r="L37" s="162"/>
      <c r="M37" s="528"/>
      <c r="N37" s="537"/>
      <c r="O37" s="528"/>
      <c r="P37" s="162"/>
      <c r="Q37" s="162"/>
      <c r="R37" s="162"/>
      <c r="S37" s="162"/>
      <c r="T37" s="162"/>
      <c r="U37" s="162"/>
    </row>
    <row r="38" spans="1:21">
      <c r="A38" s="158"/>
      <c r="B38" s="156" t="s">
        <v>71</v>
      </c>
      <c r="E38" s="158"/>
      <c r="F38" s="156" t="s">
        <v>71</v>
      </c>
      <c r="H38" s="208"/>
      <c r="I38" s="162"/>
      <c r="J38" s="162"/>
      <c r="K38" s="162"/>
      <c r="L38" s="162"/>
      <c r="M38" s="528"/>
      <c r="N38" s="537"/>
      <c r="O38" s="528"/>
      <c r="P38" s="162"/>
      <c r="Q38" s="162"/>
      <c r="R38" s="162"/>
      <c r="S38" s="162"/>
      <c r="T38" s="162"/>
      <c r="U38" s="162"/>
    </row>
    <row r="39" spans="1:21">
      <c r="A39" s="158">
        <v>20</v>
      </c>
      <c r="C39" s="156" t="s">
        <v>70</v>
      </c>
      <c r="D39" s="161">
        <v>2E-3</v>
      </c>
      <c r="E39" s="158">
        <v>20</v>
      </c>
      <c r="G39" s="156" t="s">
        <v>70</v>
      </c>
      <c r="H39" s="448">
        <f>ROR!F29</f>
        <v>2E-3</v>
      </c>
      <c r="I39" s="162">
        <f>I12*$H39</f>
        <v>34.888693246132561</v>
      </c>
      <c r="J39" s="162">
        <f>J12*$H39</f>
        <v>2.9681801031316817</v>
      </c>
      <c r="K39" s="162">
        <f>K12*$H39</f>
        <v>15.746446987800276</v>
      </c>
      <c r="L39" s="162">
        <f>L12*$H39</f>
        <v>13.287636775248396</v>
      </c>
      <c r="M39" s="528">
        <f>M12*$H39</f>
        <v>15.008594306795791</v>
      </c>
      <c r="N39" s="537">
        <f t="shared" ref="N39:T39" si="12">N12*$D39</f>
        <v>19.658674484347191</v>
      </c>
      <c r="O39" s="528">
        <f t="shared" si="12"/>
        <v>21.537011831221861</v>
      </c>
      <c r="P39" s="162">
        <f t="shared" si="12"/>
        <v>11.688828394932468</v>
      </c>
      <c r="Q39" s="162">
        <f t="shared" si="12"/>
        <v>7.4882211286776261</v>
      </c>
      <c r="R39" s="162">
        <f t="shared" si="12"/>
        <v>8.3865563815307311</v>
      </c>
      <c r="S39" s="162">
        <f t="shared" si="12"/>
        <v>13.075070673227934</v>
      </c>
      <c r="T39" s="162">
        <f t="shared" si="12"/>
        <v>9.6534394304261326</v>
      </c>
      <c r="U39" s="162">
        <f t="shared" ref="U39" si="13">U12*$D39</f>
        <v>17.436917600251284</v>
      </c>
    </row>
    <row r="40" spans="1:21">
      <c r="A40" s="158">
        <v>21</v>
      </c>
      <c r="C40" s="156" t="s">
        <v>139</v>
      </c>
      <c r="E40" s="158">
        <v>21</v>
      </c>
      <c r="G40" s="156" t="s">
        <v>139</v>
      </c>
      <c r="I40" s="162"/>
      <c r="J40" s="162"/>
      <c r="K40" s="162"/>
      <c r="L40" s="162"/>
      <c r="M40" s="528"/>
      <c r="N40" s="537"/>
      <c r="O40" s="528"/>
      <c r="P40" s="162"/>
      <c r="Q40" s="162"/>
      <c r="R40" s="162"/>
      <c r="S40" s="162"/>
      <c r="T40" s="162"/>
      <c r="U40" s="162"/>
    </row>
    <row r="41" spans="1:21">
      <c r="A41" s="158">
        <v>22</v>
      </c>
      <c r="C41" s="156" t="s">
        <v>69</v>
      </c>
      <c r="E41" s="158">
        <v>22</v>
      </c>
      <c r="G41" s="156" t="s">
        <v>69</v>
      </c>
      <c r="I41" s="163"/>
      <c r="J41" s="163"/>
      <c r="K41" s="163"/>
      <c r="L41" s="163"/>
      <c r="M41" s="529"/>
      <c r="N41" s="538"/>
      <c r="O41" s="529"/>
      <c r="P41" s="163"/>
      <c r="Q41" s="163"/>
      <c r="R41" s="163"/>
      <c r="S41" s="163"/>
      <c r="T41" s="163"/>
      <c r="U41" s="163"/>
    </row>
    <row r="42" spans="1:21">
      <c r="A42" s="158">
        <v>23</v>
      </c>
      <c r="B42" s="156" t="s">
        <v>68</v>
      </c>
      <c r="E42" s="158">
        <v>23</v>
      </c>
      <c r="F42" s="156" t="s">
        <v>68</v>
      </c>
      <c r="I42" s="164">
        <f>SUM(I39:I41)</f>
        <v>34.888693246132561</v>
      </c>
      <c r="J42" s="164">
        <f>SUM(J39:J41)</f>
        <v>2.9681801031316817</v>
      </c>
      <c r="K42" s="164">
        <f>SUM(K39:K41)</f>
        <v>15.746446987800276</v>
      </c>
      <c r="L42" s="164">
        <f>SUM(L39:L41)</f>
        <v>13.287636775248396</v>
      </c>
      <c r="M42" s="530">
        <f>SUM(M39:M41)</f>
        <v>15.008594306795791</v>
      </c>
      <c r="N42" s="539">
        <f t="shared" ref="N42:T42" si="14">SUM(N39:N41)</f>
        <v>19.658674484347191</v>
      </c>
      <c r="O42" s="530">
        <f t="shared" si="14"/>
        <v>21.537011831221861</v>
      </c>
      <c r="P42" s="164">
        <f t="shared" si="14"/>
        <v>11.688828394932468</v>
      </c>
      <c r="Q42" s="164">
        <f t="shared" si="14"/>
        <v>7.4882211286776261</v>
      </c>
      <c r="R42" s="164">
        <f t="shared" si="14"/>
        <v>8.3865563815307311</v>
      </c>
      <c r="S42" s="164">
        <f t="shared" si="14"/>
        <v>13.075070673227934</v>
      </c>
      <c r="T42" s="164">
        <f t="shared" si="14"/>
        <v>9.6534394304261326</v>
      </c>
      <c r="U42" s="164">
        <f t="shared" ref="U42" si="15">SUM(U39:U41)</f>
        <v>17.436917600251284</v>
      </c>
    </row>
    <row r="43" spans="1:21">
      <c r="A43" s="158">
        <v>24</v>
      </c>
      <c r="B43" s="156" t="s">
        <v>67</v>
      </c>
      <c r="E43" s="158">
        <v>24</v>
      </c>
      <c r="F43" s="156" t="s">
        <v>67</v>
      </c>
      <c r="I43" s="164">
        <f>I26+I32+I34+I35+I36+I42</f>
        <v>17444.346623066282</v>
      </c>
      <c r="J43" s="164">
        <f>J26+J32+J34+J35+J36+J42</f>
        <v>1484.0900515658409</v>
      </c>
      <c r="K43" s="164">
        <f>K26+K32+K34+K35+K36+K42</f>
        <v>7873.2234939001391</v>
      </c>
      <c r="L43" s="164">
        <f>L26+L32+L34+L35+L36+L42</f>
        <v>6643.8183876241992</v>
      </c>
      <c r="M43" s="530">
        <f>M26+M32+M34+M35+M36+M42</f>
        <v>7504.2971533978962</v>
      </c>
      <c r="N43" s="539">
        <f t="shared" ref="N43:S43" si="16">N26+N32+N34+N35+N36+N42</f>
        <v>9829.3372421735949</v>
      </c>
      <c r="O43" s="530">
        <f t="shared" si="16"/>
        <v>10768.505915610931</v>
      </c>
      <c r="P43" s="164">
        <f t="shared" si="16"/>
        <v>5844.4141974662343</v>
      </c>
      <c r="Q43" s="164">
        <f t="shared" si="16"/>
        <v>3744.1105643388123</v>
      </c>
      <c r="R43" s="164">
        <f t="shared" si="16"/>
        <v>4193.2781907653643</v>
      </c>
      <c r="S43" s="164">
        <f t="shared" si="16"/>
        <v>6537.535336613967</v>
      </c>
      <c r="T43" s="164">
        <f>T26+T32+T34+T35+T36+T42</f>
        <v>4826.7197152130666</v>
      </c>
      <c r="U43" s="164">
        <f>U26+U32+U34+U35+U36+U42</f>
        <v>8718.4588001256398</v>
      </c>
    </row>
    <row r="44" spans="1:21">
      <c r="A44" s="158"/>
      <c r="E44" s="158"/>
      <c r="I44" s="162"/>
      <c r="J44" s="162"/>
      <c r="K44" s="162"/>
      <c r="L44" s="162"/>
      <c r="M44" s="528"/>
      <c r="N44" s="537"/>
      <c r="O44" s="528"/>
      <c r="P44" s="162"/>
      <c r="Q44" s="162"/>
      <c r="R44" s="162"/>
      <c r="S44" s="162"/>
      <c r="T44" s="162"/>
      <c r="U44" s="162"/>
    </row>
    <row r="45" spans="1:21">
      <c r="A45" s="158">
        <v>25</v>
      </c>
      <c r="B45" s="156" t="s">
        <v>66</v>
      </c>
      <c r="E45" s="158">
        <v>25</v>
      </c>
      <c r="F45" s="156" t="s">
        <v>66</v>
      </c>
      <c r="I45" s="162">
        <f>I17-I43</f>
        <v>0</v>
      </c>
      <c r="J45" s="162">
        <f>J17-J43</f>
        <v>0</v>
      </c>
      <c r="K45" s="162">
        <f>K17-K43</f>
        <v>0</v>
      </c>
      <c r="L45" s="162">
        <f>L17-L43</f>
        <v>0</v>
      </c>
      <c r="M45" s="528">
        <f>M17-M43</f>
        <v>0</v>
      </c>
      <c r="N45" s="537">
        <f t="shared" ref="N45:T45" si="17">N17-N43</f>
        <v>0</v>
      </c>
      <c r="O45" s="528">
        <f t="shared" si="17"/>
        <v>0</v>
      </c>
      <c r="P45" s="162">
        <f t="shared" si="17"/>
        <v>0</v>
      </c>
      <c r="Q45" s="162">
        <f t="shared" si="17"/>
        <v>0</v>
      </c>
      <c r="R45" s="162">
        <f t="shared" si="17"/>
        <v>0</v>
      </c>
      <c r="S45" s="162">
        <f t="shared" si="17"/>
        <v>0</v>
      </c>
      <c r="T45" s="162">
        <f t="shared" si="17"/>
        <v>0</v>
      </c>
      <c r="U45" s="162">
        <f t="shared" ref="U45" si="18">U17-U43</f>
        <v>0</v>
      </c>
    </row>
    <row r="46" spans="1:21">
      <c r="A46" s="158"/>
      <c r="E46" s="158"/>
      <c r="I46" s="162"/>
      <c r="J46" s="162"/>
      <c r="K46" s="162"/>
      <c r="L46" s="162"/>
      <c r="M46" s="528"/>
      <c r="N46" s="537"/>
      <c r="O46" s="528"/>
      <c r="P46" s="162"/>
      <c r="Q46" s="162"/>
      <c r="R46" s="162"/>
      <c r="S46" s="162"/>
      <c r="T46" s="162"/>
      <c r="U46" s="162"/>
    </row>
    <row r="47" spans="1:21">
      <c r="A47" s="158"/>
      <c r="B47" s="156" t="s">
        <v>65</v>
      </c>
      <c r="E47" s="158"/>
      <c r="F47" s="156" t="s">
        <v>65</v>
      </c>
      <c r="I47" s="162"/>
      <c r="J47" s="162"/>
      <c r="K47" s="162"/>
      <c r="L47" s="162"/>
      <c r="M47" s="528"/>
      <c r="N47" s="537"/>
      <c r="O47" s="528"/>
      <c r="P47" s="162"/>
      <c r="Q47" s="162"/>
      <c r="R47" s="162"/>
      <c r="S47" s="162"/>
      <c r="T47" s="162"/>
      <c r="U47" s="162"/>
    </row>
    <row r="48" spans="1:21">
      <c r="A48" s="158">
        <v>26</v>
      </c>
      <c r="B48" s="156" t="s">
        <v>140</v>
      </c>
      <c r="E48" s="158">
        <v>26</v>
      </c>
      <c r="F48" s="156" t="s">
        <v>140</v>
      </c>
      <c r="I48" s="162">
        <f>ROUND(0.35*I45,0)</f>
        <v>0</v>
      </c>
      <c r="J48" s="162">
        <f>ROUND(0.35*J45,0)</f>
        <v>0</v>
      </c>
      <c r="K48" s="162">
        <f>ROUND(0.35*K45,0)</f>
        <v>0</v>
      </c>
      <c r="L48" s="162">
        <f>ROUND(0.35*L45,0)</f>
        <v>0</v>
      </c>
      <c r="M48" s="528">
        <f>ROUND(0.35*M45,0)</f>
        <v>0</v>
      </c>
      <c r="N48" s="537">
        <f t="shared" ref="N48:T48" si="19">ROUND(0.35*N45,0)</f>
        <v>0</v>
      </c>
      <c r="O48" s="528">
        <f t="shared" si="19"/>
        <v>0</v>
      </c>
      <c r="P48" s="162">
        <f t="shared" si="19"/>
        <v>0</v>
      </c>
      <c r="Q48" s="162">
        <f t="shared" si="19"/>
        <v>0</v>
      </c>
      <c r="R48" s="162">
        <f t="shared" si="19"/>
        <v>0</v>
      </c>
      <c r="S48" s="162">
        <f t="shared" si="19"/>
        <v>0</v>
      </c>
      <c r="T48" s="162">
        <f t="shared" si="19"/>
        <v>0</v>
      </c>
      <c r="U48" s="162">
        <f t="shared" ref="U48" si="20">ROUND(0.35*U45,0)</f>
        <v>0</v>
      </c>
    </row>
    <row r="49" spans="1:21">
      <c r="A49" s="158">
        <v>27</v>
      </c>
      <c r="B49" s="156" t="s">
        <v>141</v>
      </c>
      <c r="E49" s="158">
        <v>27</v>
      </c>
      <c r="F49" s="156" t="s">
        <v>141</v>
      </c>
      <c r="I49" s="162"/>
      <c r="J49" s="162"/>
      <c r="K49" s="162"/>
      <c r="L49" s="162"/>
      <c r="M49" s="528"/>
      <c r="N49" s="537"/>
      <c r="O49" s="528"/>
      <c r="P49" s="162"/>
      <c r="Q49" s="162"/>
      <c r="R49" s="162"/>
      <c r="S49" s="162"/>
      <c r="T49" s="162"/>
      <c r="U49" s="162"/>
    </row>
    <row r="50" spans="1:21">
      <c r="A50" s="158">
        <v>28</v>
      </c>
      <c r="B50" s="156" t="s">
        <v>64</v>
      </c>
      <c r="E50" s="158">
        <v>28</v>
      </c>
      <c r="F50" s="156" t="s">
        <v>64</v>
      </c>
      <c r="I50" s="162"/>
      <c r="J50" s="162"/>
      <c r="K50" s="162"/>
      <c r="L50" s="162"/>
      <c r="M50" s="528"/>
      <c r="N50" s="537"/>
      <c r="O50" s="528"/>
      <c r="P50" s="162"/>
      <c r="Q50" s="162"/>
      <c r="R50" s="162"/>
      <c r="S50" s="162"/>
      <c r="T50" s="162"/>
      <c r="U50" s="162"/>
    </row>
    <row r="51" spans="1:21">
      <c r="A51" s="158">
        <v>29</v>
      </c>
      <c r="B51" s="156" t="s">
        <v>63</v>
      </c>
      <c r="E51" s="158">
        <v>29</v>
      </c>
      <c r="F51" s="156" t="s">
        <v>63</v>
      </c>
      <c r="I51" s="163"/>
      <c r="J51" s="163"/>
      <c r="K51" s="163"/>
      <c r="L51" s="163"/>
      <c r="M51" s="529"/>
      <c r="N51" s="538"/>
      <c r="O51" s="529"/>
      <c r="P51" s="163"/>
      <c r="Q51" s="163"/>
      <c r="R51" s="163"/>
      <c r="S51" s="163"/>
      <c r="T51" s="163"/>
      <c r="U51" s="163"/>
    </row>
    <row r="52" spans="1:21">
      <c r="A52" s="158"/>
      <c r="E52" s="158"/>
      <c r="I52" s="162"/>
      <c r="J52" s="162"/>
      <c r="K52" s="162"/>
      <c r="L52" s="162"/>
      <c r="M52" s="528"/>
      <c r="N52" s="537"/>
      <c r="O52" s="528"/>
      <c r="P52" s="162"/>
      <c r="Q52" s="162"/>
      <c r="R52" s="162"/>
      <c r="S52" s="162"/>
      <c r="T52" s="162"/>
      <c r="U52" s="162"/>
    </row>
    <row r="53" spans="1:21">
      <c r="A53" s="158">
        <v>30</v>
      </c>
      <c r="B53" s="156" t="s">
        <v>62</v>
      </c>
      <c r="E53" s="158">
        <v>30</v>
      </c>
      <c r="F53" s="156" t="s">
        <v>62</v>
      </c>
      <c r="I53" s="162">
        <f>I45-I48-I49-I50-I51</f>
        <v>0</v>
      </c>
      <c r="J53" s="162">
        <f>J45-J48-J49-J50-J51</f>
        <v>0</v>
      </c>
      <c r="K53" s="162">
        <f>K45-K48-K49-K50-K51</f>
        <v>0</v>
      </c>
      <c r="L53" s="162">
        <f>L45-L48-L49-L50-L51</f>
        <v>0</v>
      </c>
      <c r="M53" s="528">
        <f>M45-M48-M49-M50-M51</f>
        <v>0</v>
      </c>
      <c r="N53" s="537">
        <f t="shared" ref="N53:T53" si="21">N45-N48-N49-N50-N51</f>
        <v>0</v>
      </c>
      <c r="O53" s="528">
        <f t="shared" si="21"/>
        <v>0</v>
      </c>
      <c r="P53" s="162">
        <f t="shared" si="21"/>
        <v>0</v>
      </c>
      <c r="Q53" s="162">
        <f t="shared" si="21"/>
        <v>0</v>
      </c>
      <c r="R53" s="162">
        <f t="shared" si="21"/>
        <v>0</v>
      </c>
      <c r="S53" s="162">
        <f t="shared" si="21"/>
        <v>0</v>
      </c>
      <c r="T53" s="162">
        <f t="shared" si="21"/>
        <v>0</v>
      </c>
      <c r="U53" s="162">
        <f t="shared" ref="U53" si="22">U45-U48-U49-U50-U51</f>
        <v>0</v>
      </c>
    </row>
    <row r="54" spans="1:21">
      <c r="A54" s="158"/>
      <c r="E54" s="158"/>
    </row>
    <row r="55" spans="1:21">
      <c r="B55" s="156" t="s">
        <v>238</v>
      </c>
      <c r="F55" s="156" t="s">
        <v>493</v>
      </c>
    </row>
    <row r="56" spans="1:21">
      <c r="F56" s="156" t="s">
        <v>298</v>
      </c>
    </row>
    <row r="57" spans="1:21">
      <c r="F57" s="156" t="s">
        <v>296</v>
      </c>
    </row>
    <row r="58" spans="1:21">
      <c r="F58" s="156" t="s">
        <v>495</v>
      </c>
    </row>
  </sheetData>
  <phoneticPr fontId="55" type="noConversion"/>
  <pageMargins left="0.7" right="0.7" top="0.19" bottom="0.5" header="0.17" footer="0.3"/>
  <pageSetup scale="75" orientation="landscape" cellComments="asDisplayed" r:id="rId1"/>
  <headerFooter>
    <oddFooter>&amp;C&amp;F / &amp;A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U84"/>
  <sheetViews>
    <sheetView view="pageBreakPreview" zoomScaleNormal="100" zoomScaleSheetLayoutView="100" workbookViewId="0">
      <selection activeCell="P97" sqref="P97"/>
    </sheetView>
  </sheetViews>
  <sheetFormatPr defaultColWidth="10.7109375" defaultRowHeight="12.75"/>
  <cols>
    <col min="1" max="1" width="4.7109375" style="17" customWidth="1"/>
    <col min="2" max="3" width="1.7109375" style="13" customWidth="1"/>
    <col min="4" max="4" width="21.85546875" style="13" customWidth="1"/>
    <col min="5" max="5" width="3" style="400" customWidth="1"/>
    <col min="6" max="6" width="10.7109375" style="14" customWidth="1"/>
    <col min="7" max="7" width="10.7109375" style="16" customWidth="1"/>
    <col min="8" max="10" width="10.7109375" style="13" customWidth="1"/>
    <col min="11" max="11" width="10.7109375" style="14" customWidth="1"/>
    <col min="12" max="13" width="10.7109375" style="13" customWidth="1"/>
    <col min="14" max="14" width="10.7109375" style="400" customWidth="1"/>
    <col min="15" max="15" width="10.7109375" style="14" customWidth="1"/>
    <col min="16" max="16" width="10.7109375" style="13" customWidth="1"/>
    <col min="17" max="20" width="10.7109375" style="13"/>
    <col min="21" max="21" width="12.5703125" style="13" customWidth="1"/>
    <col min="22" max="16384" width="10.7109375" style="13"/>
  </cols>
  <sheetData>
    <row r="1" spans="1:20">
      <c r="A1" s="39" t="s">
        <v>94</v>
      </c>
      <c r="D1" s="17"/>
    </row>
    <row r="2" spans="1:20">
      <c r="A2" s="39" t="s">
        <v>134</v>
      </c>
      <c r="D2" s="17"/>
    </row>
    <row r="3" spans="1:20">
      <c r="A3" s="39" t="s">
        <v>384</v>
      </c>
      <c r="D3" s="17"/>
      <c r="H3" s="14" t="s">
        <v>385</v>
      </c>
    </row>
    <row r="4" spans="1:20">
      <c r="A4" s="39" t="s">
        <v>93</v>
      </c>
      <c r="D4" s="17"/>
      <c r="K4" s="26"/>
    </row>
    <row r="5" spans="1:20" s="25" customFormat="1">
      <c r="A5" s="28"/>
      <c r="D5" s="28"/>
      <c r="E5" s="400"/>
      <c r="F5" s="26"/>
      <c r="G5" s="27"/>
      <c r="K5" s="26"/>
      <c r="O5" s="26"/>
    </row>
    <row r="6" spans="1:20" s="25" customFormat="1" ht="12" customHeight="1">
      <c r="A6" s="37"/>
      <c r="B6" s="36"/>
      <c r="C6" s="35"/>
      <c r="D6" s="35"/>
      <c r="E6" s="400"/>
      <c r="F6" s="34"/>
      <c r="G6" s="27"/>
      <c r="K6" s="34"/>
      <c r="O6" s="34"/>
    </row>
    <row r="7" spans="1:20" s="25" customFormat="1">
      <c r="A7" s="33" t="s">
        <v>3</v>
      </c>
      <c r="B7" s="32"/>
      <c r="C7" s="27"/>
      <c r="D7" s="27"/>
      <c r="E7" s="400"/>
      <c r="F7" s="26"/>
      <c r="G7" s="27"/>
      <c r="K7" s="26"/>
      <c r="O7" s="26"/>
      <c r="T7" s="708" t="s">
        <v>662</v>
      </c>
    </row>
    <row r="8" spans="1:20" s="25" customFormat="1">
      <c r="A8" s="31" t="s">
        <v>90</v>
      </c>
      <c r="B8" s="30"/>
      <c r="C8" s="29"/>
      <c r="D8" s="29" t="s">
        <v>4</v>
      </c>
      <c r="E8" s="400"/>
      <c r="F8" s="401" t="s">
        <v>386</v>
      </c>
      <c r="G8" s="401" t="s">
        <v>387</v>
      </c>
      <c r="H8" s="401" t="s">
        <v>388</v>
      </c>
      <c r="I8" s="401" t="s">
        <v>389</v>
      </c>
      <c r="J8" s="401" t="s">
        <v>390</v>
      </c>
      <c r="K8" s="401" t="s">
        <v>391</v>
      </c>
      <c r="L8" s="401" t="s">
        <v>392</v>
      </c>
      <c r="M8" s="401" t="s">
        <v>393</v>
      </c>
      <c r="N8" s="401" t="s">
        <v>394</v>
      </c>
      <c r="O8" s="401" t="s">
        <v>395</v>
      </c>
      <c r="P8" s="401" t="s">
        <v>396</v>
      </c>
      <c r="Q8" s="401" t="s">
        <v>397</v>
      </c>
      <c r="R8" s="401" t="s">
        <v>398</v>
      </c>
      <c r="S8" s="401" t="s">
        <v>484</v>
      </c>
      <c r="T8" s="401" t="s">
        <v>604</v>
      </c>
    </row>
    <row r="9" spans="1:20" s="76" customFormat="1">
      <c r="B9" s="77" t="s">
        <v>135</v>
      </c>
      <c r="E9" s="400"/>
      <c r="F9" s="79"/>
      <c r="G9" s="80"/>
      <c r="K9" s="78"/>
      <c r="O9" s="79"/>
    </row>
    <row r="10" spans="1:20" s="76" customFormat="1">
      <c r="B10" s="77" t="s">
        <v>136</v>
      </c>
      <c r="E10" s="400"/>
      <c r="F10" s="79"/>
      <c r="G10" s="80"/>
      <c r="K10" s="78"/>
      <c r="O10" s="79"/>
    </row>
    <row r="11" spans="1:20" s="76" customFormat="1">
      <c r="B11" s="77"/>
      <c r="E11" s="400"/>
      <c r="F11" s="79"/>
      <c r="G11" s="80"/>
      <c r="K11" s="78"/>
      <c r="O11" s="79"/>
    </row>
    <row r="12" spans="1:20">
      <c r="B12" s="13" t="s">
        <v>86</v>
      </c>
    </row>
    <row r="13" spans="1:20" s="20" customFormat="1">
      <c r="A13" s="19">
        <v>1</v>
      </c>
      <c r="B13" s="20" t="s">
        <v>85</v>
      </c>
      <c r="E13" s="400"/>
      <c r="F13" s="402">
        <v>242529</v>
      </c>
      <c r="G13" s="402">
        <v>258201</v>
      </c>
      <c r="H13" s="402">
        <v>273318</v>
      </c>
      <c r="I13" s="402">
        <v>283356</v>
      </c>
      <c r="J13" s="402">
        <v>285399</v>
      </c>
      <c r="K13" s="402">
        <v>289216</v>
      </c>
      <c r="L13" s="402">
        <v>321929</v>
      </c>
      <c r="M13" s="402">
        <v>326335</v>
      </c>
      <c r="N13" s="402">
        <v>365425</v>
      </c>
      <c r="O13" s="402">
        <v>402618</v>
      </c>
      <c r="P13" s="402">
        <v>415739.9703632</v>
      </c>
      <c r="Q13" s="402">
        <v>451837</v>
      </c>
      <c r="R13" s="402">
        <v>460195</v>
      </c>
      <c r="S13" s="402">
        <v>468006</v>
      </c>
      <c r="T13" s="402">
        <v>488372</v>
      </c>
    </row>
    <row r="14" spans="1:20" s="22" customFormat="1">
      <c r="A14" s="19">
        <v>2</v>
      </c>
      <c r="B14" s="22" t="s">
        <v>84</v>
      </c>
      <c r="E14" s="400"/>
      <c r="F14" s="403">
        <v>546</v>
      </c>
      <c r="G14" s="403">
        <v>528</v>
      </c>
      <c r="H14" s="403">
        <v>791</v>
      </c>
      <c r="I14" s="403">
        <v>752</v>
      </c>
      <c r="J14" s="403">
        <v>752</v>
      </c>
      <c r="K14" s="403">
        <v>713</v>
      </c>
      <c r="L14" s="403">
        <v>733</v>
      </c>
      <c r="M14" s="403">
        <v>739</v>
      </c>
      <c r="N14" s="403">
        <v>820</v>
      </c>
      <c r="O14" s="403">
        <v>871.54909999999995</v>
      </c>
      <c r="P14" s="403">
        <v>790</v>
      </c>
      <c r="Q14" s="403">
        <v>820</v>
      </c>
      <c r="R14" s="403">
        <v>-113</v>
      </c>
      <c r="S14" s="403">
        <v>884</v>
      </c>
      <c r="T14" s="403">
        <v>922</v>
      </c>
    </row>
    <row r="15" spans="1:20" s="22" customFormat="1">
      <c r="A15" s="19">
        <v>3</v>
      </c>
      <c r="B15" s="22" t="s">
        <v>83</v>
      </c>
      <c r="E15" s="400"/>
      <c r="F15" s="404">
        <v>137117</v>
      </c>
      <c r="G15" s="404">
        <v>91388</v>
      </c>
      <c r="H15" s="404">
        <v>29918</v>
      </c>
      <c r="I15" s="404">
        <v>35252</v>
      </c>
      <c r="J15" s="404">
        <v>40460</v>
      </c>
      <c r="K15" s="404">
        <v>44718</v>
      </c>
      <c r="L15" s="404">
        <v>35380</v>
      </c>
      <c r="M15" s="404">
        <v>34954</v>
      </c>
      <c r="N15" s="404">
        <v>46848</v>
      </c>
      <c r="O15" s="404">
        <v>31491</v>
      </c>
      <c r="P15" s="404">
        <v>133479</v>
      </c>
      <c r="Q15" s="404">
        <v>52604</v>
      </c>
      <c r="R15" s="404">
        <v>54549</v>
      </c>
      <c r="S15" s="404">
        <v>75349</v>
      </c>
      <c r="T15" s="404">
        <v>60998</v>
      </c>
    </row>
    <row r="16" spans="1:20" s="22" customFormat="1">
      <c r="A16" s="19">
        <v>4</v>
      </c>
      <c r="B16" s="22" t="s">
        <v>82</v>
      </c>
      <c r="E16" s="400"/>
      <c r="F16" s="405">
        <v>380192</v>
      </c>
      <c r="G16" s="405">
        <v>350117</v>
      </c>
      <c r="H16" s="405">
        <v>304027</v>
      </c>
      <c r="I16" s="405">
        <v>319360</v>
      </c>
      <c r="J16" s="405">
        <v>326611</v>
      </c>
      <c r="K16" s="405">
        <v>334647</v>
      </c>
      <c r="L16" s="405">
        <v>358042</v>
      </c>
      <c r="M16" s="405">
        <v>362028</v>
      </c>
      <c r="N16" s="405">
        <v>413093</v>
      </c>
      <c r="O16" s="405">
        <v>434980.5491</v>
      </c>
      <c r="P16" s="405">
        <v>550008.97036319994</v>
      </c>
      <c r="Q16" s="405">
        <v>505261</v>
      </c>
      <c r="R16" s="405">
        <v>514631</v>
      </c>
      <c r="S16" s="405">
        <f>SUM(S13:S15)</f>
        <v>544239</v>
      </c>
      <c r="T16" s="405">
        <f>SUM(T13:T15)</f>
        <v>550292</v>
      </c>
    </row>
    <row r="17" spans="1:21" s="22" customFormat="1">
      <c r="A17" s="19">
        <v>5</v>
      </c>
      <c r="B17" s="22" t="s">
        <v>81</v>
      </c>
      <c r="E17" s="400"/>
      <c r="F17" s="404">
        <v>13062</v>
      </c>
      <c r="G17" s="404">
        <v>14305</v>
      </c>
      <c r="H17" s="404">
        <v>34274</v>
      </c>
      <c r="I17" s="404">
        <v>57244</v>
      </c>
      <c r="J17" s="404">
        <v>8587</v>
      </c>
      <c r="K17" s="404">
        <v>10259</v>
      </c>
      <c r="L17" s="404">
        <v>10178</v>
      </c>
      <c r="M17" s="404">
        <v>10170</v>
      </c>
      <c r="N17" s="404">
        <v>10927</v>
      </c>
      <c r="O17" s="404">
        <v>9395</v>
      </c>
      <c r="P17" s="404">
        <v>11786</v>
      </c>
      <c r="Q17" s="404">
        <v>13666</v>
      </c>
      <c r="R17" s="404">
        <v>13089</v>
      </c>
      <c r="S17" s="404">
        <v>13408</v>
      </c>
      <c r="T17" s="404">
        <v>17163</v>
      </c>
    </row>
    <row r="18" spans="1:21" s="22" customFormat="1">
      <c r="A18" s="19">
        <v>6</v>
      </c>
      <c r="B18" s="22" t="s">
        <v>80</v>
      </c>
      <c r="E18" s="400"/>
      <c r="F18" s="405">
        <v>393254</v>
      </c>
      <c r="G18" s="405">
        <v>364422</v>
      </c>
      <c r="H18" s="405">
        <v>338301</v>
      </c>
      <c r="I18" s="405">
        <v>376604</v>
      </c>
      <c r="J18" s="405">
        <v>335198</v>
      </c>
      <c r="K18" s="405">
        <v>344906</v>
      </c>
      <c r="L18" s="405">
        <v>368220</v>
      </c>
      <c r="M18" s="405">
        <v>372198</v>
      </c>
      <c r="N18" s="405">
        <v>424020</v>
      </c>
      <c r="O18" s="405">
        <v>444375.5491</v>
      </c>
      <c r="P18" s="405">
        <v>561794.97036319994</v>
      </c>
      <c r="Q18" s="405">
        <v>518927</v>
      </c>
      <c r="R18" s="405">
        <v>527720</v>
      </c>
      <c r="S18" s="405">
        <f>SUM(S16:S17)</f>
        <v>557647</v>
      </c>
      <c r="T18" s="405">
        <f>SUM(T16:T17)</f>
        <v>567455</v>
      </c>
    </row>
    <row r="19" spans="1:21" s="22" customFormat="1">
      <c r="A19" s="19"/>
      <c r="E19" s="400"/>
      <c r="F19" s="406"/>
      <c r="G19" s="406"/>
      <c r="H19" s="406"/>
      <c r="I19" s="406"/>
      <c r="J19" s="406"/>
      <c r="K19" s="406"/>
      <c r="L19" s="406"/>
      <c r="M19" s="405"/>
      <c r="N19" s="405"/>
      <c r="O19" s="405"/>
      <c r="P19" s="405"/>
      <c r="Q19" s="405"/>
      <c r="R19" s="405"/>
      <c r="S19" s="405"/>
      <c r="T19" s="405"/>
    </row>
    <row r="20" spans="1:21" s="22" customFormat="1">
      <c r="A20" s="19"/>
      <c r="B20" s="22" t="s">
        <v>79</v>
      </c>
      <c r="E20" s="400"/>
      <c r="F20" s="406"/>
      <c r="G20" s="406"/>
      <c r="H20" s="406"/>
      <c r="I20" s="406"/>
      <c r="J20" s="406"/>
      <c r="K20" s="406"/>
      <c r="L20" s="406"/>
      <c r="M20" s="405"/>
      <c r="N20" s="405"/>
      <c r="O20" s="405"/>
      <c r="P20" s="405"/>
      <c r="Q20" s="405"/>
      <c r="R20" s="405"/>
      <c r="S20" s="405"/>
      <c r="T20" s="405"/>
    </row>
    <row r="21" spans="1:21" s="22" customFormat="1">
      <c r="A21" s="19"/>
      <c r="B21" s="22" t="s">
        <v>78</v>
      </c>
      <c r="E21" s="400"/>
      <c r="F21" s="406"/>
      <c r="G21" s="406"/>
      <c r="H21" s="406"/>
      <c r="I21" s="406"/>
      <c r="J21" s="406"/>
      <c r="K21" s="406"/>
      <c r="L21" s="406"/>
      <c r="M21" s="405"/>
      <c r="N21" s="405"/>
      <c r="O21" s="405"/>
      <c r="P21" s="405"/>
      <c r="Q21" s="405"/>
      <c r="R21" s="405"/>
      <c r="S21" s="405"/>
      <c r="T21" s="405"/>
    </row>
    <row r="22" spans="1:21" s="22" customFormat="1">
      <c r="A22" s="19">
        <v>7</v>
      </c>
      <c r="C22" s="22" t="s">
        <v>70</v>
      </c>
      <c r="E22" s="400"/>
      <c r="F22" s="403">
        <v>78721</v>
      </c>
      <c r="G22" s="403">
        <v>47157</v>
      </c>
      <c r="H22" s="403">
        <v>101475</v>
      </c>
      <c r="I22" s="403">
        <v>132098</v>
      </c>
      <c r="J22" s="403">
        <v>101545</v>
      </c>
      <c r="K22" s="403">
        <v>105374</v>
      </c>
      <c r="L22" s="403">
        <v>104260</v>
      </c>
      <c r="M22" s="403">
        <v>102890</v>
      </c>
      <c r="N22" s="403">
        <v>117123</v>
      </c>
      <c r="O22" s="403">
        <v>87599</v>
      </c>
      <c r="P22" s="403">
        <v>147107</v>
      </c>
      <c r="Q22" s="403">
        <v>145634</v>
      </c>
      <c r="R22" s="403">
        <v>131795</v>
      </c>
      <c r="S22" s="403">
        <v>143904</v>
      </c>
      <c r="T22" s="757">
        <v>120307</v>
      </c>
      <c r="U22" s="758" t="s">
        <v>680</v>
      </c>
    </row>
    <row r="23" spans="1:21" s="22" customFormat="1">
      <c r="A23" s="19">
        <v>8</v>
      </c>
      <c r="C23" s="22" t="s">
        <v>77</v>
      </c>
      <c r="E23" s="400"/>
      <c r="F23" s="403">
        <v>181189</v>
      </c>
      <c r="G23" s="403">
        <v>132159</v>
      </c>
      <c r="H23" s="403">
        <v>50769</v>
      </c>
      <c r="I23" s="403">
        <v>46591</v>
      </c>
      <c r="J23" s="403">
        <v>51042</v>
      </c>
      <c r="K23" s="403">
        <v>55046</v>
      </c>
      <c r="L23" s="403">
        <v>79146</v>
      </c>
      <c r="M23" s="403">
        <v>65640</v>
      </c>
      <c r="N23" s="403">
        <v>72508</v>
      </c>
      <c r="O23" s="757">
        <f>104869-4432</f>
        <v>100437</v>
      </c>
      <c r="P23" s="403">
        <v>142197</v>
      </c>
      <c r="Q23" s="403">
        <v>91142</v>
      </c>
      <c r="R23" s="403">
        <v>101283</v>
      </c>
      <c r="S23" s="403">
        <v>109034</v>
      </c>
      <c r="T23" s="403">
        <v>116643</v>
      </c>
      <c r="U23" s="758" t="s">
        <v>681</v>
      </c>
    </row>
    <row r="24" spans="1:21" s="22" customFormat="1">
      <c r="A24" s="19">
        <v>9</v>
      </c>
      <c r="C24" s="22" t="s">
        <v>137</v>
      </c>
      <c r="E24" s="400"/>
      <c r="F24" s="403">
        <v>-3114</v>
      </c>
      <c r="G24" s="403">
        <v>9152</v>
      </c>
      <c r="H24" s="403">
        <v>13808</v>
      </c>
      <c r="I24" s="403">
        <v>14915</v>
      </c>
      <c r="J24" s="403">
        <v>22879</v>
      </c>
      <c r="K24" s="403">
        <v>13812</v>
      </c>
      <c r="L24" s="403">
        <v>25745</v>
      </c>
      <c r="M24" s="403">
        <v>21795</v>
      </c>
      <c r="N24" s="403">
        <v>22000</v>
      </c>
      <c r="O24" s="403">
        <v>22266</v>
      </c>
      <c r="P24" s="403">
        <v>22129</v>
      </c>
      <c r="Q24" s="403">
        <v>25158</v>
      </c>
      <c r="R24" s="403">
        <v>25872</v>
      </c>
      <c r="S24" s="403">
        <v>23284</v>
      </c>
      <c r="T24" s="403">
        <v>23715</v>
      </c>
    </row>
    <row r="25" spans="1:21" s="22" customFormat="1">
      <c r="A25" s="19">
        <v>10</v>
      </c>
      <c r="C25" s="23" t="s">
        <v>138</v>
      </c>
      <c r="D25" s="23"/>
      <c r="E25" s="400"/>
      <c r="Q25" s="22">
        <v>403</v>
      </c>
      <c r="R25" s="22">
        <v>-7936</v>
      </c>
      <c r="S25" s="22">
        <v>8629</v>
      </c>
      <c r="T25" s="22">
        <v>8101</v>
      </c>
    </row>
    <row r="26" spans="1:21" s="22" customFormat="1">
      <c r="A26" s="19">
        <v>11</v>
      </c>
      <c r="C26" s="22" t="s">
        <v>69</v>
      </c>
      <c r="E26" s="400"/>
      <c r="F26" s="404">
        <v>9346</v>
      </c>
      <c r="G26" s="404">
        <v>5139</v>
      </c>
      <c r="H26" s="404">
        <v>7164</v>
      </c>
      <c r="I26" s="404">
        <v>6722</v>
      </c>
      <c r="J26" s="404">
        <v>7283</v>
      </c>
      <c r="K26" s="404">
        <v>9900</v>
      </c>
      <c r="L26" s="404">
        <v>9115</v>
      </c>
      <c r="M26" s="404">
        <v>8319</v>
      </c>
      <c r="N26" s="404">
        <v>8146</v>
      </c>
      <c r="O26" s="404">
        <v>9014</v>
      </c>
      <c r="P26" s="404">
        <v>9955</v>
      </c>
      <c r="Q26" s="404">
        <v>10846</v>
      </c>
      <c r="R26" s="404">
        <v>11456</v>
      </c>
      <c r="S26" s="404">
        <v>12913</v>
      </c>
      <c r="T26" s="404">
        <v>12828</v>
      </c>
    </row>
    <row r="27" spans="1:21" s="22" customFormat="1">
      <c r="A27" s="19">
        <v>12</v>
      </c>
      <c r="B27" s="22" t="s">
        <v>76</v>
      </c>
      <c r="E27" s="400"/>
      <c r="F27" s="405">
        <v>266142</v>
      </c>
      <c r="G27" s="405">
        <v>193607</v>
      </c>
      <c r="H27" s="405">
        <v>173216</v>
      </c>
      <c r="I27" s="405">
        <v>200326</v>
      </c>
      <c r="J27" s="405">
        <v>182749</v>
      </c>
      <c r="K27" s="405">
        <v>184132</v>
      </c>
      <c r="L27" s="405">
        <v>218266</v>
      </c>
      <c r="M27" s="405">
        <v>198644</v>
      </c>
      <c r="N27" s="405">
        <v>219777</v>
      </c>
      <c r="O27" s="405">
        <v>223748</v>
      </c>
      <c r="P27" s="405">
        <v>321388</v>
      </c>
      <c r="Q27" s="405">
        <v>273183</v>
      </c>
      <c r="R27" s="405">
        <v>262470</v>
      </c>
      <c r="S27" s="405">
        <f>SUM(S22:S26)</f>
        <v>297764</v>
      </c>
      <c r="T27" s="405">
        <f>SUM(T22:T26)</f>
        <v>281594</v>
      </c>
    </row>
    <row r="28" spans="1:21" s="22" customFormat="1">
      <c r="A28" s="19"/>
      <c r="E28" s="400"/>
      <c r="F28" s="405"/>
      <c r="G28" s="405"/>
      <c r="H28" s="405"/>
      <c r="I28" s="405"/>
      <c r="J28" s="405"/>
      <c r="K28" s="405"/>
      <c r="L28" s="405"/>
      <c r="M28" s="405"/>
      <c r="N28" s="405"/>
      <c r="O28" s="405"/>
      <c r="P28" s="405"/>
      <c r="Q28" s="405"/>
      <c r="R28" s="405"/>
      <c r="S28" s="405"/>
      <c r="T28" s="405"/>
    </row>
    <row r="29" spans="1:21" s="22" customFormat="1">
      <c r="A29" s="19"/>
      <c r="B29" s="22" t="s">
        <v>56</v>
      </c>
      <c r="E29" s="400"/>
      <c r="F29" s="405"/>
      <c r="G29" s="405"/>
      <c r="H29" s="405"/>
      <c r="I29" s="405"/>
      <c r="J29" s="405"/>
      <c r="K29" s="405"/>
      <c r="L29" s="405"/>
      <c r="M29" s="405"/>
      <c r="N29" s="405"/>
      <c r="O29" s="405"/>
      <c r="P29" s="405"/>
      <c r="Q29" s="405"/>
      <c r="R29" s="405"/>
      <c r="S29" s="405"/>
      <c r="T29" s="405"/>
    </row>
    <row r="30" spans="1:21" s="22" customFormat="1">
      <c r="A30" s="19">
        <v>13</v>
      </c>
      <c r="C30" s="22" t="s">
        <v>70</v>
      </c>
      <c r="E30" s="400"/>
      <c r="F30" s="403">
        <v>9418</v>
      </c>
      <c r="G30" s="403">
        <v>10560</v>
      </c>
      <c r="H30" s="403">
        <v>9631</v>
      </c>
      <c r="I30" s="403">
        <v>10171</v>
      </c>
      <c r="J30" s="403">
        <v>12016</v>
      </c>
      <c r="K30" s="403">
        <v>14263</v>
      </c>
      <c r="L30" s="403">
        <v>15485</v>
      </c>
      <c r="M30" s="403">
        <v>14563</v>
      </c>
      <c r="N30" s="403">
        <v>17329</v>
      </c>
      <c r="O30" s="403">
        <v>17267</v>
      </c>
      <c r="P30" s="403">
        <v>18354</v>
      </c>
      <c r="Q30" s="403">
        <v>19081</v>
      </c>
      <c r="R30" s="403">
        <v>21152</v>
      </c>
      <c r="S30" s="403">
        <v>20878</v>
      </c>
      <c r="T30" s="403">
        <v>21299</v>
      </c>
    </row>
    <row r="31" spans="1:21" s="22" customFormat="1">
      <c r="A31" s="19">
        <v>14</v>
      </c>
      <c r="C31" s="22" t="s">
        <v>139</v>
      </c>
      <c r="E31" s="400"/>
      <c r="F31" s="403">
        <v>9056</v>
      </c>
      <c r="G31" s="403">
        <v>9178</v>
      </c>
      <c r="H31" s="403">
        <v>9427</v>
      </c>
      <c r="I31" s="403">
        <v>9752</v>
      </c>
      <c r="J31" s="403">
        <v>10067</v>
      </c>
      <c r="K31" s="403">
        <v>10399</v>
      </c>
      <c r="L31" s="403">
        <v>10776</v>
      </c>
      <c r="M31" s="403">
        <v>11333</v>
      </c>
      <c r="N31" s="403">
        <v>15611</v>
      </c>
      <c r="O31" s="403">
        <v>16809</v>
      </c>
      <c r="P31" s="403">
        <v>17985</v>
      </c>
      <c r="Q31" s="403">
        <v>19240</v>
      </c>
      <c r="R31" s="403">
        <v>20749</v>
      </c>
      <c r="S31" s="403">
        <v>22303</v>
      </c>
      <c r="T31" s="403">
        <v>23794</v>
      </c>
    </row>
    <row r="32" spans="1:21" s="22" customFormat="1">
      <c r="A32" s="19">
        <v>15</v>
      </c>
      <c r="C32" s="22" t="s">
        <v>69</v>
      </c>
      <c r="E32" s="400"/>
      <c r="F32" s="404">
        <v>11693</v>
      </c>
      <c r="G32" s="404">
        <v>15462</v>
      </c>
      <c r="H32" s="404">
        <v>16996</v>
      </c>
      <c r="I32" s="404">
        <v>17286</v>
      </c>
      <c r="J32" s="404">
        <v>17401</v>
      </c>
      <c r="K32" s="404">
        <v>14988</v>
      </c>
      <c r="L32" s="404">
        <v>16307</v>
      </c>
      <c r="M32" s="404">
        <v>16156</v>
      </c>
      <c r="N32" s="404">
        <v>17416</v>
      </c>
      <c r="O32" s="404">
        <v>18207</v>
      </c>
      <c r="P32" s="404">
        <v>19990</v>
      </c>
      <c r="Q32" s="404">
        <v>22393.453812</v>
      </c>
      <c r="R32" s="404">
        <v>22594.925350000001</v>
      </c>
      <c r="S32" s="404">
        <v>23288</v>
      </c>
      <c r="T32" s="404">
        <v>25575</v>
      </c>
    </row>
    <row r="33" spans="1:20" s="22" customFormat="1">
      <c r="A33" s="19">
        <v>16</v>
      </c>
      <c r="B33" s="22" t="s">
        <v>75</v>
      </c>
      <c r="E33" s="400"/>
      <c r="F33" s="405">
        <v>30167</v>
      </c>
      <c r="G33" s="405">
        <v>35200</v>
      </c>
      <c r="H33" s="405">
        <v>36054</v>
      </c>
      <c r="I33" s="405">
        <v>37209</v>
      </c>
      <c r="J33" s="405">
        <v>39484</v>
      </c>
      <c r="K33" s="405">
        <v>39650</v>
      </c>
      <c r="L33" s="405">
        <v>42568</v>
      </c>
      <c r="M33" s="405">
        <v>42052</v>
      </c>
      <c r="N33" s="405">
        <v>50356</v>
      </c>
      <c r="O33" s="405">
        <v>52283</v>
      </c>
      <c r="P33" s="405">
        <v>56329</v>
      </c>
      <c r="Q33" s="405">
        <v>60714.453812</v>
      </c>
      <c r="R33" s="405">
        <v>64495.925350000005</v>
      </c>
      <c r="S33" s="405">
        <f>SUM(S30:S32)</f>
        <v>66469</v>
      </c>
      <c r="T33" s="405">
        <f>SUM(T30:T32)</f>
        <v>70668</v>
      </c>
    </row>
    <row r="34" spans="1:20" s="22" customFormat="1">
      <c r="E34" s="400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</row>
    <row r="35" spans="1:20" s="22" customFormat="1">
      <c r="A35" s="19">
        <v>17</v>
      </c>
      <c r="B35" s="22" t="s">
        <v>74</v>
      </c>
      <c r="E35" s="400"/>
      <c r="F35" s="403">
        <v>5768</v>
      </c>
      <c r="G35" s="403">
        <v>6196</v>
      </c>
      <c r="H35" s="403">
        <v>7113</v>
      </c>
      <c r="I35" s="403">
        <v>7129</v>
      </c>
      <c r="J35" s="403">
        <v>7352</v>
      </c>
      <c r="K35" s="403">
        <v>7156</v>
      </c>
      <c r="L35" s="403">
        <v>7097</v>
      </c>
      <c r="M35" s="403">
        <v>7514</v>
      </c>
      <c r="N35" s="403">
        <v>7919</v>
      </c>
      <c r="O35" s="403">
        <v>9646</v>
      </c>
      <c r="P35" s="403">
        <v>9261</v>
      </c>
      <c r="Q35" s="403">
        <v>10274.701588</v>
      </c>
      <c r="R35" s="403">
        <v>10335.791302</v>
      </c>
      <c r="S35" s="403">
        <v>11334</v>
      </c>
      <c r="T35" s="403">
        <v>11166</v>
      </c>
    </row>
    <row r="36" spans="1:20" s="22" customFormat="1">
      <c r="A36" s="19">
        <v>18</v>
      </c>
      <c r="B36" s="22" t="s">
        <v>73</v>
      </c>
      <c r="E36" s="400"/>
      <c r="F36" s="403">
        <v>5704</v>
      </c>
      <c r="G36" s="403">
        <v>5381</v>
      </c>
      <c r="H36" s="403">
        <v>6261</v>
      </c>
      <c r="I36" s="403">
        <v>6620</v>
      </c>
      <c r="J36" s="403">
        <v>266</v>
      </c>
      <c r="K36" s="403">
        <v>7127</v>
      </c>
      <c r="L36" s="403">
        <v>1159</v>
      </c>
      <c r="M36" s="403">
        <v>7472</v>
      </c>
      <c r="N36" s="403">
        <v>12847</v>
      </c>
      <c r="O36" s="403">
        <v>19736</v>
      </c>
      <c r="P36" s="403">
        <v>20832</v>
      </c>
      <c r="Q36" s="403">
        <v>21292</v>
      </c>
      <c r="R36" s="403">
        <v>18487</v>
      </c>
      <c r="S36" s="403">
        <v>1516</v>
      </c>
      <c r="T36" s="403">
        <v>1383</v>
      </c>
    </row>
    <row r="37" spans="1:20" s="22" customFormat="1">
      <c r="A37" s="19">
        <v>19</v>
      </c>
      <c r="B37" s="22" t="s">
        <v>72</v>
      </c>
      <c r="E37" s="400"/>
      <c r="F37" s="403">
        <v>1071</v>
      </c>
      <c r="G37" s="403">
        <v>734</v>
      </c>
      <c r="H37" s="403">
        <v>628</v>
      </c>
      <c r="I37" s="403">
        <v>734</v>
      </c>
      <c r="J37" s="403">
        <v>686</v>
      </c>
      <c r="K37" s="403">
        <v>430</v>
      </c>
      <c r="L37" s="403">
        <v>657</v>
      </c>
      <c r="M37" s="403">
        <v>682</v>
      </c>
      <c r="N37" s="403">
        <v>571</v>
      </c>
      <c r="O37" s="403">
        <v>660</v>
      </c>
      <c r="P37" s="403">
        <v>176</v>
      </c>
      <c r="Q37" s="403">
        <v>4</v>
      </c>
      <c r="R37" s="403">
        <v>5</v>
      </c>
      <c r="S37" s="403">
        <v>5</v>
      </c>
      <c r="T37" s="403">
        <v>0</v>
      </c>
    </row>
    <row r="38" spans="1:20" s="22" customFormat="1">
      <c r="A38" s="19"/>
      <c r="E38" s="400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</row>
    <row r="39" spans="1:20" s="22" customFormat="1">
      <c r="B39" s="22" t="s">
        <v>71</v>
      </c>
      <c r="E39" s="400"/>
      <c r="F39" s="405"/>
      <c r="G39" s="405"/>
      <c r="H39" s="405"/>
      <c r="I39" s="405"/>
      <c r="J39" s="405"/>
      <c r="K39" s="405"/>
      <c r="L39" s="405"/>
      <c r="M39" s="405"/>
      <c r="N39" s="405"/>
      <c r="O39" s="405"/>
      <c r="P39" s="405"/>
      <c r="Q39" s="405"/>
      <c r="R39" s="405"/>
      <c r="S39" s="405"/>
      <c r="T39" s="405"/>
    </row>
    <row r="40" spans="1:20" s="22" customFormat="1">
      <c r="A40" s="19">
        <v>20</v>
      </c>
      <c r="C40" s="22" t="s">
        <v>70</v>
      </c>
      <c r="E40" s="400"/>
      <c r="F40" s="403">
        <v>30350</v>
      </c>
      <c r="G40" s="403">
        <v>25102</v>
      </c>
      <c r="H40" s="403">
        <v>30304</v>
      </c>
      <c r="I40" s="403">
        <v>30153</v>
      </c>
      <c r="J40" s="403">
        <v>31927</v>
      </c>
      <c r="K40" s="403">
        <v>33143</v>
      </c>
      <c r="L40" s="403">
        <v>33148</v>
      </c>
      <c r="M40" s="403">
        <v>35844</v>
      </c>
      <c r="N40" s="403">
        <v>35982</v>
      </c>
      <c r="O40" s="403">
        <v>38461</v>
      </c>
      <c r="P40" s="403">
        <v>44662</v>
      </c>
      <c r="Q40" s="403">
        <v>44779.252</v>
      </c>
      <c r="R40" s="403">
        <v>49333.396000000001</v>
      </c>
      <c r="S40" s="403">
        <v>43310</v>
      </c>
      <c r="T40" s="403">
        <v>46210</v>
      </c>
    </row>
    <row r="41" spans="1:20" s="22" customFormat="1">
      <c r="A41" s="19">
        <v>21</v>
      </c>
      <c r="C41" s="22" t="s">
        <v>139</v>
      </c>
      <c r="E41" s="400"/>
      <c r="F41" s="403">
        <v>3998</v>
      </c>
      <c r="G41" s="403">
        <v>4414</v>
      </c>
      <c r="H41" s="403">
        <v>6606</v>
      </c>
      <c r="I41" s="403">
        <v>6659</v>
      </c>
      <c r="J41" s="403">
        <v>6072</v>
      </c>
      <c r="K41" s="403">
        <v>6537</v>
      </c>
      <c r="L41" s="403">
        <v>6459</v>
      </c>
      <c r="M41" s="403">
        <v>6739</v>
      </c>
      <c r="N41" s="403">
        <v>7187</v>
      </c>
      <c r="O41" s="403">
        <v>7688</v>
      </c>
      <c r="P41" s="403">
        <v>9277</v>
      </c>
      <c r="Q41" s="403">
        <v>10906</v>
      </c>
      <c r="R41" s="403">
        <v>12517</v>
      </c>
      <c r="S41" s="403">
        <v>14721</v>
      </c>
      <c r="T41" s="403">
        <v>16947</v>
      </c>
    </row>
    <row r="42" spans="1:20" s="22" customFormat="1">
      <c r="A42" s="81">
        <v>22</v>
      </c>
      <c r="C42" s="22" t="s">
        <v>69</v>
      </c>
      <c r="E42" s="400"/>
      <c r="F42" s="404">
        <v>5</v>
      </c>
      <c r="G42" s="404">
        <v>2</v>
      </c>
      <c r="H42" s="404">
        <v>1</v>
      </c>
      <c r="I42" s="404">
        <v>2</v>
      </c>
      <c r="J42" s="404">
        <v>3</v>
      </c>
      <c r="K42" s="404">
        <v>-4</v>
      </c>
      <c r="L42" s="404">
        <v>0</v>
      </c>
      <c r="M42" s="404">
        <v>-9</v>
      </c>
      <c r="N42" s="404">
        <v>-3</v>
      </c>
      <c r="O42" s="404">
        <v>-3</v>
      </c>
      <c r="P42" s="404">
        <v>2</v>
      </c>
      <c r="Q42" s="404">
        <v>0</v>
      </c>
      <c r="R42" s="404">
        <v>-4</v>
      </c>
      <c r="S42" s="404">
        <v>0</v>
      </c>
      <c r="T42" s="404">
        <v>0</v>
      </c>
    </row>
    <row r="43" spans="1:20" s="22" customFormat="1">
      <c r="A43" s="19">
        <v>23</v>
      </c>
      <c r="B43" s="22" t="s">
        <v>68</v>
      </c>
      <c r="E43" s="400"/>
      <c r="F43" s="407">
        <v>34353</v>
      </c>
      <c r="G43" s="407">
        <v>29518</v>
      </c>
      <c r="H43" s="407">
        <v>36911</v>
      </c>
      <c r="I43" s="407">
        <v>36814</v>
      </c>
      <c r="J43" s="407">
        <v>38002</v>
      </c>
      <c r="K43" s="407">
        <v>39676</v>
      </c>
      <c r="L43" s="407">
        <v>39607</v>
      </c>
      <c r="M43" s="407">
        <v>42574</v>
      </c>
      <c r="N43" s="407">
        <v>43166</v>
      </c>
      <c r="O43" s="407">
        <v>46146</v>
      </c>
      <c r="P43" s="407">
        <v>53941</v>
      </c>
      <c r="Q43" s="407">
        <v>55685.252</v>
      </c>
      <c r="R43" s="407">
        <v>61846.396000000001</v>
      </c>
      <c r="S43" s="407">
        <f>SUM(S40:S42)</f>
        <v>58031</v>
      </c>
      <c r="T43" s="407">
        <f>SUM(T40:T42)</f>
        <v>63157</v>
      </c>
    </row>
    <row r="44" spans="1:20" s="22" customFormat="1" ht="18" customHeight="1">
      <c r="A44" s="19">
        <v>24</v>
      </c>
      <c r="B44" s="22" t="s">
        <v>67</v>
      </c>
      <c r="E44" s="400"/>
      <c r="F44" s="407">
        <v>343205</v>
      </c>
      <c r="G44" s="407">
        <v>270636</v>
      </c>
      <c r="H44" s="407">
        <v>260183</v>
      </c>
      <c r="I44" s="407">
        <v>288832</v>
      </c>
      <c r="J44" s="407">
        <v>268539</v>
      </c>
      <c r="K44" s="407">
        <v>278171</v>
      </c>
      <c r="L44" s="407">
        <v>309354</v>
      </c>
      <c r="M44" s="407">
        <v>298938</v>
      </c>
      <c r="N44" s="407">
        <v>334636</v>
      </c>
      <c r="O44" s="407">
        <v>352219</v>
      </c>
      <c r="P44" s="407">
        <v>461927</v>
      </c>
      <c r="Q44" s="407">
        <v>421153.40740000003</v>
      </c>
      <c r="R44" s="407">
        <v>417640.11265200004</v>
      </c>
      <c r="S44" s="407">
        <f>S27+S33+S35+S36+S37+S43</f>
        <v>435119</v>
      </c>
      <c r="T44" s="407">
        <f>T27+T33+T35+T36+T37+T43</f>
        <v>427968</v>
      </c>
    </row>
    <row r="45" spans="1:20" s="22" customFormat="1">
      <c r="E45" s="400"/>
      <c r="F45" s="405"/>
      <c r="G45" s="405"/>
      <c r="H45" s="405"/>
      <c r="I45" s="405"/>
      <c r="J45" s="405"/>
      <c r="K45" s="405"/>
      <c r="L45" s="405"/>
      <c r="M45" s="405"/>
      <c r="N45" s="405"/>
      <c r="O45" s="405"/>
      <c r="P45" s="405"/>
      <c r="Q45" s="405"/>
      <c r="R45" s="405"/>
      <c r="S45" s="405"/>
      <c r="T45" s="405"/>
    </row>
    <row r="46" spans="1:20" s="22" customFormat="1">
      <c r="A46" s="19">
        <v>25</v>
      </c>
      <c r="B46" s="22" t="s">
        <v>66</v>
      </c>
      <c r="E46" s="400"/>
      <c r="F46" s="402">
        <v>50049</v>
      </c>
      <c r="G46" s="402">
        <v>93786</v>
      </c>
      <c r="H46" s="402">
        <v>78118</v>
      </c>
      <c r="I46" s="402">
        <v>87772</v>
      </c>
      <c r="J46" s="402">
        <v>66659</v>
      </c>
      <c r="K46" s="402">
        <v>66735</v>
      </c>
      <c r="L46" s="402">
        <v>58866</v>
      </c>
      <c r="M46" s="402">
        <v>73260</v>
      </c>
      <c r="N46" s="402">
        <v>89384</v>
      </c>
      <c r="O46" s="402">
        <v>92156.549100000004</v>
      </c>
      <c r="P46" s="402">
        <v>99867.970363199944</v>
      </c>
      <c r="Q46" s="402">
        <v>97773.592599999974</v>
      </c>
      <c r="R46" s="402">
        <v>110079.88734799996</v>
      </c>
      <c r="S46" s="402">
        <f>S18-S44</f>
        <v>122528</v>
      </c>
      <c r="T46" s="402">
        <f>T18-T44</f>
        <v>139487</v>
      </c>
    </row>
    <row r="47" spans="1:20" s="22" customFormat="1">
      <c r="A47" s="19"/>
      <c r="E47" s="400"/>
      <c r="F47" s="408"/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8"/>
      <c r="R47" s="408"/>
      <c r="S47" s="408"/>
      <c r="T47" s="408"/>
    </row>
    <row r="48" spans="1:20" s="22" customFormat="1">
      <c r="A48" s="21"/>
      <c r="B48" s="22" t="s">
        <v>65</v>
      </c>
      <c r="E48" s="400"/>
      <c r="F48" s="408"/>
      <c r="G48" s="408"/>
      <c r="H48" s="408"/>
      <c r="I48" s="408"/>
      <c r="J48" s="408"/>
      <c r="K48" s="408"/>
      <c r="L48" s="408"/>
      <c r="M48" s="408"/>
      <c r="N48" s="408"/>
      <c r="O48" s="408"/>
      <c r="P48" s="408"/>
      <c r="Q48" s="408"/>
      <c r="R48" s="408"/>
      <c r="S48" s="408"/>
      <c r="T48" s="408"/>
    </row>
    <row r="49" spans="1:21" s="22" customFormat="1">
      <c r="A49" s="81">
        <v>26</v>
      </c>
      <c r="B49" s="22" t="s">
        <v>140</v>
      </c>
      <c r="D49" s="70"/>
      <c r="E49" s="400"/>
      <c r="F49" s="408">
        <v>13500</v>
      </c>
      <c r="G49" s="408">
        <v>7802.6454399910144</v>
      </c>
      <c r="H49" s="408">
        <v>12532.4934614427</v>
      </c>
      <c r="I49" s="408">
        <v>18199.38094551977</v>
      </c>
      <c r="J49" s="408">
        <v>10602.745932108257</v>
      </c>
      <c r="K49" s="408">
        <v>6760.4768703774607</v>
      </c>
      <c r="L49" s="408">
        <v>3583.5198936206907</v>
      </c>
      <c r="M49" s="408">
        <v>5069.5165750000015</v>
      </c>
      <c r="N49" s="408">
        <v>-6217.1202000000012</v>
      </c>
      <c r="O49" s="408">
        <v>-1846</v>
      </c>
      <c r="P49" s="408">
        <v>9263</v>
      </c>
      <c r="Q49" s="408">
        <v>6568.9074099999998</v>
      </c>
      <c r="R49" s="408">
        <v>11499.260571799998</v>
      </c>
      <c r="S49" s="408">
        <v>19267</v>
      </c>
      <c r="T49" s="408">
        <v>-7683</v>
      </c>
    </row>
    <row r="50" spans="1:21" s="23" customFormat="1">
      <c r="A50" s="19">
        <v>27</v>
      </c>
      <c r="B50" s="23" t="s">
        <v>141</v>
      </c>
      <c r="E50" s="400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>
        <v>206.8288</v>
      </c>
      <c r="R50" s="408">
        <v>70.410550000000001</v>
      </c>
      <c r="S50" s="408">
        <v>1</v>
      </c>
      <c r="T50" s="408">
        <v>-136</v>
      </c>
    </row>
    <row r="51" spans="1:21" s="22" customFormat="1">
      <c r="A51" s="19">
        <v>28</v>
      </c>
      <c r="B51" s="22" t="s">
        <v>64</v>
      </c>
      <c r="E51" s="400"/>
      <c r="F51" s="408">
        <v>3549</v>
      </c>
      <c r="G51" s="408">
        <v>16107</v>
      </c>
      <c r="H51" s="408">
        <v>3470</v>
      </c>
      <c r="I51" s="408">
        <v>1284</v>
      </c>
      <c r="J51" s="408">
        <v>608</v>
      </c>
      <c r="K51" s="408">
        <v>3867</v>
      </c>
      <c r="L51" s="408">
        <v>3975</v>
      </c>
      <c r="M51" s="408">
        <v>6497</v>
      </c>
      <c r="N51" s="408">
        <v>26634</v>
      </c>
      <c r="O51" s="408">
        <v>23983</v>
      </c>
      <c r="P51" s="408">
        <v>13823</v>
      </c>
      <c r="Q51" s="408">
        <v>16402</v>
      </c>
      <c r="R51" s="408">
        <v>15684</v>
      </c>
      <c r="S51" s="408">
        <v>10613</v>
      </c>
      <c r="T51" s="757">
        <v>46085</v>
      </c>
      <c r="U51" s="758" t="s">
        <v>682</v>
      </c>
    </row>
    <row r="52" spans="1:21" s="22" customFormat="1">
      <c r="A52" s="21">
        <v>29</v>
      </c>
      <c r="B52" s="22" t="s">
        <v>63</v>
      </c>
      <c r="E52" s="400"/>
      <c r="F52" s="408"/>
      <c r="G52" s="408"/>
      <c r="H52" s="408"/>
      <c r="I52" s="408"/>
      <c r="J52" s="408"/>
      <c r="K52" s="408"/>
      <c r="L52" s="408"/>
      <c r="M52" s="408"/>
      <c r="N52" s="408"/>
      <c r="O52" s="408">
        <v>-58</v>
      </c>
      <c r="P52" s="408">
        <v>-83</v>
      </c>
      <c r="Q52" s="408">
        <v>-99</v>
      </c>
      <c r="R52" s="408">
        <v>-128</v>
      </c>
      <c r="S52" s="408">
        <v>-130</v>
      </c>
      <c r="T52" s="408">
        <v>-128</v>
      </c>
    </row>
    <row r="53" spans="1:21">
      <c r="B53" s="409" t="s">
        <v>297</v>
      </c>
      <c r="F53" s="408">
        <v>5683</v>
      </c>
      <c r="G53" s="408">
        <v>5369</v>
      </c>
      <c r="H53" s="408"/>
      <c r="I53" s="408"/>
      <c r="J53" s="408"/>
      <c r="K53" s="408"/>
      <c r="L53" s="408"/>
      <c r="M53" s="408"/>
      <c r="N53" s="408"/>
      <c r="O53" s="408"/>
      <c r="P53" s="408"/>
      <c r="Q53" s="408"/>
      <c r="R53" s="408"/>
      <c r="S53" s="408"/>
      <c r="T53" s="408"/>
    </row>
    <row r="54" spans="1:21" s="20" customFormat="1" ht="13.5" thickBot="1">
      <c r="A54" s="24">
        <v>30</v>
      </c>
      <c r="B54" s="20" t="s">
        <v>62</v>
      </c>
      <c r="E54" s="400"/>
      <c r="F54" s="410">
        <v>27317</v>
      </c>
      <c r="G54" s="410">
        <v>64507.354560008986</v>
      </c>
      <c r="H54" s="410">
        <v>62115.506538557296</v>
      </c>
      <c r="I54" s="410">
        <v>68288.619054480223</v>
      </c>
      <c r="J54" s="410">
        <v>55448.254067891743</v>
      </c>
      <c r="K54" s="410">
        <v>56107.523129622539</v>
      </c>
      <c r="L54" s="410">
        <v>51307.480106379313</v>
      </c>
      <c r="M54" s="410">
        <v>61693.483424999999</v>
      </c>
      <c r="N54" s="410">
        <v>68967.120200000005</v>
      </c>
      <c r="O54" s="410">
        <v>70077.549100000004</v>
      </c>
      <c r="P54" s="410">
        <v>76864.970363199944</v>
      </c>
      <c r="Q54" s="410">
        <v>74694.856389999972</v>
      </c>
      <c r="R54" s="410">
        <v>82954.216226199962</v>
      </c>
      <c r="S54" s="410">
        <f>S46-S49-S50-S51-S52</f>
        <v>92777</v>
      </c>
      <c r="T54" s="410">
        <f>T46-T49-T50-T51-T52</f>
        <v>101349</v>
      </c>
    </row>
    <row r="55" spans="1:21" ht="13.5" thickTop="1">
      <c r="A55" s="24"/>
      <c r="F55" s="408"/>
      <c r="G55" s="408"/>
      <c r="H55" s="408"/>
      <c r="I55" s="408"/>
      <c r="J55" s="408"/>
      <c r="K55" s="408"/>
      <c r="L55" s="408"/>
      <c r="M55" s="408"/>
      <c r="N55" s="408"/>
      <c r="O55" s="408"/>
      <c r="P55" s="408"/>
      <c r="Q55" s="408"/>
      <c r="R55" s="408"/>
      <c r="S55" s="408"/>
      <c r="T55" s="408"/>
    </row>
    <row r="56" spans="1:21">
      <c r="A56" s="24"/>
      <c r="B56" s="13" t="s">
        <v>61</v>
      </c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8"/>
      <c r="T56" s="408"/>
    </row>
    <row r="57" spans="1:21">
      <c r="B57" s="13" t="s">
        <v>60</v>
      </c>
      <c r="F57" s="408"/>
      <c r="G57" s="408"/>
      <c r="H57" s="408"/>
      <c r="I57" s="408"/>
      <c r="J57" s="408"/>
      <c r="K57" s="408"/>
      <c r="L57" s="408"/>
      <c r="M57" s="408"/>
      <c r="N57" s="408"/>
      <c r="O57" s="408"/>
      <c r="P57" s="408"/>
      <c r="Q57" s="408"/>
      <c r="R57" s="408"/>
      <c r="S57" s="408"/>
      <c r="T57" s="408"/>
    </row>
    <row r="58" spans="1:21" s="20" customFormat="1">
      <c r="A58" s="82">
        <v>31</v>
      </c>
      <c r="C58" s="20" t="s">
        <v>59</v>
      </c>
      <c r="E58" s="400"/>
      <c r="F58" s="402">
        <v>15127</v>
      </c>
      <c r="G58" s="402">
        <v>16340</v>
      </c>
      <c r="H58" s="402">
        <v>20910</v>
      </c>
      <c r="I58" s="402">
        <v>21299</v>
      </c>
      <c r="J58" s="402">
        <v>21374</v>
      </c>
      <c r="K58" s="402">
        <v>22459</v>
      </c>
      <c r="L58" s="402">
        <v>23458</v>
      </c>
      <c r="M58" s="402">
        <v>20632</v>
      </c>
      <c r="N58" s="402">
        <v>23321</v>
      </c>
      <c r="O58" s="402">
        <v>57116</v>
      </c>
      <c r="P58" s="402">
        <v>81955</v>
      </c>
      <c r="Q58" s="402">
        <v>84081</v>
      </c>
      <c r="R58" s="402">
        <v>85247</v>
      </c>
      <c r="S58" s="402">
        <v>91466</v>
      </c>
      <c r="T58" s="402">
        <v>102620</v>
      </c>
    </row>
    <row r="59" spans="1:21" s="22" customFormat="1">
      <c r="A59" s="24">
        <v>32</v>
      </c>
      <c r="C59" s="22" t="s">
        <v>58</v>
      </c>
      <c r="E59" s="400"/>
      <c r="F59" s="408">
        <v>369323</v>
      </c>
      <c r="G59" s="408">
        <v>382522</v>
      </c>
      <c r="H59" s="408">
        <v>598523</v>
      </c>
      <c r="I59" s="408">
        <v>609668</v>
      </c>
      <c r="J59" s="408">
        <v>651608</v>
      </c>
      <c r="K59" s="408">
        <v>669043</v>
      </c>
      <c r="L59" s="408">
        <v>703455</v>
      </c>
      <c r="M59" s="408">
        <v>712962</v>
      </c>
      <c r="N59" s="408">
        <v>724416</v>
      </c>
      <c r="O59" s="408">
        <v>751055</v>
      </c>
      <c r="P59" s="408">
        <v>767632</v>
      </c>
      <c r="Q59" s="408">
        <v>706894</v>
      </c>
      <c r="R59" s="408">
        <v>717448</v>
      </c>
      <c r="S59" s="408">
        <v>738315</v>
      </c>
      <c r="T59" s="408">
        <v>746101</v>
      </c>
    </row>
    <row r="60" spans="1:21" s="22" customFormat="1">
      <c r="A60" s="24">
        <v>33</v>
      </c>
      <c r="C60" s="22" t="s">
        <v>57</v>
      </c>
      <c r="E60" s="400"/>
      <c r="F60" s="408">
        <v>181627</v>
      </c>
      <c r="G60" s="408">
        <v>191517</v>
      </c>
      <c r="H60" s="408">
        <v>186550</v>
      </c>
      <c r="I60" s="408">
        <v>196937</v>
      </c>
      <c r="J60" s="408">
        <v>213539</v>
      </c>
      <c r="K60" s="408">
        <v>224696</v>
      </c>
      <c r="L60" s="408">
        <v>244435</v>
      </c>
      <c r="M60" s="408">
        <v>259532</v>
      </c>
      <c r="N60" s="408">
        <v>289302</v>
      </c>
      <c r="O60" s="408">
        <v>301090</v>
      </c>
      <c r="P60" s="408">
        <v>312505</v>
      </c>
      <c r="Q60" s="408">
        <v>328012</v>
      </c>
      <c r="R60" s="408">
        <v>342382</v>
      </c>
      <c r="S60" s="408">
        <v>359941</v>
      </c>
      <c r="T60" s="408">
        <v>371971</v>
      </c>
    </row>
    <row r="61" spans="1:21" s="22" customFormat="1">
      <c r="A61" s="24">
        <v>34</v>
      </c>
      <c r="C61" s="22" t="s">
        <v>56</v>
      </c>
      <c r="E61" s="400"/>
      <c r="F61" s="408">
        <v>398104</v>
      </c>
      <c r="G61" s="408">
        <v>416427</v>
      </c>
      <c r="H61" s="408">
        <v>429742</v>
      </c>
      <c r="I61" s="408">
        <v>443424</v>
      </c>
      <c r="J61" s="408">
        <v>459516</v>
      </c>
      <c r="K61" s="408">
        <v>480638</v>
      </c>
      <c r="L61" s="408">
        <v>502571</v>
      </c>
      <c r="M61" s="408">
        <v>528809</v>
      </c>
      <c r="N61" s="408">
        <v>561016</v>
      </c>
      <c r="O61" s="408">
        <v>598884</v>
      </c>
      <c r="P61" s="408">
        <v>638445</v>
      </c>
      <c r="Q61" s="408">
        <v>696082</v>
      </c>
      <c r="R61" s="408">
        <v>743732</v>
      </c>
      <c r="S61" s="408">
        <v>796640</v>
      </c>
      <c r="T61" s="408">
        <v>842795</v>
      </c>
    </row>
    <row r="62" spans="1:21" s="22" customFormat="1">
      <c r="A62" s="24">
        <v>35</v>
      </c>
      <c r="C62" s="22" t="s">
        <v>55</v>
      </c>
      <c r="E62" s="400"/>
      <c r="F62" s="408">
        <v>58402</v>
      </c>
      <c r="G62" s="408">
        <v>59846</v>
      </c>
      <c r="H62" s="408">
        <v>59771</v>
      </c>
      <c r="I62" s="408">
        <v>60444</v>
      </c>
      <c r="J62" s="408">
        <v>63155</v>
      </c>
      <c r="K62" s="408">
        <v>65299</v>
      </c>
      <c r="L62" s="408">
        <v>80110</v>
      </c>
      <c r="M62" s="408">
        <v>81368</v>
      </c>
      <c r="N62" s="408">
        <v>91205</v>
      </c>
      <c r="O62" s="408">
        <v>98727</v>
      </c>
      <c r="P62" s="408">
        <v>120996</v>
      </c>
      <c r="Q62" s="408">
        <v>140218</v>
      </c>
      <c r="R62" s="408">
        <v>155104</v>
      </c>
      <c r="S62" s="408">
        <v>179134</v>
      </c>
      <c r="T62" s="408">
        <v>196867</v>
      </c>
    </row>
    <row r="63" spans="1:21" s="22" customFormat="1">
      <c r="A63" s="24">
        <v>36</v>
      </c>
      <c r="B63" s="22" t="s">
        <v>54</v>
      </c>
      <c r="E63" s="400"/>
      <c r="F63" s="411">
        <v>1022583</v>
      </c>
      <c r="G63" s="411">
        <v>1066652</v>
      </c>
      <c r="H63" s="411">
        <v>1295496</v>
      </c>
      <c r="I63" s="411">
        <v>1331772</v>
      </c>
      <c r="J63" s="411">
        <v>1409192</v>
      </c>
      <c r="K63" s="411">
        <v>1462135</v>
      </c>
      <c r="L63" s="411">
        <v>1554029</v>
      </c>
      <c r="M63" s="411">
        <v>1603303</v>
      </c>
      <c r="N63" s="411">
        <v>1689260</v>
      </c>
      <c r="O63" s="411">
        <v>1806872</v>
      </c>
      <c r="P63" s="411">
        <v>1921533</v>
      </c>
      <c r="Q63" s="411">
        <v>1955287</v>
      </c>
      <c r="R63" s="411">
        <v>2043913</v>
      </c>
      <c r="S63" s="411">
        <f>SUM(S58:S62)</f>
        <v>2165496</v>
      </c>
      <c r="T63" s="411">
        <f>SUM(T58:T62)</f>
        <v>2260354</v>
      </c>
    </row>
    <row r="64" spans="1:21" s="22" customFormat="1" ht="18" customHeight="1">
      <c r="A64" s="24"/>
      <c r="B64" s="22" t="s">
        <v>142</v>
      </c>
      <c r="E64" s="400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</row>
    <row r="65" spans="1:20" s="22" customFormat="1">
      <c r="A65" s="24">
        <v>37</v>
      </c>
      <c r="C65" s="20" t="s">
        <v>59</v>
      </c>
      <c r="E65" s="400"/>
      <c r="F65" s="412"/>
      <c r="G65" s="412"/>
      <c r="H65" s="412"/>
      <c r="I65" s="412"/>
      <c r="J65" s="412"/>
      <c r="K65" s="412"/>
      <c r="L65" s="412"/>
      <c r="M65" s="412"/>
      <c r="N65" s="412"/>
      <c r="O65" s="412"/>
      <c r="P65" s="412"/>
      <c r="Q65" s="413">
        <v>3744</v>
      </c>
      <c r="R65" s="413">
        <v>4369</v>
      </c>
      <c r="S65" s="413">
        <v>17667</v>
      </c>
      <c r="T65" s="413">
        <v>20242</v>
      </c>
    </row>
    <row r="66" spans="1:20" s="22" customFormat="1">
      <c r="A66" s="24">
        <v>38</v>
      </c>
      <c r="C66" s="22" t="s">
        <v>58</v>
      </c>
      <c r="E66" s="400"/>
      <c r="F66" s="412"/>
      <c r="G66" s="412"/>
      <c r="H66" s="412"/>
      <c r="I66" s="412"/>
      <c r="J66" s="412"/>
      <c r="K66" s="412"/>
      <c r="L66" s="412"/>
      <c r="M66" s="412"/>
      <c r="N66" s="412"/>
      <c r="O66" s="412"/>
      <c r="P66" s="412"/>
      <c r="Q66" s="413">
        <v>286300</v>
      </c>
      <c r="R66" s="413">
        <v>300170</v>
      </c>
      <c r="S66" s="413">
        <v>314599</v>
      </c>
      <c r="T66" s="413">
        <v>325531</v>
      </c>
    </row>
    <row r="67" spans="1:20" s="22" customFormat="1">
      <c r="A67" s="24">
        <v>39</v>
      </c>
      <c r="C67" s="22" t="s">
        <v>57</v>
      </c>
      <c r="E67" s="400"/>
      <c r="F67" s="412"/>
      <c r="G67" s="412"/>
      <c r="H67" s="412"/>
      <c r="I67" s="412"/>
      <c r="J67" s="412"/>
      <c r="K67" s="412"/>
      <c r="L67" s="412"/>
      <c r="M67" s="412"/>
      <c r="N67" s="412"/>
      <c r="O67" s="412"/>
      <c r="P67" s="412"/>
      <c r="Q67" s="413">
        <v>111144</v>
      </c>
      <c r="R67" s="413">
        <v>116316</v>
      </c>
      <c r="S67" s="413">
        <v>122308</v>
      </c>
      <c r="T67" s="413">
        <v>123869</v>
      </c>
    </row>
    <row r="68" spans="1:20" s="22" customFormat="1">
      <c r="A68" s="24">
        <v>40</v>
      </c>
      <c r="C68" s="22" t="s">
        <v>56</v>
      </c>
      <c r="E68" s="400"/>
      <c r="F68" s="412"/>
      <c r="G68" s="412"/>
      <c r="H68" s="412"/>
      <c r="I68" s="412"/>
      <c r="J68" s="412"/>
      <c r="K68" s="412"/>
      <c r="L68" s="412"/>
      <c r="M68" s="412"/>
      <c r="N68" s="412"/>
      <c r="O68" s="412"/>
      <c r="P68" s="412"/>
      <c r="Q68" s="413">
        <v>209101</v>
      </c>
      <c r="R68" s="413">
        <v>221408</v>
      </c>
      <c r="S68" s="413">
        <v>236201</v>
      </c>
      <c r="T68" s="413">
        <v>252722</v>
      </c>
    </row>
    <row r="69" spans="1:20" s="22" customFormat="1">
      <c r="A69" s="24">
        <v>41</v>
      </c>
      <c r="C69" s="22" t="s">
        <v>55</v>
      </c>
      <c r="E69" s="400"/>
      <c r="F69" s="412"/>
      <c r="G69" s="412"/>
      <c r="H69" s="412"/>
      <c r="I69" s="412"/>
      <c r="J69" s="412"/>
      <c r="K69" s="412"/>
      <c r="L69" s="412"/>
      <c r="M69" s="412"/>
      <c r="N69" s="412"/>
      <c r="O69" s="412"/>
      <c r="P69" s="412"/>
      <c r="Q69" s="520">
        <v>56694</v>
      </c>
      <c r="R69" s="520">
        <v>61871</v>
      </c>
      <c r="S69" s="520">
        <v>58357</v>
      </c>
      <c r="T69" s="520">
        <v>65720</v>
      </c>
    </row>
    <row r="70" spans="1:20" s="22" customFormat="1">
      <c r="A70" s="24">
        <v>42</v>
      </c>
      <c r="B70" s="22" t="s">
        <v>143</v>
      </c>
      <c r="E70" s="400"/>
      <c r="F70" s="408">
        <v>348345</v>
      </c>
      <c r="G70" s="408">
        <v>359654</v>
      </c>
      <c r="H70" s="408">
        <v>418593</v>
      </c>
      <c r="I70" s="408">
        <v>450096</v>
      </c>
      <c r="J70" s="408">
        <v>475935</v>
      </c>
      <c r="K70" s="408">
        <v>503194</v>
      </c>
      <c r="L70" s="408">
        <v>536682</v>
      </c>
      <c r="M70" s="408">
        <v>567320</v>
      </c>
      <c r="N70" s="408">
        <v>600292</v>
      </c>
      <c r="O70" s="408">
        <v>632110</v>
      </c>
      <c r="P70" s="408">
        <v>676635</v>
      </c>
      <c r="Q70" s="408">
        <v>666983</v>
      </c>
      <c r="R70" s="408">
        <v>704134</v>
      </c>
      <c r="S70" s="408">
        <f>SUM(S65:S69)</f>
        <v>749132</v>
      </c>
      <c r="T70" s="408">
        <f>SUM(T65:T69)</f>
        <v>788084</v>
      </c>
    </row>
    <row r="71" spans="1:20" s="22" customFormat="1">
      <c r="A71" s="24">
        <v>43</v>
      </c>
      <c r="B71" s="22" t="s">
        <v>144</v>
      </c>
      <c r="E71" s="400"/>
      <c r="F71" s="411">
        <v>674238</v>
      </c>
      <c r="G71" s="411">
        <v>706998</v>
      </c>
      <c r="H71" s="411">
        <v>876903</v>
      </c>
      <c r="I71" s="411">
        <v>881676</v>
      </c>
      <c r="J71" s="411">
        <v>933257</v>
      </c>
      <c r="K71" s="411">
        <v>958941</v>
      </c>
      <c r="L71" s="411">
        <v>1017347</v>
      </c>
      <c r="M71" s="411">
        <v>1035983</v>
      </c>
      <c r="N71" s="411">
        <v>1088968</v>
      </c>
      <c r="O71" s="411">
        <v>1174762</v>
      </c>
      <c r="P71" s="411">
        <v>1244898</v>
      </c>
      <c r="Q71" s="411">
        <v>1288304</v>
      </c>
      <c r="R71" s="411">
        <v>1339779</v>
      </c>
      <c r="S71" s="411">
        <f>S63-S70</f>
        <v>1416364</v>
      </c>
      <c r="T71" s="411">
        <f>T63-T70</f>
        <v>1472270</v>
      </c>
    </row>
    <row r="72" spans="1:20" s="22" customFormat="1" ht="6.75" customHeight="1">
      <c r="A72" s="24"/>
      <c r="E72" s="400"/>
      <c r="F72" s="408"/>
      <c r="G72" s="408"/>
      <c r="H72" s="408"/>
      <c r="I72" s="408"/>
      <c r="J72" s="408"/>
      <c r="K72" s="408"/>
      <c r="L72" s="408"/>
      <c r="M72" s="408"/>
      <c r="N72" s="408"/>
      <c r="O72" s="408"/>
      <c r="P72" s="408"/>
      <c r="Q72" s="408"/>
      <c r="R72" s="408"/>
      <c r="S72" s="408"/>
      <c r="T72" s="408"/>
    </row>
    <row r="73" spans="1:20" s="22" customFormat="1">
      <c r="A73" s="21">
        <v>44</v>
      </c>
      <c r="B73" s="22" t="s">
        <v>52</v>
      </c>
      <c r="E73" s="400"/>
      <c r="F73" s="408">
        <v>-104246</v>
      </c>
      <c r="G73" s="408">
        <v>-108113</v>
      </c>
      <c r="H73" s="408">
        <v>-113807</v>
      </c>
      <c r="I73" s="408">
        <v>-138127</v>
      </c>
      <c r="J73" s="408">
        <v>-154531</v>
      </c>
      <c r="K73" s="408">
        <v>-138256</v>
      </c>
      <c r="L73" s="408">
        <v>-142383</v>
      </c>
      <c r="M73" s="408">
        <v>-143546</v>
      </c>
      <c r="N73" s="408">
        <v>-151677</v>
      </c>
      <c r="O73" s="408">
        <v>-169421</v>
      </c>
      <c r="P73" s="408">
        <v>-190931</v>
      </c>
      <c r="Q73" s="408">
        <v>-201163</v>
      </c>
      <c r="R73" s="408">
        <v>-208209</v>
      </c>
      <c r="S73" s="408">
        <v>-221354</v>
      </c>
      <c r="T73" s="408">
        <v>-257766</v>
      </c>
    </row>
    <row r="74" spans="1:20" s="22" customFormat="1">
      <c r="A74" s="21">
        <v>45</v>
      </c>
      <c r="C74" s="22" t="s">
        <v>145</v>
      </c>
      <c r="E74" s="400"/>
      <c r="F74" s="411">
        <v>569992</v>
      </c>
      <c r="G74" s="411">
        <v>598885</v>
      </c>
      <c r="H74" s="411">
        <v>763096</v>
      </c>
      <c r="I74" s="411">
        <v>743549</v>
      </c>
      <c r="J74" s="411">
        <v>778726</v>
      </c>
      <c r="K74" s="411">
        <v>820685</v>
      </c>
      <c r="L74" s="411">
        <v>874964</v>
      </c>
      <c r="M74" s="411">
        <v>892437</v>
      </c>
      <c r="N74" s="411">
        <v>937291</v>
      </c>
      <c r="O74" s="411">
        <v>1005341</v>
      </c>
      <c r="P74" s="411">
        <v>1053967</v>
      </c>
      <c r="Q74" s="411">
        <v>1087141</v>
      </c>
      <c r="R74" s="411">
        <v>1131570</v>
      </c>
      <c r="S74" s="411">
        <f>S71+S73</f>
        <v>1195010</v>
      </c>
      <c r="T74" s="411">
        <f>T71+T73</f>
        <v>1214504</v>
      </c>
    </row>
    <row r="75" spans="1:20" s="22" customFormat="1">
      <c r="A75" s="24">
        <v>46</v>
      </c>
      <c r="B75" s="22" t="s">
        <v>146</v>
      </c>
      <c r="E75" s="400"/>
      <c r="F75" s="408">
        <v>-1500</v>
      </c>
      <c r="G75" s="408">
        <v>-1370</v>
      </c>
      <c r="H75" s="408">
        <v>-1238</v>
      </c>
      <c r="I75" s="408">
        <v>-1106</v>
      </c>
      <c r="J75" s="408">
        <v>-715</v>
      </c>
      <c r="K75" s="408">
        <v>-843</v>
      </c>
      <c r="L75" s="408">
        <v>-453</v>
      </c>
      <c r="M75" s="408">
        <v>-582</v>
      </c>
      <c r="N75" s="408">
        <v>-451</v>
      </c>
      <c r="O75" s="408">
        <v>-322</v>
      </c>
      <c r="P75" s="408">
        <v>-127</v>
      </c>
      <c r="Q75" s="408">
        <v>32534</v>
      </c>
      <c r="R75" s="408">
        <v>16438</v>
      </c>
      <c r="S75" s="408">
        <v>14761</v>
      </c>
      <c r="T75" s="408">
        <v>10846</v>
      </c>
    </row>
    <row r="76" spans="1:20" s="22" customFormat="1">
      <c r="A76" s="24">
        <v>47</v>
      </c>
      <c r="B76" s="22" t="s">
        <v>53</v>
      </c>
      <c r="E76" s="400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408">
        <v>18188</v>
      </c>
      <c r="Q76" s="408">
        <v>18188</v>
      </c>
      <c r="R76" s="408">
        <v>10967</v>
      </c>
      <c r="S76" s="408">
        <v>16281</v>
      </c>
      <c r="T76" s="408">
        <v>47807</v>
      </c>
    </row>
    <row r="77" spans="1:20" s="22" customFormat="1">
      <c r="A77" s="21"/>
      <c r="E77" s="400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</row>
    <row r="78" spans="1:20" s="20" customFormat="1" ht="13.5" thickBot="1">
      <c r="A78" s="19">
        <v>48</v>
      </c>
      <c r="B78" s="20" t="s">
        <v>51</v>
      </c>
      <c r="E78" s="400"/>
      <c r="F78" s="414">
        <v>568492</v>
      </c>
      <c r="G78" s="414">
        <v>597515</v>
      </c>
      <c r="H78" s="414">
        <v>761858</v>
      </c>
      <c r="I78" s="414">
        <v>742443</v>
      </c>
      <c r="J78" s="414">
        <v>778011</v>
      </c>
      <c r="K78" s="414">
        <v>819842</v>
      </c>
      <c r="L78" s="414">
        <v>874511</v>
      </c>
      <c r="M78" s="414">
        <v>891855</v>
      </c>
      <c r="N78" s="414">
        <v>936840</v>
      </c>
      <c r="O78" s="414">
        <v>1005019</v>
      </c>
      <c r="P78" s="414">
        <v>1072028</v>
      </c>
      <c r="Q78" s="414">
        <v>1137863</v>
      </c>
      <c r="R78" s="414">
        <v>1158975</v>
      </c>
      <c r="S78" s="414">
        <f>SUM(S74:S76)</f>
        <v>1226052</v>
      </c>
      <c r="T78" s="414">
        <f>SUM(T74:T76)</f>
        <v>1273157</v>
      </c>
    </row>
    <row r="79" spans="1:20" ht="18" customHeight="1" thickTop="1">
      <c r="A79" s="19">
        <v>49</v>
      </c>
      <c r="B79" s="13" t="s">
        <v>50</v>
      </c>
      <c r="F79" s="43">
        <f>F54/F78</f>
        <v>4.8051687622693018E-2</v>
      </c>
      <c r="G79" s="43">
        <f t="shared" ref="G79:R79" si="0">G54/G78</f>
        <v>0.10795938940446513</v>
      </c>
      <c r="H79" s="43">
        <f t="shared" si="0"/>
        <v>8.1531606334195206E-2</v>
      </c>
      <c r="I79" s="43">
        <f t="shared" si="0"/>
        <v>9.1978265071500739E-2</v>
      </c>
      <c r="J79" s="43">
        <f t="shared" si="0"/>
        <v>7.1269241781789394E-2</v>
      </c>
      <c r="K79" s="43">
        <f t="shared" si="0"/>
        <v>6.8436995335226222E-2</v>
      </c>
      <c r="L79" s="43">
        <f t="shared" si="0"/>
        <v>5.8669908218855239E-2</v>
      </c>
      <c r="M79" s="43">
        <f t="shared" si="0"/>
        <v>6.9174342718266987E-2</v>
      </c>
      <c r="N79" s="43">
        <f t="shared" si="0"/>
        <v>7.3616754408436874E-2</v>
      </c>
      <c r="O79" s="43">
        <f t="shared" si="0"/>
        <v>6.9727586344138767E-2</v>
      </c>
      <c r="P79" s="43">
        <f t="shared" si="0"/>
        <v>7.1700524951960151E-2</v>
      </c>
      <c r="Q79" s="43">
        <f t="shared" si="0"/>
        <v>6.5644859170216424E-2</v>
      </c>
      <c r="R79" s="43">
        <f t="shared" si="0"/>
        <v>7.1575500960935276E-2</v>
      </c>
      <c r="S79" s="43">
        <f t="shared" ref="S79:T79" si="1">S54/S78</f>
        <v>7.5671341835419709E-2</v>
      </c>
      <c r="T79" s="43">
        <f t="shared" si="1"/>
        <v>7.9604479259038755E-2</v>
      </c>
    </row>
    <row r="83" spans="1:15" s="16" customFormat="1">
      <c r="A83" s="83"/>
      <c r="E83" s="400"/>
      <c r="F83" s="14"/>
      <c r="K83" s="14"/>
      <c r="N83" s="72"/>
      <c r="O83" s="14"/>
    </row>
    <row r="84" spans="1:15">
      <c r="D84" s="45"/>
    </row>
  </sheetData>
  <pageMargins left="0.7" right="0.51" top="0.23" bottom="0.2" header="0.51" footer="0.5"/>
  <pageSetup scale="55" firstPageNumber="4" fitToWidth="3" orientation="landscape" r:id="rId1"/>
  <headerFooter scaleWithDoc="0" alignWithMargins="0">
    <oddFooter>&amp;C&amp;F / &amp;A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Y54"/>
  <sheetViews>
    <sheetView topLeftCell="K1" workbookViewId="0">
      <selection activeCell="T1" sqref="T1"/>
    </sheetView>
  </sheetViews>
  <sheetFormatPr defaultColWidth="8.85546875" defaultRowHeight="12.75"/>
  <cols>
    <col min="1" max="1" width="34.7109375" style="400" customWidth="1"/>
    <col min="2" max="3" width="0" style="400" hidden="1" customWidth="1"/>
    <col min="4" max="4" width="5.5703125" style="400" hidden="1" customWidth="1"/>
    <col min="5" max="7" width="13.42578125" style="18" hidden="1" customWidth="1"/>
    <col min="8" max="9" width="13.42578125" style="18" customWidth="1"/>
    <col min="10" max="10" width="13.42578125" style="38" customWidth="1"/>
    <col min="11" max="15" width="13.42578125" style="18" customWidth="1"/>
    <col min="16" max="16" width="12.85546875" style="18" customWidth="1"/>
    <col min="17" max="17" width="12.28515625" style="18" customWidth="1"/>
    <col min="18" max="18" width="12.85546875" style="400" customWidth="1"/>
    <col min="19" max="19" width="13.42578125" style="660" customWidth="1"/>
    <col min="20" max="16384" width="8.85546875" style="400"/>
  </cols>
  <sheetData>
    <row r="1" spans="1:20">
      <c r="A1" s="972" t="s">
        <v>6</v>
      </c>
      <c r="B1" s="972"/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972"/>
      <c r="N1" s="972"/>
      <c r="O1" s="972"/>
      <c r="P1" s="972"/>
      <c r="Q1" s="972"/>
    </row>
    <row r="2" spans="1:20">
      <c r="A2" s="973" t="s">
        <v>7</v>
      </c>
      <c r="B2" s="973"/>
      <c r="C2" s="973"/>
      <c r="D2" s="973"/>
      <c r="E2" s="973"/>
      <c r="F2" s="973"/>
      <c r="G2" s="973"/>
      <c r="H2" s="973"/>
      <c r="I2" s="973"/>
      <c r="J2" s="973"/>
      <c r="K2" s="973"/>
      <c r="L2" s="973"/>
      <c r="M2" s="973"/>
      <c r="N2" s="973"/>
      <c r="O2" s="973"/>
      <c r="P2" s="973"/>
      <c r="Q2" s="973"/>
    </row>
    <row r="3" spans="1:20">
      <c r="D3" s="57"/>
    </row>
    <row r="4" spans="1:20">
      <c r="D4" s="57"/>
      <c r="E4" s="974" t="s">
        <v>29</v>
      </c>
      <c r="F4" s="974"/>
      <c r="G4" s="974"/>
      <c r="H4" s="974"/>
      <c r="I4" s="974"/>
      <c r="J4" s="974"/>
      <c r="K4" s="974"/>
      <c r="L4" s="974"/>
      <c r="M4" s="974"/>
      <c r="N4" s="974"/>
      <c r="O4" s="974"/>
      <c r="P4" s="974"/>
      <c r="Q4" s="974"/>
    </row>
    <row r="5" spans="1:20">
      <c r="D5" s="57"/>
      <c r="E5" s="975" t="s">
        <v>293</v>
      </c>
      <c r="F5" s="976"/>
      <c r="G5" s="976"/>
      <c r="H5" s="976"/>
      <c r="I5" s="976"/>
      <c r="J5" s="976"/>
      <c r="K5" s="976"/>
      <c r="L5" s="976"/>
      <c r="M5" s="976"/>
      <c r="N5" s="976"/>
      <c r="O5" s="976"/>
      <c r="P5" s="976"/>
      <c r="Q5" s="976"/>
      <c r="S5" s="708" t="s">
        <v>662</v>
      </c>
    </row>
    <row r="6" spans="1:20">
      <c r="D6" s="58"/>
      <c r="E6" s="421">
        <v>2000</v>
      </c>
      <c r="F6" s="339">
        <v>2001</v>
      </c>
      <c r="G6" s="339">
        <v>2002</v>
      </c>
      <c r="H6" s="339">
        <v>2003</v>
      </c>
      <c r="I6" s="339">
        <v>2004</v>
      </c>
      <c r="J6" s="339">
        <v>2005</v>
      </c>
      <c r="K6" s="339">
        <v>2006</v>
      </c>
      <c r="L6" s="339">
        <v>2007</v>
      </c>
      <c r="M6" s="339">
        <v>2008</v>
      </c>
      <c r="N6" s="339">
        <v>2009</v>
      </c>
      <c r="O6" s="339">
        <v>2010</v>
      </c>
      <c r="P6" s="422">
        <v>2011</v>
      </c>
      <c r="Q6" s="422">
        <v>2012</v>
      </c>
      <c r="R6" s="422">
        <v>2013</v>
      </c>
      <c r="S6" s="422">
        <v>2014</v>
      </c>
    </row>
    <row r="7" spans="1:20">
      <c r="A7" s="400" t="s">
        <v>9</v>
      </c>
      <c r="D7" s="1"/>
      <c r="E7" s="237">
        <v>0.66290000000000004</v>
      </c>
      <c r="F7" s="237">
        <v>0.67479999999999996</v>
      </c>
      <c r="G7" s="237">
        <v>0.64119999999999999</v>
      </c>
      <c r="H7" s="237">
        <v>0.65480000000000005</v>
      </c>
      <c r="I7" s="237">
        <v>0.65159999999999996</v>
      </c>
      <c r="J7" s="237">
        <v>0.65369999999999995</v>
      </c>
      <c r="K7" s="237">
        <v>0.6583</v>
      </c>
      <c r="L7" s="237">
        <v>0.64590000000000003</v>
      </c>
      <c r="M7" s="237">
        <v>0.64419999999999999</v>
      </c>
      <c r="N7" s="237">
        <v>0.64870000000000005</v>
      </c>
      <c r="O7" s="237">
        <v>0.65159999999999996</v>
      </c>
      <c r="P7" s="423">
        <v>0.65239999999999998</v>
      </c>
      <c r="Q7" s="423">
        <v>0.65010000000000001</v>
      </c>
      <c r="R7" s="423">
        <v>0.65190000000000003</v>
      </c>
      <c r="S7" s="423">
        <v>0.64710000000000001</v>
      </c>
    </row>
    <row r="8" spans="1:20">
      <c r="E8" s="423"/>
      <c r="F8" s="423"/>
      <c r="G8" s="423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</row>
    <row r="9" spans="1:20">
      <c r="A9" s="400" t="s">
        <v>10</v>
      </c>
      <c r="D9" s="59"/>
      <c r="E9" s="340">
        <v>135976.0367</v>
      </c>
      <c r="F9" s="340">
        <v>90880</v>
      </c>
      <c r="G9" s="340">
        <v>31728</v>
      </c>
      <c r="H9" s="340">
        <v>35221</v>
      </c>
      <c r="I9" s="340">
        <v>40439</v>
      </c>
      <c r="J9" s="340">
        <v>44689.546799999996</v>
      </c>
      <c r="K9" s="340">
        <v>35381</v>
      </c>
      <c r="L9" s="340">
        <v>34954</v>
      </c>
      <c r="M9" s="340">
        <v>46849</v>
      </c>
      <c r="N9" s="340">
        <v>30933.259500000004</v>
      </c>
      <c r="O9" s="340">
        <v>132773.274</v>
      </c>
      <c r="P9" s="340">
        <v>52603.011999999995</v>
      </c>
      <c r="Q9" s="340">
        <v>54547.940699999999</v>
      </c>
      <c r="R9" s="340">
        <v>75350</v>
      </c>
      <c r="S9" s="340">
        <f>'12.2014 CB Power Supply'!F11</f>
        <v>60998</v>
      </c>
    </row>
    <row r="10" spans="1:20">
      <c r="A10" s="400" t="s">
        <v>11</v>
      </c>
      <c r="D10" s="60"/>
      <c r="E10" s="341">
        <v>300.2937</v>
      </c>
      <c r="F10" s="341">
        <v>281</v>
      </c>
      <c r="G10" s="341">
        <v>38</v>
      </c>
      <c r="H10" s="341">
        <v>297</v>
      </c>
      <c r="I10" s="341">
        <v>238</v>
      </c>
      <c r="J10" s="341">
        <v>124.85669999999999</v>
      </c>
      <c r="K10" s="341">
        <v>153</v>
      </c>
      <c r="L10" s="341">
        <v>200</v>
      </c>
      <c r="M10" s="341">
        <v>198</v>
      </c>
      <c r="N10" s="341">
        <v>247.15470000000002</v>
      </c>
      <c r="O10" s="341">
        <v>183.75119999999998</v>
      </c>
      <c r="P10" s="341">
        <v>330.76679999999999</v>
      </c>
      <c r="Q10" s="341">
        <v>303.5967</v>
      </c>
      <c r="R10" s="341">
        <v>282</v>
      </c>
      <c r="S10" s="341">
        <f>'12.2014 CB Power Supply'!F12</f>
        <v>307</v>
      </c>
    </row>
    <row r="11" spans="1:20">
      <c r="A11" s="400" t="s">
        <v>12</v>
      </c>
      <c r="D11" s="60"/>
      <c r="E11" s="341">
        <v>43.751400000000004</v>
      </c>
      <c r="F11" s="341">
        <v>0</v>
      </c>
      <c r="G11" s="341">
        <v>30</v>
      </c>
      <c r="H11" s="341">
        <v>16</v>
      </c>
      <c r="I11" s="341">
        <v>16</v>
      </c>
      <c r="J11" s="341">
        <v>12.420299999999999</v>
      </c>
      <c r="K11" s="341">
        <v>14</v>
      </c>
      <c r="L11" s="341">
        <v>14</v>
      </c>
      <c r="M11" s="341">
        <v>16</v>
      </c>
      <c r="N11" s="341">
        <v>18.8123</v>
      </c>
      <c r="O11" s="341">
        <v>0</v>
      </c>
      <c r="P11" s="341">
        <v>0</v>
      </c>
      <c r="Q11" s="341">
        <v>0</v>
      </c>
      <c r="R11" s="341">
        <v>0</v>
      </c>
      <c r="S11" s="341">
        <f>'12.2014 CB Power Supply'!F13</f>
        <v>0</v>
      </c>
    </row>
    <row r="12" spans="1:20">
      <c r="A12" s="543" t="s">
        <v>13</v>
      </c>
      <c r="D12" s="62"/>
      <c r="E12" s="450">
        <v>10967.6805</v>
      </c>
      <c r="F12" s="450">
        <v>11862</v>
      </c>
      <c r="G12" s="450">
        <v>25225</v>
      </c>
      <c r="H12" s="450">
        <v>46826</v>
      </c>
      <c r="I12" s="450">
        <v>31</v>
      </c>
      <c r="J12" s="450">
        <v>41.836799999999997</v>
      </c>
      <c r="K12" s="450">
        <v>31</v>
      </c>
      <c r="L12" s="450">
        <v>7</v>
      </c>
      <c r="M12" s="450">
        <v>2</v>
      </c>
      <c r="N12" s="450">
        <v>93.412800000000004</v>
      </c>
      <c r="O12" s="450">
        <v>456.11999999999995</v>
      </c>
      <c r="P12" s="450">
        <v>1420.9271999999999</v>
      </c>
      <c r="Q12" s="450">
        <v>1122.7227</v>
      </c>
      <c r="R12" s="450">
        <v>0</v>
      </c>
      <c r="S12" s="450">
        <f>'12.2014 CB Power Supply'!F17</f>
        <v>2592</v>
      </c>
      <c r="T12" s="665" t="s">
        <v>661</v>
      </c>
    </row>
    <row r="13" spans="1:20" s="446" customFormat="1">
      <c r="A13" s="446" t="s">
        <v>403</v>
      </c>
      <c r="D13" s="62"/>
      <c r="E13" s="450"/>
      <c r="F13" s="450"/>
      <c r="G13" s="450"/>
      <c r="H13" s="450"/>
      <c r="I13" s="450"/>
      <c r="J13" s="450"/>
      <c r="K13" s="450"/>
      <c r="L13" s="450"/>
      <c r="M13" s="450"/>
      <c r="N13" s="450"/>
      <c r="O13" s="450"/>
      <c r="P13" s="450"/>
      <c r="Q13" s="450">
        <v>63</v>
      </c>
      <c r="R13" s="450">
        <v>0</v>
      </c>
      <c r="S13" s="450">
        <f>'12.2014 CB Power Supply'!F18</f>
        <v>163</v>
      </c>
      <c r="T13" s="665" t="s">
        <v>661</v>
      </c>
    </row>
    <row r="14" spans="1:20">
      <c r="A14" s="400" t="s">
        <v>14</v>
      </c>
      <c r="D14" s="62"/>
      <c r="E14" s="451">
        <f>SUM(E9:E12)</f>
        <v>147287.7623</v>
      </c>
      <c r="F14" s="451">
        <f t="shared" ref="F14:Q14" si="0">SUM(F9:F12)</f>
        <v>103023</v>
      </c>
      <c r="G14" s="451">
        <f t="shared" si="0"/>
        <v>57021</v>
      </c>
      <c r="H14" s="451">
        <f t="shared" si="0"/>
        <v>82360</v>
      </c>
      <c r="I14" s="451">
        <f t="shared" si="0"/>
        <v>40724</v>
      </c>
      <c r="J14" s="451">
        <f t="shared" si="0"/>
        <v>44868.660599999988</v>
      </c>
      <c r="K14" s="451">
        <f t="shared" si="0"/>
        <v>35579</v>
      </c>
      <c r="L14" s="451">
        <f t="shared" si="0"/>
        <v>35175</v>
      </c>
      <c r="M14" s="451">
        <f t="shared" si="0"/>
        <v>47065</v>
      </c>
      <c r="N14" s="451">
        <f t="shared" si="0"/>
        <v>31292.639300000003</v>
      </c>
      <c r="O14" s="451">
        <f t="shared" si="0"/>
        <v>133413.1452</v>
      </c>
      <c r="P14" s="451">
        <f t="shared" si="0"/>
        <v>54354.705999999991</v>
      </c>
      <c r="Q14" s="451">
        <f t="shared" si="0"/>
        <v>55974.2601</v>
      </c>
      <c r="R14" s="451">
        <f>SUM(R9:R13)</f>
        <v>75632</v>
      </c>
      <c r="S14" s="451">
        <f>SUM(S9:S13)</f>
        <v>64060</v>
      </c>
    </row>
    <row r="15" spans="1:20">
      <c r="D15" s="62"/>
      <c r="E15" s="341"/>
      <c r="F15" s="341"/>
      <c r="G15" s="341"/>
      <c r="H15" s="341"/>
      <c r="I15" s="341"/>
      <c r="J15" s="341"/>
      <c r="K15" s="341"/>
      <c r="L15" s="341"/>
      <c r="M15" s="341"/>
      <c r="N15" s="341"/>
      <c r="O15" s="341"/>
      <c r="P15" s="341"/>
      <c r="Q15" s="341"/>
      <c r="R15" s="341"/>
      <c r="S15" s="341"/>
    </row>
    <row r="16" spans="1:20">
      <c r="D16" s="62"/>
      <c r="E16" s="341"/>
      <c r="F16" s="341"/>
      <c r="G16" s="341"/>
      <c r="H16" s="341"/>
      <c r="I16" s="341"/>
      <c r="J16" s="341"/>
      <c r="K16" s="341"/>
      <c r="L16" s="341"/>
      <c r="M16" s="341"/>
      <c r="N16" s="341"/>
      <c r="O16" s="341"/>
      <c r="P16" s="341"/>
      <c r="Q16" s="341"/>
      <c r="R16" s="341"/>
      <c r="S16" s="341"/>
    </row>
    <row r="17" spans="1:25">
      <c r="A17" s="400" t="s">
        <v>15</v>
      </c>
      <c r="D17" s="62"/>
      <c r="E17" s="341">
        <v>18358.352600000002</v>
      </c>
      <c r="F17" s="341">
        <v>10164</v>
      </c>
      <c r="G17" s="341">
        <v>9430</v>
      </c>
      <c r="H17" s="341">
        <v>12014</v>
      </c>
      <c r="I17" s="341">
        <v>12358</v>
      </c>
      <c r="J17" s="341">
        <v>12956.9877</v>
      </c>
      <c r="K17" s="341">
        <v>15914</v>
      </c>
      <c r="L17" s="341">
        <v>16710</v>
      </c>
      <c r="M17" s="341">
        <v>18086</v>
      </c>
      <c r="N17" s="341">
        <v>16203.228600000002</v>
      </c>
      <c r="O17" s="341">
        <v>19974.797999999999</v>
      </c>
      <c r="P17" s="341">
        <v>21546.8148</v>
      </c>
      <c r="Q17" s="341">
        <v>16459.231800000001</v>
      </c>
      <c r="R17" s="341">
        <v>18925</v>
      </c>
      <c r="S17" s="341">
        <f>'12.2014 CB Power Supply'!F22</f>
        <v>17743</v>
      </c>
    </row>
    <row r="18" spans="1:25">
      <c r="A18" s="400" t="s">
        <v>16</v>
      </c>
      <c r="D18" s="62"/>
      <c r="E18" s="341">
        <v>0</v>
      </c>
      <c r="F18" s="341">
        <v>0</v>
      </c>
      <c r="G18" s="341">
        <v>0</v>
      </c>
      <c r="H18" s="341">
        <v>0</v>
      </c>
      <c r="I18" s="341">
        <v>0</v>
      </c>
      <c r="J18" s="341">
        <v>0</v>
      </c>
      <c r="K18" s="341">
        <v>0</v>
      </c>
      <c r="L18" s="341">
        <v>0</v>
      </c>
      <c r="M18" s="341">
        <v>0</v>
      </c>
      <c r="N18" s="341">
        <v>0</v>
      </c>
      <c r="O18" s="341">
        <v>0</v>
      </c>
      <c r="P18" s="341">
        <v>0</v>
      </c>
      <c r="Q18" s="341">
        <v>0</v>
      </c>
      <c r="R18" s="341">
        <v>0</v>
      </c>
      <c r="S18" s="341">
        <f>'12.2014 CB Power Supply'!F23</f>
        <v>0</v>
      </c>
    </row>
    <row r="19" spans="1:25">
      <c r="A19" s="400" t="s">
        <v>17</v>
      </c>
      <c r="D19" s="62"/>
      <c r="E19" s="341">
        <v>23060.302300000003</v>
      </c>
      <c r="F19" s="341">
        <v>3582</v>
      </c>
      <c r="G19" s="341">
        <v>8111</v>
      </c>
      <c r="H19" s="341">
        <v>15447</v>
      </c>
      <c r="I19" s="341">
        <v>45629</v>
      </c>
      <c r="J19" s="341">
        <v>55227.190799999997</v>
      </c>
      <c r="K19" s="341">
        <v>47155</v>
      </c>
      <c r="L19" s="341">
        <v>43656</v>
      </c>
      <c r="M19" s="341">
        <v>52704</v>
      </c>
      <c r="N19" s="341">
        <v>15927.531100000002</v>
      </c>
      <c r="O19" s="341">
        <v>74448.55799999999</v>
      </c>
      <c r="P19" s="341">
        <v>62923.979999999996</v>
      </c>
      <c r="Q19" s="341">
        <v>50012.192999999999</v>
      </c>
      <c r="R19" s="341">
        <v>60338</v>
      </c>
      <c r="S19" s="341">
        <f>'12.2014 CB Power Supply'!F24</f>
        <v>36097</v>
      </c>
    </row>
    <row r="20" spans="1:25">
      <c r="A20" s="400" t="s">
        <v>18</v>
      </c>
      <c r="D20" s="62"/>
      <c r="E20" s="341">
        <v>548.88120000000004</v>
      </c>
      <c r="F20" s="341">
        <v>528</v>
      </c>
      <c r="G20" s="341">
        <v>392</v>
      </c>
      <c r="H20" s="341">
        <v>528</v>
      </c>
      <c r="I20" s="341">
        <v>490</v>
      </c>
      <c r="J20" s="341">
        <v>497.46569999999997</v>
      </c>
      <c r="K20" s="341">
        <v>450</v>
      </c>
      <c r="L20" s="341">
        <v>420</v>
      </c>
      <c r="M20" s="341">
        <v>421</v>
      </c>
      <c r="N20" s="341">
        <v>464.46920000000006</v>
      </c>
      <c r="O20" s="341">
        <v>555.81479999999999</v>
      </c>
      <c r="P20" s="341">
        <v>635.43759999999997</v>
      </c>
      <c r="Q20" s="341">
        <v>673.50360000000001</v>
      </c>
      <c r="R20" s="341">
        <v>671</v>
      </c>
      <c r="S20" s="341">
        <f>'12.2014 CB Power Supply'!F25</f>
        <v>636</v>
      </c>
    </row>
    <row r="21" spans="1:25">
      <c r="A21" s="400" t="s">
        <v>19</v>
      </c>
      <c r="D21" s="62"/>
      <c r="E21" s="341">
        <v>180040.32550000001</v>
      </c>
      <c r="F21" s="341">
        <v>131649</v>
      </c>
      <c r="G21" s="341">
        <v>50729</v>
      </c>
      <c r="H21" s="341">
        <v>53591</v>
      </c>
      <c r="I21" s="341">
        <v>51029</v>
      </c>
      <c r="J21" s="341">
        <v>55379.502899999992</v>
      </c>
      <c r="K21" s="341">
        <v>79145</v>
      </c>
      <c r="L21" s="341">
        <v>65642</v>
      </c>
      <c r="M21" s="341">
        <v>72581</v>
      </c>
      <c r="N21" s="341">
        <v>104870.13940000001</v>
      </c>
      <c r="O21" s="341">
        <v>142281.42119999998</v>
      </c>
      <c r="P21" s="341">
        <v>91141.584799999997</v>
      </c>
      <c r="Q21" s="341">
        <v>101282.32950000001</v>
      </c>
      <c r="R21" s="341">
        <v>109035</v>
      </c>
      <c r="S21" s="341">
        <f>'12.2014 CB Power Supply'!F26</f>
        <v>116641</v>
      </c>
    </row>
    <row r="22" spans="1:25">
      <c r="A22" s="400" t="s">
        <v>20</v>
      </c>
      <c r="D22" s="62"/>
      <c r="E22" s="341">
        <v>0</v>
      </c>
      <c r="F22" s="341">
        <v>0</v>
      </c>
      <c r="G22" s="341">
        <v>85</v>
      </c>
      <c r="H22" s="341">
        <v>87</v>
      </c>
      <c r="I22" s="341">
        <v>87</v>
      </c>
      <c r="J22" s="341">
        <v>86.942099999999996</v>
      </c>
      <c r="K22" s="341">
        <v>115</v>
      </c>
      <c r="L22" s="341">
        <v>100</v>
      </c>
      <c r="M22" s="341">
        <v>113</v>
      </c>
      <c r="N22" s="341">
        <v>103.792</v>
      </c>
      <c r="O22" s="341">
        <v>104.256</v>
      </c>
      <c r="P22" s="341">
        <v>104.384</v>
      </c>
      <c r="Q22" s="341">
        <v>104.01600000000001</v>
      </c>
      <c r="R22" s="341">
        <v>104</v>
      </c>
      <c r="S22" s="341">
        <f>'12.2014 CB Power Supply'!F27</f>
        <v>0</v>
      </c>
    </row>
    <row r="23" spans="1:25">
      <c r="A23" s="400" t="s">
        <v>21</v>
      </c>
      <c r="D23" s="62"/>
      <c r="E23" s="341">
        <v>3013.5434</v>
      </c>
      <c r="F23" s="341">
        <v>3056</v>
      </c>
      <c r="G23" s="341">
        <v>3059</v>
      </c>
      <c r="H23" s="341">
        <v>3066</v>
      </c>
      <c r="I23" s="341">
        <v>4385</v>
      </c>
      <c r="J23" s="341">
        <v>2320.6349999999998</v>
      </c>
      <c r="K23" s="341">
        <v>0</v>
      </c>
      <c r="L23" s="341">
        <v>0</v>
      </c>
      <c r="M23" s="341">
        <v>0</v>
      </c>
      <c r="N23" s="341">
        <v>0</v>
      </c>
      <c r="O23" s="341">
        <v>0</v>
      </c>
      <c r="P23" s="341">
        <v>0</v>
      </c>
      <c r="Q23" s="341">
        <v>0</v>
      </c>
      <c r="R23" s="341">
        <v>0</v>
      </c>
      <c r="S23" s="341">
        <f>'12.2014 CB Power Supply'!F28</f>
        <v>0</v>
      </c>
    </row>
    <row r="24" spans="1:25">
      <c r="A24" s="400" t="s">
        <v>22</v>
      </c>
      <c r="D24" s="62"/>
      <c r="E24" s="341">
        <v>109.3785</v>
      </c>
      <c r="F24" s="341">
        <v>171</v>
      </c>
      <c r="G24" s="341">
        <v>150</v>
      </c>
      <c r="H24" s="341">
        <v>173</v>
      </c>
      <c r="I24" s="341">
        <v>99</v>
      </c>
      <c r="J24" s="341">
        <v>141.19919999999999</v>
      </c>
      <c r="K24" s="341">
        <v>0</v>
      </c>
      <c r="L24" s="341">
        <v>0</v>
      </c>
      <c r="M24" s="341">
        <v>0</v>
      </c>
      <c r="N24" s="341">
        <v>0</v>
      </c>
      <c r="O24" s="341">
        <v>0</v>
      </c>
      <c r="P24" s="341">
        <v>0</v>
      </c>
      <c r="Q24" s="341">
        <v>0</v>
      </c>
      <c r="R24" s="341">
        <v>0</v>
      </c>
      <c r="S24" s="341">
        <f>'12.2014 CB Power Supply'!F29</f>
        <v>0</v>
      </c>
    </row>
    <row r="25" spans="1:25">
      <c r="A25" s="400" t="s">
        <v>23</v>
      </c>
      <c r="D25" s="62"/>
      <c r="E25" s="341">
        <v>1984.7226000000001</v>
      </c>
      <c r="F25" s="341">
        <v>25</v>
      </c>
      <c r="G25" s="341">
        <v>46700</v>
      </c>
      <c r="H25" s="341">
        <v>63438</v>
      </c>
      <c r="I25" s="341">
        <v>51</v>
      </c>
      <c r="J25" s="341">
        <v>73.868099999999998</v>
      </c>
      <c r="K25" s="341">
        <v>291</v>
      </c>
      <c r="L25" s="341">
        <v>243</v>
      </c>
      <c r="M25" s="341">
        <v>297</v>
      </c>
      <c r="N25" s="341">
        <v>307.48380000000003</v>
      </c>
      <c r="O25" s="341">
        <v>465.89399999999995</v>
      </c>
      <c r="P25" s="341">
        <v>820.7192</v>
      </c>
      <c r="Q25" s="341">
        <v>891.93719999999996</v>
      </c>
      <c r="R25" s="341">
        <v>711</v>
      </c>
      <c r="S25" s="341">
        <f>'12.2014 CB Power Supply'!F30</f>
        <v>376</v>
      </c>
    </row>
    <row r="26" spans="1:25" s="446" customFormat="1">
      <c r="A26" s="446" t="s">
        <v>404</v>
      </c>
      <c r="D26" s="62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>
        <v>0</v>
      </c>
      <c r="R26" s="341">
        <v>0</v>
      </c>
      <c r="S26" s="341">
        <f>'12.2014 CB Power Supply'!F31</f>
        <v>2396</v>
      </c>
    </row>
    <row r="27" spans="1:25">
      <c r="A27" s="400" t="s">
        <v>24</v>
      </c>
      <c r="D27" s="62"/>
      <c r="E27" s="341">
        <v>7669.7530000000006</v>
      </c>
      <c r="F27" s="341">
        <v>7010</v>
      </c>
      <c r="G27" s="341">
        <v>5723</v>
      </c>
      <c r="H27" s="341">
        <v>5938</v>
      </c>
      <c r="I27" s="341">
        <v>8671</v>
      </c>
      <c r="J27" s="341">
        <v>6436.3301999999994</v>
      </c>
      <c r="K27" s="341">
        <v>9054</v>
      </c>
      <c r="L27" s="341">
        <v>8948</v>
      </c>
      <c r="M27" s="341">
        <v>8782</v>
      </c>
      <c r="N27" s="341">
        <v>8661.4423999999999</v>
      </c>
      <c r="O27" s="341">
        <v>11537.8812</v>
      </c>
      <c r="P27" s="341">
        <v>11410.475999999999</v>
      </c>
      <c r="Q27" s="341">
        <v>11410.555200000001</v>
      </c>
      <c r="R27" s="341">
        <v>11687</v>
      </c>
      <c r="S27" s="341">
        <f>'12.2014 CB Power Supply'!F32</f>
        <v>12228</v>
      </c>
    </row>
    <row r="28" spans="1:25" ht="15.6" customHeight="1">
      <c r="A28" s="18"/>
      <c r="B28" s="18"/>
      <c r="C28" s="18"/>
      <c r="D28" s="450"/>
      <c r="E28" s="341"/>
      <c r="F28" s="341"/>
      <c r="G28" s="341"/>
      <c r="H28" s="341"/>
      <c r="I28" s="341"/>
      <c r="J28" s="341"/>
      <c r="K28" s="341"/>
      <c r="L28" s="341"/>
      <c r="M28" s="341"/>
      <c r="N28" s="341"/>
      <c r="O28" s="341"/>
      <c r="P28" s="341"/>
      <c r="Q28" s="341"/>
      <c r="R28" s="341"/>
      <c r="S28" s="341"/>
      <c r="T28" s="341"/>
      <c r="U28" s="18"/>
      <c r="V28" s="18"/>
      <c r="W28" s="18"/>
      <c r="X28" s="18"/>
      <c r="Y28" s="18"/>
    </row>
    <row r="29" spans="1:25">
      <c r="A29" s="400" t="s">
        <v>25</v>
      </c>
      <c r="D29" s="62"/>
      <c r="E29" s="343">
        <f>SUM(E17:E28)</f>
        <v>234785.2591</v>
      </c>
      <c r="F29" s="343">
        <f t="shared" ref="F29:Q29" si="1">SUM(F17:F28)</f>
        <v>156185</v>
      </c>
      <c r="G29" s="343">
        <f t="shared" si="1"/>
        <v>124379</v>
      </c>
      <c r="H29" s="343">
        <f t="shared" si="1"/>
        <v>154282</v>
      </c>
      <c r="I29" s="343">
        <f t="shared" si="1"/>
        <v>122799</v>
      </c>
      <c r="J29" s="343">
        <f t="shared" si="1"/>
        <v>133120.12169999999</v>
      </c>
      <c r="K29" s="343">
        <f t="shared" si="1"/>
        <v>152124</v>
      </c>
      <c r="L29" s="343">
        <f t="shared" si="1"/>
        <v>135719</v>
      </c>
      <c r="M29" s="343">
        <f t="shared" si="1"/>
        <v>152984</v>
      </c>
      <c r="N29" s="343">
        <f t="shared" si="1"/>
        <v>146538.0865</v>
      </c>
      <c r="O29" s="343">
        <f t="shared" si="1"/>
        <v>249368.62319999994</v>
      </c>
      <c r="P29" s="343">
        <f t="shared" si="1"/>
        <v>188583.39639999997</v>
      </c>
      <c r="Q29" s="343">
        <f t="shared" si="1"/>
        <v>180833.76630000002</v>
      </c>
      <c r="R29" s="343">
        <f t="shared" ref="R29:S29" si="2">SUM(R17:R28)</f>
        <v>201471</v>
      </c>
      <c r="S29" s="343">
        <f t="shared" si="2"/>
        <v>186117</v>
      </c>
    </row>
    <row r="30" spans="1:25">
      <c r="E30" s="423"/>
      <c r="F30" s="423"/>
      <c r="G30" s="423"/>
      <c r="H30" s="423"/>
      <c r="I30" s="423"/>
      <c r="J30" s="423"/>
      <c r="K30" s="423"/>
      <c r="L30" s="423"/>
      <c r="M30" s="423"/>
      <c r="N30" s="423"/>
      <c r="O30" s="423"/>
      <c r="P30" s="423"/>
      <c r="Q30" s="423"/>
      <c r="R30" s="423"/>
      <c r="S30" s="423"/>
    </row>
    <row r="31" spans="1:25">
      <c r="A31" s="400" t="s">
        <v>26</v>
      </c>
      <c r="D31" s="60"/>
      <c r="E31" s="341">
        <f>E14-E29</f>
        <v>-87497.496799999994</v>
      </c>
      <c r="F31" s="341">
        <f t="shared" ref="F31:Q31" si="3">F14-F29</f>
        <v>-53162</v>
      </c>
      <c r="G31" s="341">
        <f t="shared" si="3"/>
        <v>-67358</v>
      </c>
      <c r="H31" s="341">
        <f t="shared" si="3"/>
        <v>-71922</v>
      </c>
      <c r="I31" s="341">
        <f t="shared" si="3"/>
        <v>-82075</v>
      </c>
      <c r="J31" s="341">
        <f t="shared" si="3"/>
        <v>-88251.4611</v>
      </c>
      <c r="K31" s="341">
        <f t="shared" si="3"/>
        <v>-116545</v>
      </c>
      <c r="L31" s="341">
        <f t="shared" si="3"/>
        <v>-100544</v>
      </c>
      <c r="M31" s="341">
        <f t="shared" si="3"/>
        <v>-105919</v>
      </c>
      <c r="N31" s="341">
        <f t="shared" si="3"/>
        <v>-115245.4472</v>
      </c>
      <c r="O31" s="341">
        <f t="shared" si="3"/>
        <v>-115955.47799999994</v>
      </c>
      <c r="P31" s="341">
        <f t="shared" si="3"/>
        <v>-134228.69039999996</v>
      </c>
      <c r="Q31" s="341">
        <f t="shared" si="3"/>
        <v>-124859.50620000002</v>
      </c>
      <c r="R31" s="341">
        <f t="shared" ref="R31:S31" si="4">R14-R29</f>
        <v>-125839</v>
      </c>
      <c r="S31" s="341">
        <f t="shared" si="4"/>
        <v>-122057</v>
      </c>
    </row>
    <row r="32" spans="1:25">
      <c r="D32" s="60"/>
      <c r="E32" s="341"/>
      <c r="F32" s="341"/>
      <c r="G32" s="341"/>
      <c r="H32" s="341"/>
      <c r="I32" s="341"/>
      <c r="J32" s="341"/>
      <c r="K32" s="341"/>
      <c r="L32" s="341"/>
      <c r="M32" s="341"/>
      <c r="N32" s="341"/>
      <c r="O32" s="341"/>
      <c r="P32" s="341"/>
      <c r="Q32" s="341"/>
      <c r="R32" s="341"/>
      <c r="S32" s="341"/>
    </row>
    <row r="33" spans="1:19">
      <c r="A33" s="400" t="s">
        <v>27</v>
      </c>
      <c r="C33" s="64">
        <v>0.35</v>
      </c>
      <c r="D33" s="65"/>
      <c r="E33" s="342">
        <f>E31*0.35</f>
        <v>-30624.123879999996</v>
      </c>
      <c r="F33" s="342">
        <f t="shared" ref="F33:Q33" si="5">F31*0.35</f>
        <v>-18606.699999999997</v>
      </c>
      <c r="G33" s="342">
        <f t="shared" si="5"/>
        <v>-23575.3</v>
      </c>
      <c r="H33" s="342">
        <f t="shared" si="5"/>
        <v>-25172.699999999997</v>
      </c>
      <c r="I33" s="342">
        <f t="shared" si="5"/>
        <v>-28726.249999999996</v>
      </c>
      <c r="J33" s="342">
        <f t="shared" si="5"/>
        <v>-30888.011384999998</v>
      </c>
      <c r="K33" s="342">
        <f t="shared" si="5"/>
        <v>-40790.75</v>
      </c>
      <c r="L33" s="342">
        <f t="shared" si="5"/>
        <v>-35190.399999999994</v>
      </c>
      <c r="M33" s="342">
        <f t="shared" si="5"/>
        <v>-37071.649999999994</v>
      </c>
      <c r="N33" s="342">
        <f t="shared" si="5"/>
        <v>-40335.906519999997</v>
      </c>
      <c r="O33" s="342">
        <f t="shared" si="5"/>
        <v>-40584.417299999979</v>
      </c>
      <c r="P33" s="342">
        <f t="shared" si="5"/>
        <v>-46980.041639999981</v>
      </c>
      <c r="Q33" s="342">
        <f t="shared" si="5"/>
        <v>-43700.827170000004</v>
      </c>
      <c r="R33" s="342">
        <f t="shared" ref="R33:S33" si="6">R31*0.35</f>
        <v>-44043.649999999994</v>
      </c>
      <c r="S33" s="342">
        <f t="shared" si="6"/>
        <v>-42719.95</v>
      </c>
    </row>
    <row r="34" spans="1:19">
      <c r="D34" s="65"/>
      <c r="E34" s="340"/>
      <c r="F34" s="340"/>
      <c r="G34" s="340"/>
      <c r="H34" s="340"/>
      <c r="I34" s="340"/>
      <c r="J34" s="340"/>
      <c r="K34" s="340"/>
      <c r="L34" s="340"/>
      <c r="M34" s="340"/>
      <c r="N34" s="340"/>
      <c r="O34" s="340"/>
      <c r="P34" s="340"/>
      <c r="Q34" s="340"/>
      <c r="R34" s="340"/>
      <c r="S34" s="340"/>
    </row>
    <row r="35" spans="1:19">
      <c r="A35" s="400" t="s">
        <v>28</v>
      </c>
      <c r="D35" s="60"/>
      <c r="E35" s="424">
        <f>E31-E33</f>
        <v>-56873.372919999994</v>
      </c>
      <c r="F35" s="424">
        <f t="shared" ref="F35:Q35" si="7">F31-F33</f>
        <v>-34555.300000000003</v>
      </c>
      <c r="G35" s="424">
        <f t="shared" si="7"/>
        <v>-43782.7</v>
      </c>
      <c r="H35" s="424">
        <f t="shared" si="7"/>
        <v>-46749.3</v>
      </c>
      <c r="I35" s="424">
        <f t="shared" si="7"/>
        <v>-53348.75</v>
      </c>
      <c r="J35" s="424">
        <f t="shared" si="7"/>
        <v>-57363.449715000002</v>
      </c>
      <c r="K35" s="424">
        <f t="shared" si="7"/>
        <v>-75754.25</v>
      </c>
      <c r="L35" s="424">
        <f t="shared" si="7"/>
        <v>-65353.600000000006</v>
      </c>
      <c r="M35" s="424">
        <f t="shared" si="7"/>
        <v>-68847.350000000006</v>
      </c>
      <c r="N35" s="424">
        <f t="shared" si="7"/>
        <v>-74909.540680000006</v>
      </c>
      <c r="O35" s="424">
        <f t="shared" si="7"/>
        <v>-75371.060699999973</v>
      </c>
      <c r="P35" s="424">
        <f t="shared" si="7"/>
        <v>-87248.648759999982</v>
      </c>
      <c r="Q35" s="424">
        <f t="shared" si="7"/>
        <v>-81158.679030000014</v>
      </c>
      <c r="R35" s="424">
        <f t="shared" ref="R35:S35" si="8">R31-R33</f>
        <v>-81795.350000000006</v>
      </c>
      <c r="S35" s="424">
        <f t="shared" si="8"/>
        <v>-79337.05</v>
      </c>
    </row>
    <row r="36" spans="1:19">
      <c r="E36" s="341"/>
      <c r="F36" s="341"/>
      <c r="J36" s="18"/>
      <c r="R36" s="18"/>
      <c r="S36" s="18"/>
    </row>
    <row r="37" spans="1:19">
      <c r="J37" s="18"/>
      <c r="R37" s="18"/>
      <c r="S37" s="18"/>
    </row>
    <row r="38" spans="1:19">
      <c r="J38" s="18"/>
      <c r="R38" s="18"/>
      <c r="S38" s="18"/>
    </row>
    <row r="39" spans="1:19"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</row>
    <row r="40" spans="1:19"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425"/>
    </row>
    <row r="41" spans="1:19"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425"/>
    </row>
    <row r="42" spans="1:19"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</row>
    <row r="44" spans="1:19">
      <c r="J44" s="421"/>
    </row>
    <row r="45" spans="1:19">
      <c r="J45" s="421"/>
    </row>
    <row r="54" spans="1:21">
      <c r="A54" s="695" t="s">
        <v>659</v>
      </c>
      <c r="B54" s="695"/>
      <c r="C54" s="695"/>
      <c r="D54" s="62"/>
      <c r="E54" s="662"/>
      <c r="F54" s="662"/>
      <c r="G54" s="662"/>
      <c r="H54" s="662"/>
      <c r="I54" s="662"/>
      <c r="J54" s="696">
        <f>ROUND(9555*J33,0)</f>
        <v>-295134949</v>
      </c>
      <c r="K54" s="696">
        <f>ROUND(12757*K33,0)</f>
        <v>-520367598</v>
      </c>
      <c r="L54" s="696">
        <f>ROUND(14241*L33,0)</f>
        <v>-501146486</v>
      </c>
      <c r="M54" s="696">
        <f>ROUND(15869*M33,0)</f>
        <v>-588290014</v>
      </c>
      <c r="N54" s="696">
        <f>ROUND(16051*N33,0)</f>
        <v>-647431636</v>
      </c>
      <c r="O54" s="696">
        <f>ROUND(15132*O33,0)</f>
        <v>-614123403</v>
      </c>
      <c r="P54" s="696">
        <f>ROUND(16369*P33,0)</f>
        <v>-769016302</v>
      </c>
      <c r="Q54" s="696">
        <f>ROUND(21605*Q33,0)</f>
        <v>-944156371</v>
      </c>
      <c r="R54" s="696">
        <f>ROUND(17902*R33,0)</f>
        <v>-788469422</v>
      </c>
      <c r="S54" s="696">
        <f>ROUND(18743*S33,0)</f>
        <v>-800700023</v>
      </c>
      <c r="T54" s="662">
        <f>'12.2014 CB Power Supply'!F59+'12.2014 CB Power Supply'!F60</f>
        <v>0</v>
      </c>
      <c r="U54" s="695" t="s">
        <v>660</v>
      </c>
    </row>
  </sheetData>
  <mergeCells count="4">
    <mergeCell ref="A1:Q1"/>
    <mergeCell ref="A2:Q2"/>
    <mergeCell ref="E4:Q4"/>
    <mergeCell ref="E5:Q5"/>
  </mergeCells>
  <pageMargins left="0.28000000000000003" right="0.21" top="1" bottom="1" header="0.5" footer="0.5"/>
  <pageSetup scale="65" orientation="landscape" r:id="rId1"/>
  <headerFooter alignWithMargins="0">
    <oddFooter>&amp;C&amp;F / &amp;A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T26"/>
  <sheetViews>
    <sheetView workbookViewId="0">
      <selection activeCell="T1" sqref="T1"/>
    </sheetView>
  </sheetViews>
  <sheetFormatPr defaultColWidth="9.140625" defaultRowHeight="15"/>
  <cols>
    <col min="1" max="4" width="9.140625" style="354"/>
    <col min="5" max="5" width="11.5703125" style="354" bestFit="1" customWidth="1"/>
    <col min="6" max="14" width="10.5703125" style="354" bestFit="1" customWidth="1"/>
    <col min="15" max="15" width="11.5703125" style="354" bestFit="1" customWidth="1"/>
    <col min="16" max="19" width="10.5703125" style="354" bestFit="1" customWidth="1"/>
    <col min="20" max="16384" width="9.140625" style="354"/>
  </cols>
  <sheetData>
    <row r="1" spans="1:20">
      <c r="A1" s="354" t="s">
        <v>349</v>
      </c>
    </row>
    <row r="2" spans="1:20">
      <c r="P2" s="355"/>
      <c r="Q2" s="355"/>
      <c r="R2" s="355"/>
      <c r="S2" s="708" t="s">
        <v>662</v>
      </c>
    </row>
    <row r="3" spans="1:20">
      <c r="D3" s="356"/>
      <c r="E3" s="357">
        <v>2000</v>
      </c>
      <c r="F3" s="358">
        <v>2001</v>
      </c>
      <c r="G3" s="358">
        <v>2002</v>
      </c>
      <c r="H3" s="358">
        <v>2003</v>
      </c>
      <c r="I3" s="358">
        <v>2004</v>
      </c>
      <c r="J3" s="358">
        <v>2005</v>
      </c>
      <c r="K3" s="358">
        <v>2006</v>
      </c>
      <c r="L3" s="358">
        <v>2007</v>
      </c>
      <c r="M3" s="358">
        <v>2008</v>
      </c>
      <c r="N3" s="358">
        <v>2009</v>
      </c>
      <c r="O3" s="358">
        <v>2010</v>
      </c>
      <c r="P3" s="358">
        <v>2011</v>
      </c>
      <c r="Q3" s="358">
        <v>2012</v>
      </c>
      <c r="R3" s="358">
        <v>2013</v>
      </c>
      <c r="S3" s="358">
        <v>2014</v>
      </c>
    </row>
    <row r="4" spans="1:20">
      <c r="A4" s="354" t="s">
        <v>9</v>
      </c>
      <c r="D4" s="359"/>
      <c r="E4" s="360">
        <v>0.66290000000000004</v>
      </c>
      <c r="F4" s="360">
        <v>0.67479999999999996</v>
      </c>
      <c r="G4" s="360">
        <v>0.64119999999999999</v>
      </c>
      <c r="H4" s="360">
        <v>0.65480000000000005</v>
      </c>
      <c r="I4" s="360">
        <v>0.65159999999999996</v>
      </c>
      <c r="J4" s="360">
        <v>0.65369999999999995</v>
      </c>
      <c r="K4" s="360">
        <v>0.6583</v>
      </c>
      <c r="L4" s="360">
        <v>0.64590000000000003</v>
      </c>
      <c r="M4" s="360">
        <v>0.64419999999999999</v>
      </c>
      <c r="N4" s="360">
        <v>0.64870000000000005</v>
      </c>
      <c r="O4" s="360">
        <v>0.65159999999999996</v>
      </c>
      <c r="P4" s="361">
        <v>0.65239999999999998</v>
      </c>
      <c r="Q4" s="361">
        <v>0.65010000000000001</v>
      </c>
      <c r="R4" s="361">
        <v>0.65190000000000003</v>
      </c>
      <c r="S4" s="361">
        <v>0.64710000000000001</v>
      </c>
    </row>
    <row r="5" spans="1:20">
      <c r="A5" s="354" t="s">
        <v>350</v>
      </c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</row>
    <row r="6" spans="1:20">
      <c r="A6" s="354" t="s">
        <v>10</v>
      </c>
      <c r="D6" s="362"/>
      <c r="E6" s="363">
        <v>135976.0367</v>
      </c>
      <c r="F6" s="363">
        <v>90880</v>
      </c>
      <c r="G6" s="363">
        <v>31728</v>
      </c>
      <c r="H6" s="363">
        <v>35221</v>
      </c>
      <c r="I6" s="363">
        <v>40439</v>
      </c>
      <c r="J6" s="363">
        <v>44689.546799999996</v>
      </c>
      <c r="K6" s="363">
        <v>35381</v>
      </c>
      <c r="L6" s="363">
        <v>34954</v>
      </c>
      <c r="M6" s="363">
        <v>46849</v>
      </c>
      <c r="N6" s="363">
        <v>30933.259500000004</v>
      </c>
      <c r="O6" s="363">
        <v>132773.274</v>
      </c>
      <c r="P6" s="363">
        <v>52603.011999999995</v>
      </c>
      <c r="Q6" s="363">
        <v>54547.940699999999</v>
      </c>
      <c r="R6" s="340">
        <v>75350</v>
      </c>
      <c r="S6" s="340">
        <f>'PS Consolidated'!S9</f>
        <v>60998</v>
      </c>
    </row>
    <row r="7" spans="1:20">
      <c r="A7" s="354" t="s">
        <v>11</v>
      </c>
      <c r="D7" s="364"/>
      <c r="E7" s="365">
        <v>300.2937</v>
      </c>
      <c r="F7" s="365">
        <v>281</v>
      </c>
      <c r="G7" s="365">
        <v>38</v>
      </c>
      <c r="H7" s="365">
        <v>297</v>
      </c>
      <c r="I7" s="365">
        <v>238</v>
      </c>
      <c r="J7" s="365">
        <v>124.85669999999999</v>
      </c>
      <c r="K7" s="365">
        <v>153</v>
      </c>
      <c r="L7" s="365">
        <v>200</v>
      </c>
      <c r="M7" s="365">
        <v>198</v>
      </c>
      <c r="N7" s="365">
        <v>247.15470000000002</v>
      </c>
      <c r="O7" s="365">
        <v>183.75119999999998</v>
      </c>
      <c r="P7" s="365">
        <v>330.76679999999999</v>
      </c>
      <c r="Q7" s="365">
        <v>303.5967</v>
      </c>
      <c r="R7" s="365">
        <v>282</v>
      </c>
      <c r="S7" s="365">
        <f>475*S4</f>
        <v>307.3725</v>
      </c>
    </row>
    <row r="8" spans="1:20">
      <c r="A8" s="354" t="s">
        <v>12</v>
      </c>
      <c r="D8" s="364"/>
      <c r="E8" s="365">
        <v>43.751400000000004</v>
      </c>
      <c r="F8" s="365">
        <v>0</v>
      </c>
      <c r="G8" s="365">
        <v>30</v>
      </c>
      <c r="H8" s="365">
        <v>16</v>
      </c>
      <c r="I8" s="365">
        <v>16</v>
      </c>
      <c r="J8" s="365">
        <v>12.420299999999999</v>
      </c>
      <c r="K8" s="365">
        <v>14</v>
      </c>
      <c r="L8" s="365">
        <v>14</v>
      </c>
      <c r="M8" s="365">
        <v>16</v>
      </c>
      <c r="N8" s="365">
        <v>18.8123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</row>
    <row r="9" spans="1:20">
      <c r="A9" s="354" t="s">
        <v>13</v>
      </c>
      <c r="D9" s="366"/>
      <c r="E9" s="367">
        <v>10967.6805</v>
      </c>
      <c r="F9" s="367">
        <v>11862</v>
      </c>
      <c r="G9" s="367">
        <v>25225</v>
      </c>
      <c r="H9" s="367">
        <v>46826</v>
      </c>
      <c r="I9" s="367">
        <v>31</v>
      </c>
      <c r="J9" s="367">
        <v>41.836799999999997</v>
      </c>
      <c r="K9" s="367">
        <v>31</v>
      </c>
      <c r="L9" s="367">
        <v>7</v>
      </c>
      <c r="M9" s="367">
        <v>2</v>
      </c>
      <c r="N9" s="367">
        <v>93.412800000000004</v>
      </c>
      <c r="O9" s="367">
        <v>456.11999999999995</v>
      </c>
      <c r="P9" s="367">
        <v>1420.9271999999999</v>
      </c>
      <c r="Q9" s="367">
        <f>'PS Consolidated'!Q12+'PS Consolidated'!Q13</f>
        <v>1185.7227</v>
      </c>
      <c r="R9" s="367">
        <f>'PS Consolidated'!R12+'PS Consolidated'!R13</f>
        <v>0</v>
      </c>
      <c r="S9" s="367">
        <f>'PS Consolidated'!S12+'PS Consolidated'!S13</f>
        <v>2755</v>
      </c>
    </row>
    <row r="10" spans="1:20">
      <c r="A10" s="354" t="s">
        <v>14</v>
      </c>
      <c r="D10" s="366"/>
      <c r="E10" s="365">
        <f t="shared" ref="E10:R10" si="0">SUM(E6:E9)</f>
        <v>147287.7623</v>
      </c>
      <c r="F10" s="365">
        <f t="shared" si="0"/>
        <v>103023</v>
      </c>
      <c r="G10" s="365">
        <f t="shared" si="0"/>
        <v>57021</v>
      </c>
      <c r="H10" s="365">
        <f t="shared" si="0"/>
        <v>82360</v>
      </c>
      <c r="I10" s="365">
        <f t="shared" si="0"/>
        <v>40724</v>
      </c>
      <c r="J10" s="365">
        <f t="shared" si="0"/>
        <v>44868.660599999988</v>
      </c>
      <c r="K10" s="365">
        <f t="shared" si="0"/>
        <v>35579</v>
      </c>
      <c r="L10" s="365">
        <f t="shared" si="0"/>
        <v>35175</v>
      </c>
      <c r="M10" s="365">
        <f t="shared" si="0"/>
        <v>47065</v>
      </c>
      <c r="N10" s="365">
        <f t="shared" si="0"/>
        <v>31292.639300000003</v>
      </c>
      <c r="O10" s="365">
        <f t="shared" si="0"/>
        <v>133413.1452</v>
      </c>
      <c r="P10" s="365">
        <f t="shared" si="0"/>
        <v>54354.705999999991</v>
      </c>
      <c r="Q10" s="365">
        <f t="shared" si="0"/>
        <v>56037.2601</v>
      </c>
      <c r="R10" s="365">
        <f t="shared" si="0"/>
        <v>75632</v>
      </c>
      <c r="S10" s="365">
        <f t="shared" ref="S10" si="1">SUM(S6:S9)</f>
        <v>64060.372499999998</v>
      </c>
    </row>
    <row r="11" spans="1:20">
      <c r="R11" s="544"/>
      <c r="S11" s="544"/>
    </row>
    <row r="12" spans="1:20">
      <c r="A12" s="354" t="s">
        <v>351</v>
      </c>
      <c r="R12" s="544"/>
      <c r="S12" s="544"/>
    </row>
    <row r="13" spans="1:20">
      <c r="A13" s="354" t="s">
        <v>352</v>
      </c>
      <c r="E13" s="368">
        <f>'CBR Hist'!F15</f>
        <v>137117</v>
      </c>
      <c r="F13" s="368">
        <f>'CBR Hist'!G15</f>
        <v>91388</v>
      </c>
      <c r="G13" s="368">
        <f>'CBR Hist'!H15</f>
        <v>29918</v>
      </c>
      <c r="H13" s="368">
        <f>'CBR Hist'!I15</f>
        <v>35252</v>
      </c>
      <c r="I13" s="368">
        <f>'CBR Hist'!J15</f>
        <v>40460</v>
      </c>
      <c r="J13" s="368">
        <f>'CBR Hist'!K15</f>
        <v>44718</v>
      </c>
      <c r="K13" s="368">
        <f>'CBR Hist'!L15</f>
        <v>35380</v>
      </c>
      <c r="L13" s="368">
        <f>'CBR Hist'!M15</f>
        <v>34954</v>
      </c>
      <c r="M13" s="368">
        <f>'CBR Hist'!N15</f>
        <v>46848</v>
      </c>
      <c r="N13" s="368">
        <f>'CBR Hist'!O15</f>
        <v>31491</v>
      </c>
      <c r="O13" s="368">
        <f>'CBR Hist'!P15</f>
        <v>133479</v>
      </c>
      <c r="P13" s="368">
        <f>'CBR Hist'!Q15</f>
        <v>52604</v>
      </c>
      <c r="Q13" s="368">
        <f>'CBR Hist'!R15</f>
        <v>54549</v>
      </c>
      <c r="R13" s="369">
        <f>'CBR Hist'!S15+1</f>
        <v>75350</v>
      </c>
      <c r="S13" s="369">
        <f>'CBR Hist'!T15</f>
        <v>60998</v>
      </c>
    </row>
    <row r="14" spans="1:20">
      <c r="A14" s="354" t="s">
        <v>1</v>
      </c>
      <c r="E14" s="368">
        <f>'CBR Hist'!F17</f>
        <v>13062</v>
      </c>
      <c r="F14" s="368">
        <f>'CBR Hist'!G17</f>
        <v>14305</v>
      </c>
      <c r="G14" s="368">
        <f>'CBR Hist'!H17</f>
        <v>34274</v>
      </c>
      <c r="H14" s="368">
        <f>'CBR Hist'!I17</f>
        <v>57244</v>
      </c>
      <c r="I14" s="368">
        <f>'CBR Hist'!J17</f>
        <v>8587</v>
      </c>
      <c r="J14" s="368">
        <f>'CBR Hist'!K17</f>
        <v>10259</v>
      </c>
      <c r="K14" s="368">
        <f>'CBR Hist'!L17</f>
        <v>10178</v>
      </c>
      <c r="L14" s="368">
        <f>'CBR Hist'!M17</f>
        <v>10170</v>
      </c>
      <c r="M14" s="368">
        <f>'CBR Hist'!N17</f>
        <v>10927</v>
      </c>
      <c r="N14" s="368">
        <f>'CBR Hist'!O17</f>
        <v>9395</v>
      </c>
      <c r="O14" s="368">
        <f>'CBR Hist'!P17</f>
        <v>11786</v>
      </c>
      <c r="P14" s="368">
        <f>'CBR Hist'!Q17</f>
        <v>13666</v>
      </c>
      <c r="Q14" s="368">
        <f>'CBR Hist'!R17</f>
        <v>13089</v>
      </c>
      <c r="R14" s="369">
        <f>'CBR Hist'!S17</f>
        <v>13408</v>
      </c>
      <c r="S14" s="369">
        <f>'CBR Hist'!T17</f>
        <v>17163</v>
      </c>
    </row>
    <row r="15" spans="1:20">
      <c r="R15" s="544"/>
      <c r="S15" s="544"/>
    </row>
    <row r="16" spans="1:20">
      <c r="A16" s="452" t="s">
        <v>402</v>
      </c>
      <c r="E16" s="368">
        <v>7824</v>
      </c>
      <c r="F16" s="368">
        <v>9892</v>
      </c>
      <c r="G16" s="368">
        <f>ROUND(11097*G4,0)</f>
        <v>7115</v>
      </c>
      <c r="H16" s="368">
        <f>ROUND(11559*H4,0)</f>
        <v>7569</v>
      </c>
      <c r="I16" s="368">
        <f>ROUND(8476*I4,0)</f>
        <v>5523</v>
      </c>
      <c r="J16" s="369">
        <f>ROUND(10033*J4,0)+78</f>
        <v>6637</v>
      </c>
      <c r="K16" s="369">
        <f>ROUND(10539*K4,0)+86</f>
        <v>7024</v>
      </c>
      <c r="L16" s="369">
        <f>ROUND(10488*L4,0)+102</f>
        <v>6876</v>
      </c>
      <c r="M16" s="369">
        <f>ROUND(9486*M4,0)+102</f>
        <v>6213</v>
      </c>
      <c r="N16" s="369">
        <f>ROUND(9315*N4,0)+90</f>
        <v>6133</v>
      </c>
      <c r="O16" s="369">
        <f>ROUND(12659*O4,0)+84</f>
        <v>8333</v>
      </c>
      <c r="P16" s="238">
        <f>ROUND((13812)*P4,0)+91</f>
        <v>9102</v>
      </c>
      <c r="Q16" s="238">
        <f>ROUND((12594)*Q4,0)+98</f>
        <v>8285</v>
      </c>
      <c r="R16" s="238">
        <f>ROUND((14822)*R4,0)</f>
        <v>9662</v>
      </c>
      <c r="S16" s="238">
        <f>'12.2014 CB Power Supply'!D14*S4+'12.2014 CB Power Supply'!D15</f>
        <v>10622.4344</v>
      </c>
      <c r="T16" s="690"/>
    </row>
    <row r="17" spans="1:19">
      <c r="A17" s="452" t="s">
        <v>405</v>
      </c>
      <c r="E17" s="370">
        <f>E9-E16</f>
        <v>3143.6805000000004</v>
      </c>
      <c r="F17" s="370">
        <f>F9-F16</f>
        <v>1970</v>
      </c>
      <c r="G17" s="370">
        <f>G9</f>
        <v>25225</v>
      </c>
      <c r="H17" s="370">
        <f>H9</f>
        <v>46826</v>
      </c>
      <c r="I17" s="370">
        <f>I9</f>
        <v>31</v>
      </c>
      <c r="J17" s="370">
        <f t="shared" ref="J17:Q17" si="2">J9</f>
        <v>41.836799999999997</v>
      </c>
      <c r="K17" s="370">
        <f t="shared" si="2"/>
        <v>31</v>
      </c>
      <c r="L17" s="370">
        <f t="shared" si="2"/>
        <v>7</v>
      </c>
      <c r="M17" s="370">
        <f>M9+1623</f>
        <v>1625</v>
      </c>
      <c r="N17" s="370">
        <f>N9+89</f>
        <v>182.4128</v>
      </c>
      <c r="O17" s="370">
        <f t="shared" si="2"/>
        <v>456.11999999999995</v>
      </c>
      <c r="P17" s="370">
        <f t="shared" si="2"/>
        <v>1420.9271999999999</v>
      </c>
      <c r="Q17" s="370">
        <f t="shared" si="2"/>
        <v>1185.7227</v>
      </c>
      <c r="R17" s="545">
        <f>R9</f>
        <v>0</v>
      </c>
      <c r="S17" s="545">
        <f>S9</f>
        <v>2755</v>
      </c>
    </row>
    <row r="18" spans="1:19">
      <c r="A18" s="452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545"/>
      <c r="S18" s="545"/>
    </row>
    <row r="19" spans="1:19">
      <c r="A19" s="473" t="s">
        <v>460</v>
      </c>
      <c r="E19" s="370">
        <f t="shared" ref="E19:R19" si="3">E17+E7+E8</f>
        <v>3487.7256000000007</v>
      </c>
      <c r="F19" s="370">
        <f t="shared" si="3"/>
        <v>2251</v>
      </c>
      <c r="G19" s="370">
        <f t="shared" si="3"/>
        <v>25293</v>
      </c>
      <c r="H19" s="370">
        <f t="shared" si="3"/>
        <v>47139</v>
      </c>
      <c r="I19" s="370">
        <f t="shared" si="3"/>
        <v>285</v>
      </c>
      <c r="J19" s="370">
        <f t="shared" si="3"/>
        <v>179.11379999999997</v>
      </c>
      <c r="K19" s="370">
        <f t="shared" si="3"/>
        <v>198</v>
      </c>
      <c r="L19" s="370">
        <f t="shared" si="3"/>
        <v>221</v>
      </c>
      <c r="M19" s="370">
        <f t="shared" si="3"/>
        <v>1839</v>
      </c>
      <c r="N19" s="370">
        <f t="shared" si="3"/>
        <v>448.37979999999999</v>
      </c>
      <c r="O19" s="370">
        <f t="shared" si="3"/>
        <v>639.87119999999993</v>
      </c>
      <c r="P19" s="370">
        <f t="shared" si="3"/>
        <v>1751.694</v>
      </c>
      <c r="Q19" s="370">
        <f t="shared" si="3"/>
        <v>1489.3194000000001</v>
      </c>
      <c r="R19" s="545">
        <f t="shared" si="3"/>
        <v>282</v>
      </c>
      <c r="S19" s="545">
        <f>S17+S7+S8</f>
        <v>3062.3724999999999</v>
      </c>
    </row>
    <row r="20" spans="1:19">
      <c r="R20" s="544"/>
      <c r="S20" s="544"/>
    </row>
    <row r="21" spans="1:19">
      <c r="A21" s="354" t="s">
        <v>353</v>
      </c>
      <c r="E21" s="370">
        <f>E14-E9-E7-E8</f>
        <v>1750.2743999999996</v>
      </c>
      <c r="F21" s="370">
        <f>F14-F9-F7-F8</f>
        <v>2162</v>
      </c>
      <c r="G21" s="370">
        <f t="shared" ref="G21:Q21" si="4">G14-G16-G17-G7-G8</f>
        <v>1866</v>
      </c>
      <c r="H21" s="370">
        <f t="shared" si="4"/>
        <v>2536</v>
      </c>
      <c r="I21" s="370">
        <f t="shared" si="4"/>
        <v>2779</v>
      </c>
      <c r="J21" s="370">
        <f t="shared" si="4"/>
        <v>3442.8861999999999</v>
      </c>
      <c r="K21" s="370">
        <f t="shared" si="4"/>
        <v>2956</v>
      </c>
      <c r="L21" s="370">
        <f t="shared" si="4"/>
        <v>3073</v>
      </c>
      <c r="M21" s="370">
        <f t="shared" si="4"/>
        <v>2875</v>
      </c>
      <c r="N21" s="370">
        <f t="shared" si="4"/>
        <v>2813.6201999999998</v>
      </c>
      <c r="O21" s="370">
        <f t="shared" si="4"/>
        <v>2813.1288</v>
      </c>
      <c r="P21" s="370">
        <f t="shared" si="4"/>
        <v>2812.306</v>
      </c>
      <c r="Q21" s="370">
        <f t="shared" si="4"/>
        <v>3314.6805999999997</v>
      </c>
      <c r="R21" s="545">
        <f>R14-R16-R17-R7-R8</f>
        <v>3464</v>
      </c>
      <c r="S21" s="545">
        <f>S14-S16-S17-S7-S8</f>
        <v>3478.1931</v>
      </c>
    </row>
    <row r="23" spans="1:19">
      <c r="A23" s="453" t="s">
        <v>406</v>
      </c>
      <c r="E23" s="370" t="str">
        <f t="shared" ref="E23:R23" si="5">IF(E7+E8+E16+E17+E21=E14,"","footing error")</f>
        <v/>
      </c>
      <c r="F23" s="370" t="str">
        <f t="shared" si="5"/>
        <v/>
      </c>
      <c r="G23" s="370" t="str">
        <f t="shared" si="5"/>
        <v/>
      </c>
      <c r="H23" s="370" t="str">
        <f t="shared" si="5"/>
        <v/>
      </c>
      <c r="I23" s="370" t="str">
        <f t="shared" si="5"/>
        <v/>
      </c>
      <c r="J23" s="370" t="str">
        <f t="shared" si="5"/>
        <v/>
      </c>
      <c r="K23" s="370" t="str">
        <f t="shared" si="5"/>
        <v/>
      </c>
      <c r="L23" s="370" t="str">
        <f t="shared" si="5"/>
        <v/>
      </c>
      <c r="M23" s="370" t="str">
        <f t="shared" si="5"/>
        <v/>
      </c>
      <c r="N23" s="370" t="str">
        <f t="shared" si="5"/>
        <v/>
      </c>
      <c r="O23" s="370" t="str">
        <f t="shared" si="5"/>
        <v/>
      </c>
      <c r="P23" s="370" t="str">
        <f t="shared" si="5"/>
        <v/>
      </c>
      <c r="Q23" s="370" t="str">
        <f t="shared" si="5"/>
        <v/>
      </c>
      <c r="R23" s="370" t="str">
        <f t="shared" si="5"/>
        <v/>
      </c>
      <c r="S23" s="370" t="str">
        <f t="shared" ref="S23" si="6">IF(S7+S8+S16+S17+S21=S14,"","footing error")</f>
        <v/>
      </c>
    </row>
    <row r="24" spans="1:19">
      <c r="I24" s="533" t="s">
        <v>500</v>
      </c>
      <c r="M24" s="370">
        <v>1623</v>
      </c>
      <c r="N24" s="370">
        <v>89</v>
      </c>
      <c r="O24" s="370"/>
      <c r="P24" s="370"/>
    </row>
    <row r="25" spans="1:19">
      <c r="I25" s="371" t="s">
        <v>354</v>
      </c>
      <c r="M25" s="370"/>
      <c r="N25" s="370"/>
      <c r="O25" s="370">
        <v>-767</v>
      </c>
      <c r="P25" s="370"/>
    </row>
    <row r="26" spans="1:19">
      <c r="I26" s="371" t="s">
        <v>355</v>
      </c>
      <c r="M26" s="370"/>
      <c r="N26" s="370"/>
      <c r="O26" s="370"/>
      <c r="P26" s="370">
        <v>-1044</v>
      </c>
    </row>
  </sheetData>
  <pageMargins left="0.7" right="0.7" top="0.75" bottom="0.75" header="0.3" footer="0.56000000000000005"/>
  <pageSetup scale="71" orientation="landscape" r:id="rId1"/>
  <headerFooter>
    <oddFooter>&amp;C&amp;F / &amp;A</oddFooter>
  </headerFooter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" sqref="T1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1"/>
  <sheetViews>
    <sheetView topLeftCell="G76" zoomScaleNormal="100" zoomScaleSheetLayoutView="80" workbookViewId="0">
      <selection activeCell="U79" sqref="U79"/>
    </sheetView>
  </sheetViews>
  <sheetFormatPr defaultColWidth="12.42578125" defaultRowHeight="11.1" customHeight="1"/>
  <cols>
    <col min="1" max="1" width="4.28515625" style="51" customWidth="1"/>
    <col min="2" max="2" width="1.5703125" style="51" customWidth="1"/>
    <col min="3" max="3" width="27.28515625" style="242" customWidth="1"/>
    <col min="4" max="4" width="1.28515625" style="48" customWidth="1"/>
    <col min="5" max="5" width="12.85546875" style="240" customWidth="1"/>
    <col min="6" max="6" width="12.28515625" style="184" customWidth="1"/>
    <col min="7" max="7" width="11.28515625" style="244" customWidth="1"/>
    <col min="8" max="8" width="13.42578125" style="244" bestFit="1" customWidth="1"/>
    <col min="9" max="9" width="12.7109375" style="245" customWidth="1"/>
    <col min="10" max="10" width="1.140625" style="245" customWidth="1"/>
    <col min="11" max="11" width="10" style="243" customWidth="1"/>
    <col min="12" max="12" width="0.85546875" style="243" customWidth="1"/>
    <col min="13" max="13" width="11.85546875" style="243" customWidth="1"/>
    <col min="14" max="14" width="12.42578125" style="242" customWidth="1"/>
    <col min="15" max="15" width="0.85546875" style="242" customWidth="1"/>
    <col min="16" max="16" width="11.7109375" style="51" customWidth="1"/>
    <col min="17" max="17" width="9.5703125" style="242" customWidth="1"/>
    <col min="18" max="18" width="11.5703125" style="242" customWidth="1"/>
    <col min="19" max="19" width="11.140625" style="242" customWidth="1"/>
    <col min="20" max="20" width="12.85546875" style="242" customWidth="1"/>
    <col min="21" max="21" width="12.42578125" style="51" customWidth="1"/>
    <col min="22" max="22" width="12.5703125" style="51" bestFit="1" customWidth="1"/>
    <col min="23" max="16384" width="12.42578125" style="51"/>
  </cols>
  <sheetData>
    <row r="1" spans="1:23" s="50" customFormat="1" ht="6" customHeight="1"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4"/>
    </row>
    <row r="2" spans="1:23" s="50" customFormat="1" ht="19.5" thickBot="1">
      <c r="A2" s="335" t="s">
        <v>96</v>
      </c>
      <c r="B2" s="955" t="s">
        <v>710</v>
      </c>
      <c r="C2" s="955"/>
      <c r="D2" s="955"/>
      <c r="E2" s="955"/>
      <c r="F2" s="955"/>
      <c r="G2" s="955"/>
      <c r="H2" s="955"/>
      <c r="I2" s="955"/>
      <c r="J2" s="955"/>
      <c r="K2" s="955"/>
      <c r="L2" s="955"/>
      <c r="M2" s="955"/>
      <c r="N2" s="955"/>
      <c r="O2" s="955"/>
      <c r="P2" s="955"/>
      <c r="Q2" s="955"/>
      <c r="R2" s="956"/>
      <c r="S2" s="956"/>
      <c r="T2" s="956"/>
    </row>
    <row r="3" spans="1:23" s="166" customFormat="1" ht="21" thickBot="1">
      <c r="B3" s="648"/>
      <c r="C3" s="635" t="s">
        <v>479</v>
      </c>
      <c r="D3" s="649"/>
      <c r="E3" s="949" t="s">
        <v>246</v>
      </c>
      <c r="F3" s="950"/>
      <c r="G3" s="950"/>
      <c r="H3" s="950"/>
      <c r="I3" s="951"/>
      <c r="J3" s="633"/>
      <c r="K3" s="634"/>
      <c r="L3" s="634"/>
      <c r="M3" s="635" t="s">
        <v>252</v>
      </c>
      <c r="N3" s="636"/>
      <c r="O3" s="637"/>
      <c r="P3" s="952" t="s">
        <v>675</v>
      </c>
      <c r="Q3" s="953"/>
      <c r="R3" s="957"/>
      <c r="S3" s="957"/>
      <c r="T3" s="734"/>
      <c r="U3" s="871" t="s">
        <v>755</v>
      </c>
      <c r="W3" s="332"/>
    </row>
    <row r="4" spans="1:23" s="50" customFormat="1" ht="79.5" customHeight="1">
      <c r="A4" s="290" t="s">
        <v>769</v>
      </c>
      <c r="B4" s="52"/>
      <c r="C4" s="510" t="s">
        <v>4</v>
      </c>
      <c r="D4" s="328"/>
      <c r="E4" s="824" t="s">
        <v>737</v>
      </c>
      <c r="F4" s="826" t="s">
        <v>601</v>
      </c>
      <c r="G4" s="826" t="s">
        <v>706</v>
      </c>
      <c r="H4" s="825" t="s">
        <v>504</v>
      </c>
      <c r="I4" s="631" t="s">
        <v>665</v>
      </c>
      <c r="J4" s="631"/>
      <c r="K4" s="631" t="s">
        <v>418</v>
      </c>
      <c r="L4" s="631"/>
      <c r="M4" s="631" t="s">
        <v>573</v>
      </c>
      <c r="N4" s="632" t="s">
        <v>572</v>
      </c>
      <c r="O4" s="632"/>
      <c r="P4" s="632" t="s">
        <v>600</v>
      </c>
      <c r="Q4" s="632" t="s">
        <v>482</v>
      </c>
      <c r="R4" s="735" t="s">
        <v>734</v>
      </c>
      <c r="S4" s="632" t="s">
        <v>695</v>
      </c>
      <c r="T4" s="829" t="s">
        <v>772</v>
      </c>
      <c r="U4" s="882"/>
    </row>
    <row r="5" spans="1:23" ht="15.75">
      <c r="A5" s="51" t="s">
        <v>498</v>
      </c>
      <c r="B5" s="47"/>
      <c r="C5" s="47"/>
      <c r="D5" s="86"/>
      <c r="E5" s="329" t="s">
        <v>121</v>
      </c>
      <c r="F5" s="661" t="s">
        <v>122</v>
      </c>
      <c r="G5" s="661" t="s">
        <v>282</v>
      </c>
      <c r="H5" s="281" t="s">
        <v>123</v>
      </c>
      <c r="I5" s="327" t="s">
        <v>283</v>
      </c>
      <c r="J5" s="49"/>
      <c r="K5" s="327" t="s">
        <v>284</v>
      </c>
      <c r="L5" s="50"/>
      <c r="M5" s="330" t="s">
        <v>285</v>
      </c>
      <c r="N5" s="330" t="s">
        <v>286</v>
      </c>
      <c r="O5" s="51"/>
      <c r="P5" s="330" t="s">
        <v>287</v>
      </c>
      <c r="Q5" s="330" t="s">
        <v>288</v>
      </c>
      <c r="R5" s="330" t="s">
        <v>399</v>
      </c>
      <c r="S5" s="330" t="s">
        <v>720</v>
      </c>
      <c r="T5" s="330" t="s">
        <v>721</v>
      </c>
      <c r="U5" s="330" t="s">
        <v>760</v>
      </c>
    </row>
    <row r="6" spans="1:23" ht="15.75" customHeight="1">
      <c r="A6" s="203"/>
      <c r="B6" s="204" t="s">
        <v>0</v>
      </c>
      <c r="C6" s="203"/>
      <c r="D6" s="86"/>
      <c r="E6" s="246"/>
      <c r="F6" s="247"/>
      <c r="G6" s="247"/>
      <c r="H6" s="247"/>
      <c r="I6" s="202"/>
      <c r="J6" s="202"/>
      <c r="K6" s="204"/>
      <c r="L6" s="204"/>
      <c r="M6" s="204"/>
      <c r="N6" s="203"/>
      <c r="O6" s="203"/>
      <c r="P6" s="203"/>
      <c r="Q6" s="203"/>
      <c r="R6" s="203"/>
      <c r="S6" s="203"/>
      <c r="T6" s="203"/>
    </row>
    <row r="7" spans="1:23" ht="15.75" customHeight="1">
      <c r="A7" s="198">
        <v>1</v>
      </c>
      <c r="B7" s="204" t="s">
        <v>85</v>
      </c>
      <c r="C7" s="204"/>
      <c r="D7" s="86"/>
      <c r="E7" s="248">
        <v>488372</v>
      </c>
      <c r="F7" s="248"/>
      <c r="G7" s="248">
        <v>0</v>
      </c>
      <c r="H7" s="248">
        <f>16361-5673</f>
        <v>10688</v>
      </c>
      <c r="I7" s="249">
        <f>SUM(E7:H7)</f>
        <v>499060</v>
      </c>
      <c r="J7" s="249"/>
      <c r="K7" s="251">
        <f>'Weighted Revenue Growth'!J25</f>
        <v>1.3115466412629643E-2</v>
      </c>
      <c r="L7" s="251"/>
      <c r="M7" s="249"/>
      <c r="N7" s="252">
        <f>I7</f>
        <v>499060</v>
      </c>
      <c r="O7" s="252"/>
      <c r="P7" s="248"/>
      <c r="Q7" s="248">
        <f>'incremental load expense'!E10</f>
        <v>6545.4046678869499</v>
      </c>
      <c r="R7" s="248"/>
      <c r="S7" s="248"/>
      <c r="T7" s="252">
        <f>I7+Q7</f>
        <v>505605.40466788696</v>
      </c>
    </row>
    <row r="8" spans="1:23" ht="15.75" customHeight="1">
      <c r="A8" s="198">
        <v>2</v>
      </c>
      <c r="B8" s="204" t="s">
        <v>84</v>
      </c>
      <c r="C8" s="204"/>
      <c r="D8" s="86"/>
      <c r="E8" s="248">
        <v>922</v>
      </c>
      <c r="F8" s="248"/>
      <c r="G8" s="248">
        <v>0</v>
      </c>
      <c r="H8" s="248">
        <v>0</v>
      </c>
      <c r="I8" s="249">
        <f>SUM(E8:H8)</f>
        <v>922</v>
      </c>
      <c r="J8" s="249"/>
      <c r="K8" s="251">
        <f>K7</f>
        <v>1.3115466412629643E-2</v>
      </c>
      <c r="L8" s="251"/>
      <c r="M8" s="249"/>
      <c r="N8" s="252">
        <f>I8</f>
        <v>922</v>
      </c>
      <c r="O8" s="252"/>
      <c r="P8" s="252"/>
      <c r="Q8" s="248">
        <f>'incremental load expense'!E11</f>
        <v>12.092460032444531</v>
      </c>
      <c r="R8" s="248"/>
      <c r="S8" s="248"/>
      <c r="T8" s="252">
        <f>I8+Q8</f>
        <v>934.09246003244448</v>
      </c>
      <c r="V8" s="516"/>
    </row>
    <row r="9" spans="1:23" ht="15.75" customHeight="1">
      <c r="A9" s="198">
        <v>3</v>
      </c>
      <c r="B9" s="204" t="s">
        <v>83</v>
      </c>
      <c r="C9" s="204"/>
      <c r="D9" s="86"/>
      <c r="E9" s="248">
        <v>60998</v>
      </c>
      <c r="F9" s="253">
        <f>-ROUND('12.2014 CB Power Supply'!F11,0)</f>
        <v>-60998</v>
      </c>
      <c r="G9" s="248">
        <v>0</v>
      </c>
      <c r="H9" s="248">
        <v>0</v>
      </c>
      <c r="I9" s="249">
        <f>SUM(E9:H9)</f>
        <v>0</v>
      </c>
      <c r="J9" s="254"/>
      <c r="K9" s="256"/>
      <c r="L9" s="256"/>
      <c r="M9" s="255"/>
      <c r="N9" s="253"/>
      <c r="O9" s="253"/>
      <c r="P9" s="253">
        <f>ROUND('PF Power Supply 09.2014 load'!F11,0)</f>
        <v>57325</v>
      </c>
      <c r="Q9" s="248">
        <f>'incremental load expense'!E12</f>
        <v>-2548</v>
      </c>
      <c r="R9" s="253"/>
      <c r="S9" s="253"/>
      <c r="T9" s="253">
        <f>I9+P9+Q9</f>
        <v>54777</v>
      </c>
    </row>
    <row r="10" spans="1:23" ht="15.75" customHeight="1">
      <c r="A10" s="198">
        <v>4</v>
      </c>
      <c r="B10" s="204" t="s">
        <v>250</v>
      </c>
      <c r="C10" s="204"/>
      <c r="D10" s="86"/>
      <c r="E10" s="441">
        <f>SUM(E7:E9)</f>
        <v>550292</v>
      </c>
      <c r="F10" s="249">
        <f>F9+F8+F7</f>
        <v>-60998</v>
      </c>
      <c r="G10" s="443">
        <f>G9+G8+G7</f>
        <v>0</v>
      </c>
      <c r="H10" s="443">
        <f>H9+H8+H7</f>
        <v>10688</v>
      </c>
      <c r="I10" s="443">
        <f>I9+I8+I7</f>
        <v>499982</v>
      </c>
      <c r="J10" s="249"/>
      <c r="K10" s="251"/>
      <c r="L10" s="251"/>
      <c r="M10" s="252"/>
      <c r="N10" s="443">
        <f>N9+N8+N7</f>
        <v>499982</v>
      </c>
      <c r="O10" s="252"/>
      <c r="P10" s="252">
        <f>P7+P8+P9</f>
        <v>57325</v>
      </c>
      <c r="Q10" s="441">
        <f>Q7+Q8+Q9</f>
        <v>4009.4971279193942</v>
      </c>
      <c r="R10" s="252"/>
      <c r="S10" s="252"/>
      <c r="T10" s="252">
        <f>T7+T8+T9</f>
        <v>561316.49712791946</v>
      </c>
    </row>
    <row r="11" spans="1:23" ht="15.75" customHeight="1">
      <c r="A11" s="198">
        <v>5</v>
      </c>
      <c r="B11" s="204" t="s">
        <v>81</v>
      </c>
      <c r="C11" s="204"/>
      <c r="D11" s="86"/>
      <c r="E11" s="248">
        <v>17163</v>
      </c>
      <c r="F11" s="253">
        <f>-ROUND(SUM('12.2014 CB Power Supply'!F12:F18),0)</f>
        <v>-13684</v>
      </c>
      <c r="G11" s="248">
        <v>0</v>
      </c>
      <c r="H11" s="248">
        <v>0</v>
      </c>
      <c r="I11" s="249">
        <f>SUM(E11:H11)</f>
        <v>3479</v>
      </c>
      <c r="J11" s="254"/>
      <c r="K11" s="256">
        <v>0</v>
      </c>
      <c r="L11" s="256"/>
      <c r="M11" s="254"/>
      <c r="N11" s="253">
        <f>I11</f>
        <v>3479</v>
      </c>
      <c r="O11" s="253"/>
      <c r="P11" s="253">
        <f>ROUND('PF Power Supply 09.2014 load'!F19-P9,0)</f>
        <v>10529</v>
      </c>
      <c r="Q11" s="248">
        <f>'incremental load expense'!E14</f>
        <v>0</v>
      </c>
      <c r="R11" s="253"/>
      <c r="S11" s="253"/>
      <c r="T11" s="253">
        <f>I11+P11+Q11</f>
        <v>14008</v>
      </c>
    </row>
    <row r="12" spans="1:23" ht="26.25" customHeight="1">
      <c r="A12" s="198">
        <v>6</v>
      </c>
      <c r="B12" s="204" t="s">
        <v>80</v>
      </c>
      <c r="C12" s="204"/>
      <c r="D12" s="90"/>
      <c r="E12" s="441">
        <f>E10+E11</f>
        <v>567455</v>
      </c>
      <c r="F12" s="248">
        <f>F11+F10</f>
        <v>-74682</v>
      </c>
      <c r="G12" s="441">
        <f>G11+G10</f>
        <v>0</v>
      </c>
      <c r="H12" s="441">
        <f>H11+H10</f>
        <v>10688</v>
      </c>
      <c r="I12" s="443">
        <f>I10+I11</f>
        <v>503461</v>
      </c>
      <c r="J12" s="249"/>
      <c r="K12" s="251"/>
      <c r="L12" s="251"/>
      <c r="M12" s="248"/>
      <c r="N12" s="443">
        <f>N10+N11</f>
        <v>503461</v>
      </c>
      <c r="O12" s="248"/>
      <c r="P12" s="248">
        <f>P11+P10</f>
        <v>67854</v>
      </c>
      <c r="Q12" s="441">
        <f>Q11+Q10</f>
        <v>4009.4971279193942</v>
      </c>
      <c r="R12" s="248"/>
      <c r="S12" s="248"/>
      <c r="T12" s="248">
        <f>T11+T10</f>
        <v>575324.49712791946</v>
      </c>
    </row>
    <row r="13" spans="1:23" ht="15.75" customHeight="1">
      <c r="A13" s="199"/>
      <c r="B13" s="204"/>
      <c r="C13" s="204"/>
      <c r="D13" s="90"/>
      <c r="E13" s="248"/>
      <c r="F13" s="248"/>
      <c r="G13" s="248"/>
      <c r="H13" s="248"/>
      <c r="I13" s="249"/>
      <c r="J13" s="249"/>
      <c r="K13" s="251"/>
      <c r="L13" s="251"/>
      <c r="M13" s="257"/>
      <c r="N13" s="252"/>
      <c r="O13" s="252"/>
      <c r="P13" s="248"/>
      <c r="Q13" s="248"/>
      <c r="R13" s="248"/>
      <c r="S13" s="248"/>
      <c r="T13" s="252"/>
    </row>
    <row r="14" spans="1:23" ht="15.75" customHeight="1">
      <c r="A14" s="198"/>
      <c r="B14" s="204" t="s">
        <v>79</v>
      </c>
      <c r="C14" s="204"/>
      <c r="D14" s="90"/>
      <c r="E14" s="248"/>
      <c r="F14" s="248"/>
      <c r="G14" s="248"/>
      <c r="H14" s="248"/>
      <c r="I14" s="249"/>
      <c r="J14" s="249"/>
      <c r="K14" s="251"/>
      <c r="L14" s="251"/>
      <c r="M14" s="250"/>
      <c r="N14" s="252"/>
      <c r="O14" s="252"/>
      <c r="P14" s="248"/>
      <c r="Q14" s="248"/>
      <c r="R14" s="248"/>
      <c r="S14" s="248"/>
      <c r="T14" s="252"/>
    </row>
    <row r="15" spans="1:23" ht="15.75" customHeight="1" thickBot="1">
      <c r="A15" s="198"/>
      <c r="B15" s="204" t="s">
        <v>78</v>
      </c>
      <c r="C15" s="204"/>
      <c r="D15" s="90"/>
      <c r="E15" s="248"/>
      <c r="F15" s="248"/>
      <c r="G15" s="248"/>
      <c r="H15" s="248"/>
      <c r="I15" s="249"/>
      <c r="J15" s="249"/>
      <c r="K15" s="251"/>
      <c r="L15" s="251"/>
      <c r="M15" s="258"/>
      <c r="N15" s="252"/>
      <c r="O15" s="252"/>
      <c r="P15" s="248"/>
      <c r="Q15" s="248"/>
      <c r="R15" s="248"/>
      <c r="S15" s="248"/>
      <c r="T15" s="252"/>
    </row>
    <row r="16" spans="1:23" ht="15.75" customHeight="1" thickBot="1">
      <c r="A16" s="198">
        <v>7</v>
      </c>
      <c r="B16" s="204"/>
      <c r="C16" s="204" t="s">
        <v>70</v>
      </c>
      <c r="D16" s="90"/>
      <c r="E16" s="248">
        <v>120307</v>
      </c>
      <c r="F16" s="248">
        <f>-ROUND('12.2014 CB Power Supply'!F35-'12.2014 CB Power Supply'!F26,0)</f>
        <v>-69476</v>
      </c>
      <c r="G16" s="248">
        <v>0</v>
      </c>
      <c r="H16" s="248">
        <v>0</v>
      </c>
      <c r="I16" s="249">
        <f>SUM(E16:H16)</f>
        <v>50831</v>
      </c>
      <c r="J16" s="249"/>
      <c r="K16" s="820">
        <f>'Adj Operating Exp-2007-2014'!D10</f>
        <v>6.4199999999999993E-2</v>
      </c>
      <c r="L16" s="259"/>
      <c r="M16" s="249">
        <f>K16*I16</f>
        <v>3263.3501999999999</v>
      </c>
      <c r="N16" s="252">
        <f>M16+I16</f>
        <v>54094.350200000001</v>
      </c>
      <c r="O16" s="252"/>
      <c r="P16" s="248">
        <f>ROUND('PF Power Supply 09.2014 load'!F35-P17,0)</f>
        <v>79305</v>
      </c>
      <c r="Q16" s="248">
        <f>'incremental load expense'!E19</f>
        <v>0</v>
      </c>
      <c r="R16" s="821">
        <v>1089</v>
      </c>
      <c r="S16" s="248"/>
      <c r="T16" s="252">
        <f>N16+P16+Q16+R16</f>
        <v>134488.35019999999</v>
      </c>
    </row>
    <row r="17" spans="1:24" ht="15.75" customHeight="1" thickBot="1">
      <c r="A17" s="198">
        <v>8</v>
      </c>
      <c r="B17" s="204"/>
      <c r="C17" s="204" t="s">
        <v>77</v>
      </c>
      <c r="D17" s="90"/>
      <c r="E17" s="248">
        <v>116643</v>
      </c>
      <c r="F17" s="248">
        <f>-ROUND('12.2014 CB Power Supply'!F26,0)</f>
        <v>-116641</v>
      </c>
      <c r="G17" s="248">
        <v>0</v>
      </c>
      <c r="H17" s="248">
        <v>0</v>
      </c>
      <c r="I17" s="249">
        <f>SUM(E17:H17)</f>
        <v>2</v>
      </c>
      <c r="J17" s="249"/>
      <c r="K17" s="251"/>
      <c r="L17" s="251"/>
      <c r="M17" s="249">
        <f>K17*I17</f>
        <v>0</v>
      </c>
      <c r="N17" s="252">
        <f>M17+I17</f>
        <v>2</v>
      </c>
      <c r="O17" s="252"/>
      <c r="P17" s="248">
        <f>ROUND('PF Power Supply 09.2014 load'!F26,0)</f>
        <v>77131</v>
      </c>
      <c r="Q17" s="248">
        <f>'incremental load expense'!E20</f>
        <v>1927</v>
      </c>
      <c r="R17" s="248"/>
      <c r="S17" s="248"/>
      <c r="T17" s="252">
        <f>N17+P17+Q17+R17</f>
        <v>79060</v>
      </c>
    </row>
    <row r="18" spans="1:24" ht="15.75" customHeight="1" thickBot="1">
      <c r="A18" s="198">
        <v>9</v>
      </c>
      <c r="B18" s="204"/>
      <c r="C18" s="204" t="s">
        <v>137</v>
      </c>
      <c r="D18" s="90"/>
      <c r="E18" s="248">
        <v>23715</v>
      </c>
      <c r="F18" s="248"/>
      <c r="G18" s="248">
        <v>0</v>
      </c>
      <c r="H18" s="248">
        <v>0</v>
      </c>
      <c r="I18" s="249">
        <f>SUM(E18:H18)</f>
        <v>23715</v>
      </c>
      <c r="J18" s="249"/>
      <c r="K18" s="820">
        <f>'Dep-Amort'!B8</f>
        <v>9.500434404865335E-2</v>
      </c>
      <c r="L18" s="259"/>
      <c r="M18" s="249">
        <f>K18*I18</f>
        <v>2253.028019113814</v>
      </c>
      <c r="N18" s="252">
        <f>M18+I18</f>
        <v>25968.028019113815</v>
      </c>
      <c r="O18" s="252"/>
      <c r="P18" s="248">
        <v>0</v>
      </c>
      <c r="Q18" s="248"/>
      <c r="R18" s="248"/>
      <c r="S18" s="248"/>
      <c r="T18" s="252">
        <f>N18+P18+Q18+R18</f>
        <v>25968.028019113815</v>
      </c>
      <c r="U18" s="53"/>
      <c r="V18" s="184"/>
      <c r="W18" s="53"/>
      <c r="X18" s="629"/>
    </row>
    <row r="19" spans="1:24" ht="15.75" customHeight="1" thickBot="1">
      <c r="A19" s="198">
        <v>10</v>
      </c>
      <c r="B19" s="204"/>
      <c r="C19" s="204" t="s">
        <v>138</v>
      </c>
      <c r="D19" s="90"/>
      <c r="E19" s="248">
        <v>8101</v>
      </c>
      <c r="F19" s="248"/>
      <c r="G19" s="821">
        <f>-1382-2027</f>
        <v>-3409</v>
      </c>
      <c r="H19" s="248">
        <v>0</v>
      </c>
      <c r="I19" s="249">
        <f>SUM(E19:H19)</f>
        <v>4692</v>
      </c>
      <c r="J19" s="249"/>
      <c r="K19" s="259">
        <v>0</v>
      </c>
      <c r="L19" s="259"/>
      <c r="M19" s="249">
        <f>K19*I19</f>
        <v>0</v>
      </c>
      <c r="N19" s="252">
        <f>M19+I19</f>
        <v>4692</v>
      </c>
      <c r="O19" s="252"/>
      <c r="P19" s="248">
        <v>0</v>
      </c>
      <c r="Q19" s="248"/>
      <c r="R19" s="248"/>
      <c r="S19" s="248"/>
      <c r="T19" s="252">
        <f>N19+P19+Q19+R19</f>
        <v>4692</v>
      </c>
      <c r="U19" s="53"/>
    </row>
    <row r="20" spans="1:24" ht="15.75" customHeight="1" thickBot="1">
      <c r="A20" s="198">
        <v>11</v>
      </c>
      <c r="B20" s="204"/>
      <c r="C20" s="200" t="s">
        <v>69</v>
      </c>
      <c r="D20" s="90"/>
      <c r="E20" s="248">
        <v>12828</v>
      </c>
      <c r="F20" s="253"/>
      <c r="G20" s="248">
        <v>0</v>
      </c>
      <c r="H20" s="248">
        <v>0</v>
      </c>
      <c r="I20" s="249">
        <f>SUM(E20:H20)</f>
        <v>12828</v>
      </c>
      <c r="J20" s="254"/>
      <c r="K20" s="820">
        <f>'Adj Taxes'!B8</f>
        <v>0.10989245631851678</v>
      </c>
      <c r="L20" s="256"/>
      <c r="M20" s="254">
        <f>K20*I20</f>
        <v>1409.7004296539333</v>
      </c>
      <c r="N20" s="253">
        <f>M20+I20</f>
        <v>14237.700429653933</v>
      </c>
      <c r="O20" s="253"/>
      <c r="P20" s="253"/>
      <c r="Q20" s="253"/>
      <c r="R20" s="253"/>
      <c r="S20" s="253"/>
      <c r="T20" s="253">
        <f>N20+P20+Q20+R20</f>
        <v>14237.700429653933</v>
      </c>
      <c r="U20" s="53"/>
      <c r="W20" s="519"/>
    </row>
    <row r="21" spans="1:24" ht="15.75" customHeight="1">
      <c r="A21" s="198">
        <v>12</v>
      </c>
      <c r="B21" s="204"/>
      <c r="C21" s="767" t="s">
        <v>241</v>
      </c>
      <c r="D21" s="86"/>
      <c r="E21" s="441">
        <f>SUM(E16:E20)</f>
        <v>281594</v>
      </c>
      <c r="F21" s="249">
        <f>F16+F17+F18+F19+F20</f>
        <v>-186117</v>
      </c>
      <c r="G21" s="443">
        <f>G16+G17+G18+G19+G20</f>
        <v>-3409</v>
      </c>
      <c r="H21" s="443">
        <f>H16+H17+H18+H19+H20</f>
        <v>0</v>
      </c>
      <c r="I21" s="443">
        <f>I16+I17+I18+I19+I20</f>
        <v>92068</v>
      </c>
      <c r="J21" s="249"/>
      <c r="K21" s="251"/>
      <c r="L21" s="251"/>
      <c r="M21" s="249">
        <f>M16+M17+M18+M19+M20</f>
        <v>6926.0786487677478</v>
      </c>
      <c r="N21" s="249">
        <f>N16+N17+N18+N19+N20</f>
        <v>98994.078648767754</v>
      </c>
      <c r="O21" s="249"/>
      <c r="P21" s="249">
        <f>P16+P17+P18+P19+P20</f>
        <v>156436</v>
      </c>
      <c r="Q21" s="249">
        <f>Q16+Q17+Q18+Q19+Q20</f>
        <v>1927</v>
      </c>
      <c r="R21" s="249">
        <f>R16+R17+R18+R19+R20</f>
        <v>1089</v>
      </c>
      <c r="S21" s="249"/>
      <c r="T21" s="249">
        <f>T16+T17+T18+T19+T20</f>
        <v>258446.07864876773</v>
      </c>
      <c r="U21" s="53"/>
    </row>
    <row r="22" spans="1:24" ht="15.75" customHeight="1">
      <c r="A22" s="198"/>
      <c r="B22" s="204"/>
      <c r="C22" s="200"/>
      <c r="D22" s="86"/>
      <c r="E22" s="248"/>
      <c r="F22" s="248"/>
      <c r="G22" s="248"/>
      <c r="H22" s="248"/>
      <c r="I22" s="249"/>
      <c r="J22" s="249"/>
      <c r="K22" s="251"/>
      <c r="L22" s="251"/>
      <c r="M22" s="250"/>
      <c r="N22" s="252"/>
      <c r="O22" s="252"/>
      <c r="P22" s="248"/>
      <c r="Q22" s="248"/>
      <c r="R22" s="248"/>
      <c r="S22" s="248"/>
      <c r="T22" s="252"/>
      <c r="U22" s="53"/>
    </row>
    <row r="23" spans="1:24" ht="15.75" customHeight="1">
      <c r="A23" s="198"/>
      <c r="B23" s="204" t="s">
        <v>56</v>
      </c>
      <c r="C23" s="200"/>
      <c r="D23" s="86"/>
      <c r="E23" s="248"/>
      <c r="F23" s="260"/>
      <c r="G23" s="260"/>
      <c r="H23" s="260"/>
      <c r="I23" s="249"/>
      <c r="J23" s="249"/>
      <c r="K23" s="251"/>
      <c r="L23" s="251"/>
      <c r="M23" s="250"/>
      <c r="N23" s="252"/>
      <c r="O23" s="252"/>
      <c r="P23" s="248"/>
      <c r="Q23" s="248"/>
      <c r="R23" s="248"/>
      <c r="S23" s="248"/>
      <c r="T23" s="252"/>
      <c r="U23" s="53"/>
    </row>
    <row r="24" spans="1:24" ht="15.75" customHeight="1">
      <c r="A24" s="198">
        <v>13</v>
      </c>
      <c r="B24" s="204"/>
      <c r="C24" s="200" t="s">
        <v>70</v>
      </c>
      <c r="D24" s="86"/>
      <c r="E24" s="248">
        <v>21299</v>
      </c>
      <c r="F24" s="260"/>
      <c r="G24" s="248">
        <v>0</v>
      </c>
      <c r="H24" s="248">
        <v>0</v>
      </c>
      <c r="I24" s="249">
        <f>SUM(E24:H24)</f>
        <v>21299</v>
      </c>
      <c r="J24" s="249"/>
      <c r="K24" s="251">
        <f>K16</f>
        <v>6.4199999999999993E-2</v>
      </c>
      <c r="L24" s="251"/>
      <c r="M24" s="249">
        <f>K24*I24</f>
        <v>1367.3957999999998</v>
      </c>
      <c r="N24" s="252">
        <f>M24+I24</f>
        <v>22666.395799999998</v>
      </c>
      <c r="O24" s="252"/>
      <c r="P24" s="248"/>
      <c r="Q24" s="248"/>
      <c r="R24" s="248"/>
      <c r="S24" s="248"/>
      <c r="T24" s="252">
        <f>N24+P24+Q24+R24</f>
        <v>22666.395799999998</v>
      </c>
      <c r="U24" s="53"/>
    </row>
    <row r="25" spans="1:24" ht="15.75" customHeight="1">
      <c r="A25" s="198">
        <v>14</v>
      </c>
      <c r="B25" s="204"/>
      <c r="C25" s="200" t="s">
        <v>139</v>
      </c>
      <c r="D25" s="86"/>
      <c r="E25" s="248">
        <v>23794</v>
      </c>
      <c r="F25" s="260"/>
      <c r="G25" s="248">
        <v>0</v>
      </c>
      <c r="H25" s="248">
        <v>0</v>
      </c>
      <c r="I25" s="249">
        <f>SUM(E25:H25)</f>
        <v>23794</v>
      </c>
      <c r="J25" s="249"/>
      <c r="K25" s="251">
        <f>K18</f>
        <v>9.500434404865335E-2</v>
      </c>
      <c r="L25" s="251"/>
      <c r="M25" s="249">
        <f>K25*I25</f>
        <v>2260.5333622936578</v>
      </c>
      <c r="N25" s="252">
        <f>M25+I25</f>
        <v>26054.53336229366</v>
      </c>
      <c r="O25" s="252"/>
      <c r="P25" s="248"/>
      <c r="Q25" s="248"/>
      <c r="R25" s="248"/>
      <c r="S25" s="248"/>
      <c r="T25" s="252">
        <f>N25+P25+Q25+R25</f>
        <v>26054.53336229366</v>
      </c>
      <c r="U25" s="53"/>
    </row>
    <row r="26" spans="1:24" ht="15.75" customHeight="1">
      <c r="A26" s="198"/>
      <c r="B26" s="204"/>
      <c r="C26" s="200" t="s">
        <v>328</v>
      </c>
      <c r="D26" s="86"/>
      <c r="E26" s="248"/>
      <c r="F26" s="260"/>
      <c r="G26" s="248"/>
      <c r="H26" s="248"/>
      <c r="I26" s="249"/>
      <c r="J26" s="249"/>
      <c r="K26" s="251"/>
      <c r="L26" s="251"/>
      <c r="M26" s="249"/>
      <c r="N26" s="252"/>
      <c r="O26" s="252"/>
      <c r="P26" s="248"/>
      <c r="Q26" s="248"/>
      <c r="R26" s="248"/>
      <c r="S26" s="248"/>
      <c r="T26" s="252"/>
      <c r="U26" s="53"/>
    </row>
    <row r="27" spans="1:24" ht="15.75" customHeight="1">
      <c r="A27" s="198">
        <v>15</v>
      </c>
      <c r="B27" s="204"/>
      <c r="C27" s="200" t="s">
        <v>69</v>
      </c>
      <c r="D27" s="86"/>
      <c r="E27" s="248">
        <v>25575</v>
      </c>
      <c r="F27" s="261"/>
      <c r="G27" s="248">
        <v>0</v>
      </c>
      <c r="H27" s="248">
        <f>ROUND(H7*ROR!F31,0)</f>
        <v>412</v>
      </c>
      <c r="I27" s="249">
        <f>SUM(E27:H27)</f>
        <v>25987</v>
      </c>
      <c r="J27" s="254"/>
      <c r="K27" s="256">
        <f>K20</f>
        <v>0.10989245631851678</v>
      </c>
      <c r="L27" s="256"/>
      <c r="M27" s="254">
        <f>K27*I27</f>
        <v>2855.7752623492956</v>
      </c>
      <c r="N27" s="253">
        <f>M27+I27</f>
        <v>28842.775262349296</v>
      </c>
      <c r="O27" s="253"/>
      <c r="P27" s="253"/>
      <c r="Q27" s="248">
        <f>'incremental load expense'!E29</f>
        <v>252.1748056396805</v>
      </c>
      <c r="R27" s="253"/>
      <c r="S27" s="253"/>
      <c r="T27" s="253">
        <f>N27+P27+Q27+R27</f>
        <v>29094.950067988975</v>
      </c>
      <c r="U27" s="53"/>
    </row>
    <row r="28" spans="1:24" ht="15.75" customHeight="1">
      <c r="A28" s="198">
        <v>16</v>
      </c>
      <c r="B28" s="204"/>
      <c r="C28" s="200" t="s">
        <v>242</v>
      </c>
      <c r="D28" s="86"/>
      <c r="E28" s="441">
        <f>SUM(E24:E27)</f>
        <v>70668</v>
      </c>
      <c r="F28" s="262"/>
      <c r="G28" s="443">
        <f>G24+G25+G27</f>
        <v>0</v>
      </c>
      <c r="H28" s="443">
        <f>H24+H25+H27</f>
        <v>412</v>
      </c>
      <c r="I28" s="443">
        <f>SUM(I24:I27)</f>
        <v>71080</v>
      </c>
      <c r="J28" s="249"/>
      <c r="K28" s="251"/>
      <c r="L28" s="251"/>
      <c r="M28" s="249">
        <f>M24+M25+M27</f>
        <v>6483.7044246429532</v>
      </c>
      <c r="N28" s="249">
        <f>N24+N25+N27</f>
        <v>77563.704424642958</v>
      </c>
      <c r="O28" s="249"/>
      <c r="P28" s="249">
        <f>P24+P25+P27</f>
        <v>0</v>
      </c>
      <c r="Q28" s="443">
        <f>Q24+Q25+Q27</f>
        <v>252.1748056396805</v>
      </c>
      <c r="R28" s="443">
        <f>R24+R25+R27</f>
        <v>0</v>
      </c>
      <c r="S28" s="269"/>
      <c r="T28" s="249">
        <f>T24+T25+T27</f>
        <v>77815.879230282633</v>
      </c>
      <c r="U28" s="53"/>
    </row>
    <row r="29" spans="1:24" ht="15.75" customHeight="1">
      <c r="A29" s="198"/>
      <c r="B29" s="204"/>
      <c r="C29" s="200"/>
      <c r="D29" s="86"/>
      <c r="E29" s="248"/>
      <c r="F29" s="263"/>
      <c r="G29" s="263"/>
      <c r="H29" s="263"/>
      <c r="I29" s="249"/>
      <c r="J29" s="249"/>
      <c r="K29" s="251"/>
      <c r="L29" s="251"/>
      <c r="M29" s="250"/>
      <c r="N29" s="252"/>
      <c r="O29" s="252"/>
      <c r="P29" s="248"/>
      <c r="Q29" s="248"/>
      <c r="R29" s="248"/>
      <c r="S29" s="248"/>
      <c r="T29" s="252"/>
      <c r="U29" s="53"/>
    </row>
    <row r="30" spans="1:24" ht="15.75" customHeight="1">
      <c r="A30" s="198">
        <v>17</v>
      </c>
      <c r="B30" s="204" t="s">
        <v>74</v>
      </c>
      <c r="C30" s="200"/>
      <c r="D30" s="86"/>
      <c r="E30" s="248">
        <v>11166</v>
      </c>
      <c r="F30" s="248"/>
      <c r="G30" s="248">
        <v>0</v>
      </c>
      <c r="H30" s="248">
        <f>ROUND(H7*ROR!F27,0)</f>
        <v>57</v>
      </c>
      <c r="I30" s="249">
        <f>SUM(E30:H30)</f>
        <v>11223</v>
      </c>
      <c r="J30" s="249"/>
      <c r="K30" s="251">
        <f>K16</f>
        <v>6.4199999999999993E-2</v>
      </c>
      <c r="L30" s="251"/>
      <c r="M30" s="249">
        <f>K30*I30</f>
        <v>720.51659999999993</v>
      </c>
      <c r="N30" s="252">
        <f>M30+I30</f>
        <v>11943.516599999999</v>
      </c>
      <c r="O30" s="252"/>
      <c r="P30" s="248"/>
      <c r="Q30" s="248">
        <f>'incremental load expense'!E32</f>
        <v>35.037551187198844</v>
      </c>
      <c r="R30" s="248"/>
      <c r="S30" s="248"/>
      <c r="T30" s="252">
        <f>N30+P30+Q30</f>
        <v>11978.554151187198</v>
      </c>
      <c r="U30" s="53"/>
    </row>
    <row r="31" spans="1:24" ht="15.75" customHeight="1">
      <c r="A31" s="198">
        <v>18</v>
      </c>
      <c r="B31" s="204" t="s">
        <v>771</v>
      </c>
      <c r="C31" s="200"/>
      <c r="D31" s="86"/>
      <c r="E31" s="248">
        <v>1383</v>
      </c>
      <c r="F31" s="248"/>
      <c r="G31" s="248">
        <v>0</v>
      </c>
      <c r="H31" s="248">
        <v>0</v>
      </c>
      <c r="I31" s="249">
        <f>SUM(E31:H31)</f>
        <v>1383</v>
      </c>
      <c r="J31" s="249"/>
      <c r="K31" s="251">
        <f>K16</f>
        <v>6.4199999999999993E-2</v>
      </c>
      <c r="L31" s="251"/>
      <c r="M31" s="249">
        <f>K31*I31</f>
        <v>88.788599999999988</v>
      </c>
      <c r="N31" s="252">
        <f>M31+I31</f>
        <v>1471.7886000000001</v>
      </c>
      <c r="O31" s="252"/>
      <c r="P31" s="248"/>
      <c r="Q31" s="248"/>
      <c r="R31" s="248"/>
      <c r="S31" s="248"/>
      <c r="T31" s="252">
        <f>N31+P31+Q31</f>
        <v>1471.7886000000001</v>
      </c>
      <c r="U31" s="53"/>
    </row>
    <row r="32" spans="1:24" ht="15.75" customHeight="1">
      <c r="A32" s="198">
        <v>19</v>
      </c>
      <c r="B32" s="204" t="s">
        <v>72</v>
      </c>
      <c r="C32" s="200"/>
      <c r="D32" s="86"/>
      <c r="E32" s="248">
        <v>0</v>
      </c>
      <c r="F32" s="248"/>
      <c r="G32" s="248">
        <v>0</v>
      </c>
      <c r="H32" s="248">
        <v>0</v>
      </c>
      <c r="I32" s="249">
        <f>SUM(E32:H32)</f>
        <v>0</v>
      </c>
      <c r="J32" s="249"/>
      <c r="K32" s="251">
        <f>K16</f>
        <v>6.4199999999999993E-2</v>
      </c>
      <c r="L32" s="251"/>
      <c r="M32" s="249">
        <f>K32*I32</f>
        <v>0</v>
      </c>
      <c r="N32" s="252">
        <f>M32+I32</f>
        <v>0</v>
      </c>
      <c r="O32" s="252"/>
      <c r="P32" s="248"/>
      <c r="Q32" s="248"/>
      <c r="R32" s="248"/>
      <c r="S32" s="248"/>
      <c r="T32" s="252">
        <f>N32+P32+Q32</f>
        <v>0</v>
      </c>
      <c r="U32" s="53"/>
    </row>
    <row r="33" spans="1:24" ht="15.75" customHeight="1">
      <c r="A33" s="198"/>
      <c r="B33" s="204"/>
      <c r="C33" s="200"/>
      <c r="D33" s="86"/>
      <c r="E33" s="248"/>
      <c r="F33" s="248"/>
      <c r="G33" s="248"/>
      <c r="H33" s="248"/>
      <c r="I33" s="249"/>
      <c r="J33" s="249"/>
      <c r="K33" s="251"/>
      <c r="L33" s="251"/>
      <c r="M33" s="250"/>
      <c r="N33" s="252"/>
      <c r="O33" s="252"/>
      <c r="P33" s="248"/>
      <c r="Q33" s="248"/>
      <c r="R33" s="248"/>
      <c r="S33" s="248"/>
      <c r="T33" s="252"/>
      <c r="U33" s="53"/>
    </row>
    <row r="34" spans="1:24" ht="15.75" customHeight="1">
      <c r="A34" s="198"/>
      <c r="B34" s="204" t="s">
        <v>71</v>
      </c>
      <c r="C34" s="200"/>
      <c r="D34" s="86"/>
      <c r="E34" s="248"/>
      <c r="F34" s="248"/>
      <c r="G34" s="248"/>
      <c r="H34" s="248"/>
      <c r="I34" s="249"/>
      <c r="J34" s="249"/>
      <c r="K34" s="251"/>
      <c r="L34" s="251"/>
      <c r="M34" s="250"/>
      <c r="N34" s="252"/>
      <c r="O34" s="252"/>
      <c r="P34" s="248"/>
      <c r="Q34" s="248"/>
      <c r="R34" s="248"/>
      <c r="S34" s="248"/>
      <c r="T34" s="252"/>
      <c r="U34" s="53"/>
    </row>
    <row r="35" spans="1:24" ht="15.75" customHeight="1" thickBot="1">
      <c r="A35" s="198">
        <v>20</v>
      </c>
      <c r="B35" s="204"/>
      <c r="C35" s="200" t="s">
        <v>70</v>
      </c>
      <c r="D35" s="86"/>
      <c r="E35" s="248">
        <v>46210</v>
      </c>
      <c r="F35" s="248"/>
      <c r="G35" s="248">
        <v>0</v>
      </c>
      <c r="H35" s="248">
        <f>ROUND(H7*ROR!F29,0)</f>
        <v>21</v>
      </c>
      <c r="I35" s="249">
        <f>SUM(E35:H35)</f>
        <v>46231</v>
      </c>
      <c r="J35" s="249"/>
      <c r="K35" s="251">
        <f>K16</f>
        <v>6.4199999999999993E-2</v>
      </c>
      <c r="L35" s="251"/>
      <c r="M35" s="249">
        <f>K35*I35</f>
        <v>2968.0301999999997</v>
      </c>
      <c r="N35" s="252">
        <f>M35+I35</f>
        <v>49199.030200000001</v>
      </c>
      <c r="O35" s="252"/>
      <c r="P35" s="248"/>
      <c r="Q35" s="248">
        <f>'incremental load expense'!E37</f>
        <v>13.090809335773899</v>
      </c>
      <c r="R35" s="248"/>
      <c r="S35" s="248"/>
      <c r="T35" s="252">
        <f>N35+P35+Q35</f>
        <v>49212.121009335773</v>
      </c>
      <c r="U35" s="53"/>
    </row>
    <row r="36" spans="1:24" ht="15.75" customHeight="1" thickBot="1">
      <c r="A36" s="198">
        <v>21</v>
      </c>
      <c r="B36" s="204"/>
      <c r="C36" s="200" t="s">
        <v>139</v>
      </c>
      <c r="D36" s="86"/>
      <c r="E36" s="248">
        <v>16947</v>
      </c>
      <c r="F36" s="248"/>
      <c r="G36" s="248">
        <v>0</v>
      </c>
      <c r="H36" s="248">
        <v>0</v>
      </c>
      <c r="I36" s="249">
        <f>SUM(E36:H36)</f>
        <v>16947</v>
      </c>
      <c r="J36" s="249"/>
      <c r="K36" s="251">
        <f>K18</f>
        <v>9.500434404865335E-2</v>
      </c>
      <c r="L36" s="251"/>
      <c r="M36" s="249">
        <f>K36*I36</f>
        <v>1610.0386185925283</v>
      </c>
      <c r="N36" s="252">
        <f>M36+I36</f>
        <v>18557.038618592527</v>
      </c>
      <c r="O36" s="252"/>
      <c r="P36" s="248"/>
      <c r="Q36" s="248"/>
      <c r="R36" s="248"/>
      <c r="S36" s="821">
        <v>3887</v>
      </c>
      <c r="T36" s="252">
        <f>N36+P36+Q36+S36</f>
        <v>22444.038618592527</v>
      </c>
      <c r="U36" s="53"/>
      <c r="V36" s="53"/>
      <c r="W36" s="184"/>
      <c r="X36" s="519"/>
    </row>
    <row r="37" spans="1:24" ht="15.75" customHeight="1">
      <c r="A37" s="198">
        <v>22</v>
      </c>
      <c r="B37" s="204"/>
      <c r="C37" s="200" t="s">
        <v>69</v>
      </c>
      <c r="D37" s="86"/>
      <c r="E37" s="248">
        <v>0</v>
      </c>
      <c r="F37" s="253"/>
      <c r="G37" s="248">
        <v>0</v>
      </c>
      <c r="H37" s="248">
        <v>0</v>
      </c>
      <c r="I37" s="249">
        <f>SUM(E37:H37)</f>
        <v>0</v>
      </c>
      <c r="J37" s="254"/>
      <c r="K37" s="256">
        <f>K20</f>
        <v>0.10989245631851678</v>
      </c>
      <c r="L37" s="256"/>
      <c r="M37" s="254">
        <f>K37*I37</f>
        <v>0</v>
      </c>
      <c r="N37" s="253">
        <f>M37+I37</f>
        <v>0</v>
      </c>
      <c r="O37" s="253"/>
      <c r="P37" s="253"/>
      <c r="Q37" s="253"/>
      <c r="R37" s="253"/>
      <c r="S37" s="253"/>
      <c r="T37" s="253">
        <f>N37+P37+Q37</f>
        <v>0</v>
      </c>
      <c r="U37" s="53"/>
    </row>
    <row r="38" spans="1:24" ht="15.75" customHeight="1">
      <c r="A38" s="198">
        <v>23</v>
      </c>
      <c r="B38" s="204"/>
      <c r="C38" s="767" t="s">
        <v>699</v>
      </c>
      <c r="D38" s="86"/>
      <c r="E38" s="441">
        <f>SUM(E35:E37)</f>
        <v>63157</v>
      </c>
      <c r="F38" s="249">
        <f>F35+F36+F37</f>
        <v>0</v>
      </c>
      <c r="G38" s="449">
        <f>G35+G36+G37</f>
        <v>0</v>
      </c>
      <c r="H38" s="449">
        <f>H35+H36+H37</f>
        <v>21</v>
      </c>
      <c r="I38" s="449">
        <f>I35+I36+I37</f>
        <v>63178</v>
      </c>
      <c r="J38" s="249"/>
      <c r="K38" s="251"/>
      <c r="L38" s="251"/>
      <c r="M38" s="249">
        <f>M35+M36+M37</f>
        <v>4578.0688185925283</v>
      </c>
      <c r="N38" s="249">
        <f>N35+N36+N37</f>
        <v>67756.068818592525</v>
      </c>
      <c r="O38" s="249"/>
      <c r="P38" s="249">
        <f>P35+P36+P37</f>
        <v>0</v>
      </c>
      <c r="Q38" s="249">
        <f>Q35+Q36+Q37</f>
        <v>13.090809335773899</v>
      </c>
      <c r="R38" s="249">
        <f>R35+R36+R37</f>
        <v>0</v>
      </c>
      <c r="S38" s="249"/>
      <c r="T38" s="249">
        <f>T35+T36+T37</f>
        <v>71656.159627928297</v>
      </c>
    </row>
    <row r="39" spans="1:24" ht="15.75" customHeight="1">
      <c r="A39" s="198">
        <v>24</v>
      </c>
      <c r="B39" s="204" t="s">
        <v>67</v>
      </c>
      <c r="C39" s="200"/>
      <c r="D39" s="86"/>
      <c r="E39" s="441">
        <f>E21+E28+E30+E31+E32+E38</f>
        <v>427968</v>
      </c>
      <c r="F39" s="441">
        <f>F21+F28+F30+F31+F32+F38</f>
        <v>-186117</v>
      </c>
      <c r="G39" s="441">
        <f>G21+G28+G30+G31+G32+G38</f>
        <v>-3409</v>
      </c>
      <c r="H39" s="441">
        <f>H21+H28+H30+H31+H32+H38</f>
        <v>490</v>
      </c>
      <c r="I39" s="441">
        <f>I21+I28+I30+I31+I32+I38</f>
        <v>238932</v>
      </c>
      <c r="J39" s="441"/>
      <c r="K39" s="440"/>
      <c r="L39" s="440"/>
      <c r="M39" s="441">
        <f>M21+M28+M30+M31+M32+M38</f>
        <v>18797.157092003228</v>
      </c>
      <c r="N39" s="441">
        <f>N21+N28+N30+N31+N32+N38</f>
        <v>257729.15709200324</v>
      </c>
      <c r="O39" s="441"/>
      <c r="P39" s="441">
        <f>P21+P28+P30+P31+P32+P38</f>
        <v>156436</v>
      </c>
      <c r="Q39" s="441">
        <f>Q21+Q28+Q30+Q31+Q32+Q38</f>
        <v>2227.3031661626533</v>
      </c>
      <c r="R39" s="441">
        <f>R21+R28+R30+R31+R32+R38</f>
        <v>1089</v>
      </c>
      <c r="S39" s="441">
        <f>S36</f>
        <v>3887</v>
      </c>
      <c r="T39" s="441">
        <f>T21+T28+T30+T31+T32+T38</f>
        <v>421368.46025816584</v>
      </c>
      <c r="U39" s="53"/>
      <c r="W39" s="53"/>
      <c r="X39" s="627"/>
    </row>
    <row r="40" spans="1:24" ht="15.75" customHeight="1">
      <c r="A40" s="198"/>
      <c r="B40" s="204"/>
      <c r="C40" s="204"/>
      <c r="D40" s="86"/>
      <c r="E40" s="248"/>
      <c r="F40" s="248"/>
      <c r="G40" s="248"/>
      <c r="H40" s="248"/>
      <c r="I40" s="249"/>
      <c r="J40" s="249"/>
      <c r="K40" s="251"/>
      <c r="L40" s="251"/>
      <c r="M40" s="250"/>
      <c r="N40" s="252"/>
      <c r="O40" s="252"/>
      <c r="P40" s="248"/>
      <c r="Q40" s="248"/>
      <c r="R40" s="248"/>
      <c r="S40" s="248"/>
      <c r="T40" s="252"/>
    </row>
    <row r="41" spans="1:24" ht="15.75" customHeight="1">
      <c r="A41" s="198">
        <v>25</v>
      </c>
      <c r="B41" s="204" t="s">
        <v>770</v>
      </c>
      <c r="C41" s="204"/>
      <c r="D41" s="86"/>
      <c r="E41" s="248">
        <f>E12-E39</f>
        <v>139487</v>
      </c>
      <c r="F41" s="248">
        <f>F12-F39</f>
        <v>111435</v>
      </c>
      <c r="G41" s="248">
        <f>G12-G39</f>
        <v>3409</v>
      </c>
      <c r="H41" s="248">
        <f>H12-H39</f>
        <v>10198</v>
      </c>
      <c r="I41" s="248">
        <f>I12-I39</f>
        <v>264529</v>
      </c>
      <c r="J41" s="248"/>
      <c r="K41" s="251"/>
      <c r="L41" s="248"/>
      <c r="M41" s="248">
        <f t="shared" ref="M41:R41" si="0">M12-M39</f>
        <v>-18797.157092003228</v>
      </c>
      <c r="N41" s="248">
        <f>N12-N39</f>
        <v>245731.84290799676</v>
      </c>
      <c r="O41" s="248">
        <f t="shared" si="0"/>
        <v>0</v>
      </c>
      <c r="P41" s="248">
        <f t="shared" si="0"/>
        <v>-88582</v>
      </c>
      <c r="Q41" s="248">
        <f t="shared" si="0"/>
        <v>1782.1939617567409</v>
      </c>
      <c r="R41" s="248">
        <f t="shared" si="0"/>
        <v>-1089</v>
      </c>
      <c r="S41" s="248">
        <f>-S39</f>
        <v>-3887</v>
      </c>
      <c r="T41" s="248">
        <f>T12-T39</f>
        <v>153956.03686975362</v>
      </c>
      <c r="U41" s="53"/>
    </row>
    <row r="42" spans="1:24" ht="15.75" customHeight="1">
      <c r="A42" s="198"/>
      <c r="B42" s="204"/>
      <c r="C42" s="52" t="s">
        <v>738</v>
      </c>
      <c r="D42" s="86"/>
      <c r="E42" s="248"/>
      <c r="F42" s="248"/>
      <c r="G42" s="248"/>
      <c r="H42" s="248"/>
      <c r="I42" s="248"/>
      <c r="J42" s="248"/>
      <c r="K42" s="251"/>
      <c r="L42" s="248"/>
      <c r="M42" s="248"/>
      <c r="N42" s="248"/>
      <c r="O42" s="248"/>
      <c r="P42" s="248"/>
      <c r="Q42" s="248"/>
      <c r="R42" s="248"/>
      <c r="S42" s="248"/>
      <c r="T42" s="248"/>
    </row>
    <row r="43" spans="1:24" ht="3" customHeight="1">
      <c r="A43" s="198"/>
      <c r="B43" s="204"/>
      <c r="C43" s="204"/>
      <c r="D43" s="86"/>
      <c r="E43" s="248"/>
      <c r="F43" s="248"/>
      <c r="G43" s="248"/>
      <c r="H43" s="248"/>
      <c r="I43" s="248"/>
      <c r="J43" s="248"/>
      <c r="K43" s="251"/>
      <c r="L43" s="248"/>
      <c r="M43" s="248"/>
      <c r="N43" s="248"/>
      <c r="O43" s="248"/>
      <c r="P43" s="248"/>
      <c r="Q43" s="248"/>
      <c r="R43" s="248"/>
      <c r="S43" s="248"/>
      <c r="T43" s="248"/>
    </row>
    <row r="44" spans="1:24" s="50" customFormat="1" ht="19.5" thickBot="1">
      <c r="A44" s="335" t="s">
        <v>96</v>
      </c>
      <c r="B44" s="955" t="str">
        <f>B2</f>
        <v>2016  ELECTRIC ATTRITION REVENUE REQUIREMENT</v>
      </c>
      <c r="C44" s="955"/>
      <c r="D44" s="955"/>
      <c r="E44" s="955"/>
      <c r="F44" s="955"/>
      <c r="G44" s="955"/>
      <c r="H44" s="955"/>
      <c r="I44" s="955"/>
      <c r="J44" s="955"/>
      <c r="K44" s="955"/>
      <c r="L44" s="955"/>
      <c r="M44" s="955"/>
      <c r="N44" s="955"/>
      <c r="O44" s="955"/>
      <c r="P44" s="955"/>
      <c r="Q44" s="955"/>
      <c r="R44" s="956"/>
      <c r="S44" s="956"/>
      <c r="T44" s="956"/>
    </row>
    <row r="45" spans="1:24" s="166" customFormat="1" ht="21" thickBot="1">
      <c r="A45" s="333"/>
      <c r="B45" s="648"/>
      <c r="C45" s="635" t="s">
        <v>479</v>
      </c>
      <c r="D45" s="649"/>
      <c r="E45" s="949" t="s">
        <v>246</v>
      </c>
      <c r="F45" s="950"/>
      <c r="G45" s="950"/>
      <c r="H45" s="950"/>
      <c r="I45" s="951"/>
      <c r="J45" s="646"/>
      <c r="K45" s="647"/>
      <c r="L45" s="647"/>
      <c r="M45" s="635" t="s">
        <v>252</v>
      </c>
      <c r="N45" s="636"/>
      <c r="O45" s="637"/>
      <c r="P45" s="952" t="s">
        <v>674</v>
      </c>
      <c r="Q45" s="953"/>
      <c r="R45" s="732"/>
      <c r="S45" s="763"/>
      <c r="T45" s="734"/>
      <c r="U45" s="871" t="s">
        <v>755</v>
      </c>
      <c r="V45" s="334"/>
    </row>
    <row r="46" spans="1:24" s="50" customFormat="1" ht="83.25" customHeight="1">
      <c r="A46" s="290" t="s">
        <v>769</v>
      </c>
      <c r="B46" s="52"/>
      <c r="C46" s="191"/>
      <c r="D46" s="328"/>
      <c r="E46" s="824" t="s">
        <v>737</v>
      </c>
      <c r="F46" s="827" t="str">
        <f t="shared" ref="F46:S46" si="1">F4</f>
        <v>(less) 12.2014 Normalized Net Power Supply  Cost</v>
      </c>
      <c r="G46" s="826" t="s">
        <v>706</v>
      </c>
      <c r="H46" s="827" t="str">
        <f t="shared" si="1"/>
        <v>Pro Forma Revenue Normalization Adjustment</v>
      </c>
      <c r="I46" s="827" t="str">
        <f t="shared" si="1"/>
        <v>December 2014 Escalation Base</v>
      </c>
      <c r="J46" s="827">
        <f t="shared" si="1"/>
        <v>0</v>
      </c>
      <c r="K46" s="827" t="str">
        <f t="shared" si="1"/>
        <v>Escalation Factor</v>
      </c>
      <c r="L46" s="827">
        <f t="shared" si="1"/>
        <v>0</v>
      </c>
      <c r="M46" s="827" t="str">
        <f t="shared" si="1"/>
        <v xml:space="preserve"> Non-Energy Cost Escalation Amount [E]*[F]=[G]</v>
      </c>
      <c r="N46" s="827" t="str">
        <f t="shared" si="1"/>
        <v>Trended 2016 Non-Energy Cost [E]+[G]=[H]</v>
      </c>
      <c r="O46" s="827">
        <f t="shared" si="1"/>
        <v>0</v>
      </c>
      <c r="P46" s="827" t="str">
        <f t="shared" si="1"/>
        <v>(plus) 12.2014 Pro-Formed Net Energy Cost</v>
      </c>
      <c r="Q46" s="827" t="str">
        <f t="shared" si="1"/>
        <v>(plus)  Revenue Growth</v>
      </c>
      <c r="R46" s="828" t="s">
        <v>734</v>
      </c>
      <c r="S46" s="827" t="str">
        <f t="shared" si="1"/>
        <v>After Attrition Adj - Project Compass</v>
      </c>
      <c r="T46" s="829" t="s">
        <v>739</v>
      </c>
    </row>
    <row r="47" spans="1:24" ht="16.899999999999999" customHeight="1">
      <c r="B47" s="47"/>
      <c r="C47" s="47"/>
      <c r="D47" s="86"/>
      <c r="E47" s="329" t="str">
        <f>E5</f>
        <v>[A]</v>
      </c>
      <c r="F47" s="329" t="str">
        <f t="shared" ref="F47:T47" si="2">F5</f>
        <v>[B]</v>
      </c>
      <c r="G47" s="329" t="str">
        <f t="shared" si="2"/>
        <v>[C]</v>
      </c>
      <c r="H47" s="329" t="str">
        <f t="shared" si="2"/>
        <v>[D]</v>
      </c>
      <c r="I47" s="329" t="str">
        <f t="shared" si="2"/>
        <v>[E]</v>
      </c>
      <c r="J47" s="329">
        <f t="shared" si="2"/>
        <v>0</v>
      </c>
      <c r="K47" s="329" t="str">
        <f t="shared" si="2"/>
        <v>[F]</v>
      </c>
      <c r="L47" s="329">
        <f t="shared" si="2"/>
        <v>0</v>
      </c>
      <c r="M47" s="329" t="str">
        <f t="shared" si="2"/>
        <v>[G]</v>
      </c>
      <c r="N47" s="329" t="str">
        <f t="shared" si="2"/>
        <v>[H]</v>
      </c>
      <c r="O47" s="329">
        <f t="shared" si="2"/>
        <v>0</v>
      </c>
      <c r="P47" s="329" t="str">
        <f t="shared" si="2"/>
        <v>[I]</v>
      </c>
      <c r="Q47" s="329" t="str">
        <f t="shared" si="2"/>
        <v>[J]</v>
      </c>
      <c r="R47" s="329" t="str">
        <f t="shared" si="2"/>
        <v>[K]</v>
      </c>
      <c r="S47" s="330" t="s">
        <v>720</v>
      </c>
      <c r="T47" s="329" t="str">
        <f t="shared" si="2"/>
        <v>[M]</v>
      </c>
    </row>
    <row r="48" spans="1:24" ht="15.75" customHeight="1">
      <c r="A48" s="198"/>
      <c r="B48" s="204" t="s">
        <v>27</v>
      </c>
      <c r="C48" s="204"/>
      <c r="D48" s="86"/>
      <c r="E48" s="248"/>
      <c r="F48" s="248"/>
      <c r="G48" s="248"/>
      <c r="H48" s="248"/>
      <c r="I48" s="249"/>
      <c r="J48" s="249"/>
      <c r="K48" s="251"/>
      <c r="L48" s="251"/>
      <c r="M48" s="250"/>
      <c r="N48" s="264"/>
      <c r="O48" s="264"/>
      <c r="P48" s="248"/>
      <c r="Q48" s="248"/>
      <c r="R48" s="248"/>
      <c r="S48" s="248"/>
      <c r="T48" s="265"/>
    </row>
    <row r="49" spans="1:24" ht="15.75" customHeight="1" thickBot="1">
      <c r="A49" s="198">
        <v>26</v>
      </c>
      <c r="B49" s="203"/>
      <c r="C49" s="204" t="s">
        <v>140</v>
      </c>
      <c r="D49" s="86"/>
      <c r="E49" s="248">
        <v>-7683</v>
      </c>
      <c r="F49" s="336">
        <f>ROUND(F41*0.35,0)</f>
        <v>39002</v>
      </c>
      <c r="G49" s="336">
        <f>ROUND(G41*0.35,0)</f>
        <v>1193</v>
      </c>
      <c r="H49" s="336">
        <f>ROUND(H41*0.35,0)</f>
        <v>3569</v>
      </c>
      <c r="I49" s="249">
        <f>SUM(E49:H49)</f>
        <v>36081</v>
      </c>
      <c r="J49" s="249"/>
      <c r="K49" s="251"/>
      <c r="L49" s="251"/>
      <c r="M49" s="336">
        <f>M41*0.35</f>
        <v>-6579.0049822011297</v>
      </c>
      <c r="N49" s="266">
        <f>I49+M49</f>
        <v>29501.995017798872</v>
      </c>
      <c r="O49" s="266"/>
      <c r="P49" s="267">
        <f>0.35*P41</f>
        <v>-31003.699999999997</v>
      </c>
      <c r="Q49" s="267">
        <f>0.35*Q41</f>
        <v>623.76788661485932</v>
      </c>
      <c r="R49" s="267">
        <f>0.35*R41</f>
        <v>-381.15</v>
      </c>
      <c r="S49" s="267">
        <f>0.35*S41</f>
        <v>-1360.4499999999998</v>
      </c>
      <c r="T49" s="266">
        <f>N49+P49+Q49+R49+S49</f>
        <v>-2619.5370955862654</v>
      </c>
    </row>
    <row r="50" spans="1:24" ht="15.75" customHeight="1" thickBot="1">
      <c r="A50" s="198">
        <v>27</v>
      </c>
      <c r="B50" s="203"/>
      <c r="C50" s="204" t="s">
        <v>141</v>
      </c>
      <c r="D50" s="86"/>
      <c r="E50" s="248">
        <v>-136</v>
      </c>
      <c r="F50" s="248">
        <f>F79*ROR!F52*-0.35</f>
        <v>0</v>
      </c>
      <c r="G50" s="248">
        <f>G79*ROR!F52*-0.35</f>
        <v>60.112499999999997</v>
      </c>
      <c r="H50" s="248">
        <f>H79*ROR!F52*-0.35</f>
        <v>0</v>
      </c>
      <c r="I50" s="249">
        <f>SUM(E50:H50)</f>
        <v>-75.887500000000003</v>
      </c>
      <c r="J50" s="249"/>
      <c r="K50" s="251"/>
      <c r="L50" s="251"/>
      <c r="M50" s="336">
        <f>(ROR!F11*-0.35*M79)+(ROR!F11-ROR!F52)*I79*-0.35</f>
        <v>301.523866</v>
      </c>
      <c r="N50" s="266">
        <f>I50+M50</f>
        <v>225.63636600000001</v>
      </c>
      <c r="O50" s="266"/>
      <c r="P50" s="267"/>
      <c r="Q50" s="267"/>
      <c r="R50" s="267"/>
      <c r="S50" s="821">
        <f>S79*ROR!F11*-0.35</f>
        <v>-394.50404000000003</v>
      </c>
      <c r="T50" s="835">
        <f>N50+P50+Q50+S50</f>
        <v>-168.86767400000002</v>
      </c>
      <c r="U50" s="873">
        <f>((U79-T79)*ROR!F11*-0.35)+T50</f>
        <v>-233.83355400000002</v>
      </c>
      <c r="V50" s="53"/>
    </row>
    <row r="51" spans="1:24" ht="15.75" customHeight="1">
      <c r="A51" s="198">
        <v>28</v>
      </c>
      <c r="B51" s="203"/>
      <c r="C51" s="204" t="s">
        <v>64</v>
      </c>
      <c r="D51" s="86"/>
      <c r="E51" s="248">
        <v>46085</v>
      </c>
      <c r="F51" s="248"/>
      <c r="G51" s="248">
        <v>0</v>
      </c>
      <c r="H51" s="248">
        <v>0</v>
      </c>
      <c r="I51" s="249">
        <f>SUM(E51:H51)</f>
        <v>46085</v>
      </c>
      <c r="J51" s="249"/>
      <c r="K51" s="251"/>
      <c r="L51" s="251"/>
      <c r="M51" s="249">
        <f>K51*I51</f>
        <v>0</v>
      </c>
      <c r="N51" s="252">
        <f>M51+I51</f>
        <v>46085</v>
      </c>
      <c r="O51" s="252"/>
      <c r="P51" s="248"/>
      <c r="Q51" s="248"/>
      <c r="R51" s="248"/>
      <c r="S51" s="248"/>
      <c r="T51" s="252">
        <f>N51+P51+Q51</f>
        <v>46085</v>
      </c>
    </row>
    <row r="52" spans="1:24" ht="15.75" customHeight="1">
      <c r="A52" s="198">
        <v>29</v>
      </c>
      <c r="B52" s="203"/>
      <c r="C52" s="204" t="s">
        <v>63</v>
      </c>
      <c r="D52" s="86"/>
      <c r="E52" s="248">
        <v>-128</v>
      </c>
      <c r="F52" s="248"/>
      <c r="G52" s="248">
        <v>0</v>
      </c>
      <c r="H52" s="248">
        <v>0</v>
      </c>
      <c r="I52" s="249">
        <f>SUM(E52:H52)</f>
        <v>-128</v>
      </c>
      <c r="J52" s="249"/>
      <c r="K52" s="251"/>
      <c r="L52" s="251"/>
      <c r="M52" s="249">
        <f>K52*I52</f>
        <v>0</v>
      </c>
      <c r="N52" s="252">
        <f>M52+I52</f>
        <v>-128</v>
      </c>
      <c r="O52" s="252"/>
      <c r="P52" s="248"/>
      <c r="Q52" s="248"/>
      <c r="R52" s="248"/>
      <c r="S52" s="248"/>
      <c r="T52" s="252">
        <f>N52+P52+Q52</f>
        <v>-128</v>
      </c>
    </row>
    <row r="53" spans="1:24" ht="15.75" customHeight="1">
      <c r="A53" s="198">
        <v>30</v>
      </c>
      <c r="B53" s="204"/>
      <c r="C53" s="204"/>
      <c r="D53" s="86"/>
      <c r="E53" s="248"/>
      <c r="F53" s="248"/>
      <c r="G53" s="248"/>
      <c r="H53" s="248"/>
      <c r="I53" s="249"/>
      <c r="J53" s="249"/>
      <c r="K53" s="251"/>
      <c r="L53" s="251"/>
      <c r="M53" s="250"/>
      <c r="N53" s="252"/>
      <c r="O53" s="252"/>
      <c r="P53" s="248"/>
      <c r="Q53" s="248"/>
      <c r="R53" s="248"/>
      <c r="S53" s="248"/>
      <c r="T53" s="252"/>
    </row>
    <row r="54" spans="1:24" ht="15.75" customHeight="1" thickBot="1">
      <c r="A54" s="198">
        <v>31</v>
      </c>
      <c r="B54" s="204" t="s">
        <v>62</v>
      </c>
      <c r="C54" s="204"/>
      <c r="D54" s="86"/>
      <c r="E54" s="442">
        <f>E41-E49-E50-E51-E52</f>
        <v>101349</v>
      </c>
      <c r="F54" s="442">
        <f>F41-F49-F50-F51-F52</f>
        <v>72433</v>
      </c>
      <c r="G54" s="442">
        <f t="shared" ref="G54:I54" si="3">G41-G49-G50-G51-G52</f>
        <v>2155.8874999999998</v>
      </c>
      <c r="H54" s="442">
        <f t="shared" si="3"/>
        <v>6629</v>
      </c>
      <c r="I54" s="442">
        <f t="shared" si="3"/>
        <v>182566.88750000001</v>
      </c>
      <c r="J54" s="442"/>
      <c r="K54" s="442"/>
      <c r="L54" s="442"/>
      <c r="M54" s="442">
        <f t="shared" ref="M54:S54" si="4">M41-M49-M50-M51-M52</f>
        <v>-12519.675975802098</v>
      </c>
      <c r="N54" s="442">
        <f t="shared" si="4"/>
        <v>170047.21152419789</v>
      </c>
      <c r="O54" s="442"/>
      <c r="P54" s="442">
        <f t="shared" si="4"/>
        <v>-57578.3</v>
      </c>
      <c r="Q54" s="442">
        <f t="shared" si="4"/>
        <v>1158.4260751418815</v>
      </c>
      <c r="R54" s="442">
        <f t="shared" si="4"/>
        <v>-707.85</v>
      </c>
      <c r="S54" s="442">
        <f t="shared" si="4"/>
        <v>-2132.0459600000004</v>
      </c>
      <c r="T54" s="442">
        <f>T41-T49-T50-T51-T52</f>
        <v>110787.4416393399</v>
      </c>
      <c r="U54" s="873">
        <f>T41-T49-U50-T51-T52</f>
        <v>110852.4075193399</v>
      </c>
      <c r="X54" s="53"/>
    </row>
    <row r="55" spans="1:24" ht="3" customHeight="1" thickTop="1">
      <c r="A55" s="198"/>
      <c r="B55" s="204"/>
      <c r="C55" s="204"/>
      <c r="D55" s="86"/>
      <c r="E55" s="248"/>
      <c r="F55" s="248"/>
      <c r="G55" s="248"/>
      <c r="H55" s="248"/>
      <c r="I55" s="249"/>
      <c r="J55" s="249"/>
      <c r="K55" s="251"/>
      <c r="L55" s="251"/>
      <c r="M55" s="250"/>
      <c r="N55" s="268"/>
      <c r="O55" s="268"/>
      <c r="P55" s="248"/>
      <c r="Q55" s="248"/>
      <c r="R55" s="248"/>
      <c r="S55" s="248"/>
      <c r="T55" s="268"/>
    </row>
    <row r="56" spans="1:24" ht="15.75" customHeight="1">
      <c r="A56" s="198"/>
      <c r="B56" s="204" t="s">
        <v>61</v>
      </c>
      <c r="C56" s="204"/>
      <c r="D56" s="86"/>
      <c r="E56" s="248"/>
      <c r="F56" s="248"/>
      <c r="G56" s="248"/>
      <c r="H56" s="248"/>
      <c r="I56" s="249"/>
      <c r="J56" s="249"/>
      <c r="K56" s="251"/>
      <c r="L56" s="251"/>
      <c r="M56" s="250"/>
      <c r="N56" s="252"/>
      <c r="O56" s="252"/>
      <c r="P56" s="248"/>
      <c r="Q56" s="248"/>
      <c r="R56" s="248"/>
      <c r="S56" s="248"/>
      <c r="T56" s="51"/>
    </row>
    <row r="57" spans="1:24" ht="15.75" customHeight="1" thickBot="1">
      <c r="A57" s="198"/>
      <c r="B57" s="204" t="s">
        <v>240</v>
      </c>
      <c r="C57" s="204"/>
      <c r="D57" s="86"/>
      <c r="E57" s="248"/>
      <c r="F57" s="248"/>
      <c r="G57" s="248"/>
      <c r="H57" s="248"/>
      <c r="I57" s="249"/>
      <c r="J57" s="249"/>
      <c r="K57" s="251"/>
      <c r="L57" s="251"/>
      <c r="M57" s="250"/>
      <c r="N57" s="252"/>
      <c r="O57" s="252"/>
      <c r="P57" s="248"/>
      <c r="Q57" s="248"/>
      <c r="R57" s="248"/>
      <c r="S57" s="248"/>
      <c r="T57" s="252"/>
    </row>
    <row r="58" spans="1:24" ht="15.75" customHeight="1" thickBot="1">
      <c r="A58" s="198">
        <v>32</v>
      </c>
      <c r="B58" s="204"/>
      <c r="C58" s="204" t="s">
        <v>59</v>
      </c>
      <c r="D58" s="86"/>
      <c r="E58" s="248">
        <v>102620</v>
      </c>
      <c r="F58" s="248"/>
      <c r="G58" s="248">
        <v>0</v>
      </c>
      <c r="H58" s="248">
        <v>0</v>
      </c>
      <c r="I58" s="269">
        <f>SUM(E58:H58)</f>
        <v>102620</v>
      </c>
      <c r="J58" s="249"/>
      <c r="K58" s="820">
        <f>'Net Plant'!B8</f>
        <v>0</v>
      </c>
      <c r="L58" s="251"/>
      <c r="M58" s="249">
        <f>I58*K58</f>
        <v>0</v>
      </c>
      <c r="N58" s="252">
        <f>I58+M58</f>
        <v>102620</v>
      </c>
      <c r="O58" s="252"/>
      <c r="P58" s="248"/>
      <c r="Q58" s="248"/>
      <c r="R58" s="248"/>
      <c r="S58" s="821">
        <v>46004</v>
      </c>
      <c r="T58" s="821">
        <f>N58+S58</f>
        <v>148624</v>
      </c>
    </row>
    <row r="59" spans="1:24" ht="15.75" customHeight="1">
      <c r="A59" s="198">
        <v>33</v>
      </c>
      <c r="B59" s="204"/>
      <c r="C59" s="204" t="s">
        <v>58</v>
      </c>
      <c r="D59" s="86"/>
      <c r="E59" s="248">
        <v>746101</v>
      </c>
      <c r="F59" s="248"/>
      <c r="G59" s="248">
        <v>0</v>
      </c>
      <c r="H59" s="248">
        <v>0</v>
      </c>
      <c r="I59" s="269">
        <f>SUM(E59:H59)</f>
        <v>746101</v>
      </c>
      <c r="J59" s="249"/>
      <c r="K59" s="251">
        <f>$K$58</f>
        <v>0</v>
      </c>
      <c r="L59" s="251"/>
      <c r="M59" s="249">
        <f>I59*K59</f>
        <v>0</v>
      </c>
      <c r="N59" s="252">
        <f>I59+M59</f>
        <v>746101</v>
      </c>
      <c r="O59" s="252"/>
      <c r="P59" s="248"/>
      <c r="Q59" s="248"/>
      <c r="R59" s="248"/>
      <c r="S59" s="248"/>
      <c r="T59" s="252">
        <f>N59</f>
        <v>746101</v>
      </c>
    </row>
    <row r="60" spans="1:24" ht="15.75" customHeight="1">
      <c r="A60" s="198">
        <v>34</v>
      </c>
      <c r="B60" s="204"/>
      <c r="C60" s="204" t="s">
        <v>57</v>
      </c>
      <c r="D60" s="86"/>
      <c r="E60" s="248">
        <v>371971</v>
      </c>
      <c r="F60" s="248"/>
      <c r="G60" s="248">
        <v>0</v>
      </c>
      <c r="H60" s="248">
        <v>0</v>
      </c>
      <c r="I60" s="269">
        <f>SUM(E60:H60)</f>
        <v>371971</v>
      </c>
      <c r="J60" s="249"/>
      <c r="K60" s="251">
        <f>$K$58</f>
        <v>0</v>
      </c>
      <c r="L60" s="251"/>
      <c r="M60" s="249">
        <f>I60*K60</f>
        <v>0</v>
      </c>
      <c r="N60" s="252">
        <f>I60+M60</f>
        <v>371971</v>
      </c>
      <c r="O60" s="252"/>
      <c r="P60" s="248"/>
      <c r="Q60" s="248"/>
      <c r="R60" s="248"/>
      <c r="S60" s="248"/>
      <c r="T60" s="252">
        <f>N60</f>
        <v>371971</v>
      </c>
    </row>
    <row r="61" spans="1:24" ht="15.75" customHeight="1">
      <c r="A61" s="198">
        <v>35</v>
      </c>
      <c r="B61" s="204"/>
      <c r="C61" s="204" t="s">
        <v>56</v>
      </c>
      <c r="D61" s="86"/>
      <c r="E61" s="248">
        <v>842795</v>
      </c>
      <c r="F61" s="248"/>
      <c r="G61" s="248">
        <v>0</v>
      </c>
      <c r="H61" s="248">
        <v>0</v>
      </c>
      <c r="I61" s="269">
        <f>SUM(E61:H61)</f>
        <v>842795</v>
      </c>
      <c r="J61" s="249"/>
      <c r="K61" s="251">
        <v>0</v>
      </c>
      <c r="L61" s="251"/>
      <c r="M61" s="249">
        <f>I61*K61</f>
        <v>0</v>
      </c>
      <c r="N61" s="252">
        <f>I61+M61</f>
        <v>842795</v>
      </c>
      <c r="O61" s="252"/>
      <c r="P61" s="248"/>
      <c r="Q61" s="248"/>
      <c r="R61" s="248"/>
      <c r="S61" s="248"/>
      <c r="T61" s="252">
        <f>N61</f>
        <v>842795</v>
      </c>
    </row>
    <row r="62" spans="1:24" ht="15.75" customHeight="1">
      <c r="A62" s="198">
        <v>36</v>
      </c>
      <c r="B62" s="204"/>
      <c r="C62" s="204" t="s">
        <v>55</v>
      </c>
      <c r="D62" s="86"/>
      <c r="E62" s="248">
        <v>196867</v>
      </c>
      <c r="F62" s="253"/>
      <c r="G62" s="248">
        <v>0</v>
      </c>
      <c r="H62" s="248">
        <v>0</v>
      </c>
      <c r="I62" s="269">
        <f>SUM(E62:H62)</f>
        <v>196867</v>
      </c>
      <c r="J62" s="254"/>
      <c r="K62" s="251">
        <f>$K$58</f>
        <v>0</v>
      </c>
      <c r="L62" s="256"/>
      <c r="M62" s="254">
        <f>I62*K62</f>
        <v>0</v>
      </c>
      <c r="N62" s="253">
        <f>I62+M62</f>
        <v>196867</v>
      </c>
      <c r="O62" s="253"/>
      <c r="P62" s="253"/>
      <c r="Q62" s="253"/>
      <c r="R62" s="253"/>
      <c r="S62" s="253"/>
      <c r="T62" s="253">
        <f>N62+S62</f>
        <v>196867</v>
      </c>
    </row>
    <row r="63" spans="1:24" ht="15.75" customHeight="1">
      <c r="A63" s="198">
        <v>37</v>
      </c>
      <c r="B63" s="204"/>
      <c r="C63" s="204" t="s">
        <v>251</v>
      </c>
      <c r="D63" s="86"/>
      <c r="E63" s="441">
        <f>SUM(E58:E62)</f>
        <v>2260354</v>
      </c>
      <c r="F63" s="441">
        <f t="shared" ref="F63:H63" si="5">SUM(F58:F62)</f>
        <v>0</v>
      </c>
      <c r="G63" s="441">
        <f t="shared" si="5"/>
        <v>0</v>
      </c>
      <c r="H63" s="441">
        <f t="shared" si="5"/>
        <v>0</v>
      </c>
      <c r="I63" s="443">
        <f>SUM(I58:I62)</f>
        <v>2260354</v>
      </c>
      <c r="J63" s="249"/>
      <c r="K63" s="440"/>
      <c r="L63" s="251"/>
      <c r="M63" s="249">
        <f>SUM(M58:M62)</f>
        <v>0</v>
      </c>
      <c r="N63" s="249">
        <f>SUM(N58:N62)</f>
        <v>2260354</v>
      </c>
      <c r="O63" s="252"/>
      <c r="P63" s="248"/>
      <c r="Q63" s="248"/>
      <c r="R63" s="248"/>
      <c r="S63" s="249">
        <f>SUM(S58:S62)</f>
        <v>46004</v>
      </c>
      <c r="T63" s="249">
        <f>SUM(T58:T62)</f>
        <v>2306358</v>
      </c>
      <c r="V63" s="184"/>
    </row>
    <row r="64" spans="1:24" ht="15.75" customHeight="1" thickBot="1">
      <c r="A64" s="198"/>
      <c r="B64" s="204" t="s">
        <v>243</v>
      </c>
      <c r="C64" s="201"/>
      <c r="D64" s="86"/>
      <c r="E64" s="248"/>
      <c r="F64" s="248"/>
      <c r="G64" s="248"/>
      <c r="H64" s="248"/>
      <c r="I64" s="249"/>
      <c r="J64" s="249"/>
      <c r="K64" s="251"/>
      <c r="L64" s="251"/>
      <c r="M64" s="250"/>
      <c r="N64" s="252"/>
      <c r="O64" s="252"/>
      <c r="P64" s="248"/>
      <c r="Q64" s="248"/>
      <c r="R64" s="248"/>
      <c r="S64" s="248"/>
      <c r="T64" s="252">
        <f t="shared" ref="T64:T68" si="6">N64</f>
        <v>0</v>
      </c>
    </row>
    <row r="65" spans="1:25" ht="15.75" customHeight="1" thickBot="1">
      <c r="A65" s="198">
        <v>38</v>
      </c>
      <c r="B65" s="204"/>
      <c r="C65" s="204" t="s">
        <v>59</v>
      </c>
      <c r="D65" s="90"/>
      <c r="E65" s="248">
        <v>-20242</v>
      </c>
      <c r="F65" s="248"/>
      <c r="G65" s="248">
        <v>0</v>
      </c>
      <c r="H65" s="248">
        <v>0</v>
      </c>
      <c r="I65" s="269">
        <f>SUM(E65:H65)</f>
        <v>-20242</v>
      </c>
      <c r="J65" s="249"/>
      <c r="K65" s="251">
        <f>$K$58</f>
        <v>0</v>
      </c>
      <c r="L65" s="251"/>
      <c r="M65" s="249">
        <f>I65*K65</f>
        <v>0</v>
      </c>
      <c r="N65" s="252">
        <f>I65+M65</f>
        <v>-20242</v>
      </c>
      <c r="O65" s="252"/>
      <c r="P65" s="248"/>
      <c r="Q65" s="248"/>
      <c r="R65" s="248"/>
      <c r="S65" s="821">
        <v>-1943</v>
      </c>
      <c r="T65" s="821">
        <f>N65+S65</f>
        <v>-22185</v>
      </c>
    </row>
    <row r="66" spans="1:25" ht="15.75" customHeight="1">
      <c r="A66" s="198">
        <v>39</v>
      </c>
      <c r="B66" s="204"/>
      <c r="C66" s="204" t="s">
        <v>58</v>
      </c>
      <c r="D66" s="86"/>
      <c r="E66" s="248">
        <v>-325531</v>
      </c>
      <c r="F66" s="248"/>
      <c r="G66" s="248">
        <v>0</v>
      </c>
      <c r="H66" s="248">
        <v>0</v>
      </c>
      <c r="I66" s="269">
        <f>SUM(E66:H66)</f>
        <v>-325531</v>
      </c>
      <c r="J66" s="249"/>
      <c r="K66" s="251">
        <f>$K$58</f>
        <v>0</v>
      </c>
      <c r="L66" s="251"/>
      <c r="M66" s="249">
        <f>I66*K66</f>
        <v>0</v>
      </c>
      <c r="N66" s="252">
        <f>I66+M66</f>
        <v>-325531</v>
      </c>
      <c r="O66" s="252"/>
      <c r="P66" s="248"/>
      <c r="Q66" s="248"/>
      <c r="R66" s="248"/>
      <c r="S66" s="248"/>
      <c r="T66" s="252">
        <f t="shared" si="6"/>
        <v>-325531</v>
      </c>
    </row>
    <row r="67" spans="1:25" ht="15.75" customHeight="1">
      <c r="A67" s="198">
        <v>40</v>
      </c>
      <c r="B67" s="204"/>
      <c r="C67" s="204" t="s">
        <v>57</v>
      </c>
      <c r="D67" s="86"/>
      <c r="E67" s="248">
        <v>-123869</v>
      </c>
      <c r="F67" s="248"/>
      <c r="G67" s="248">
        <v>0</v>
      </c>
      <c r="H67" s="248">
        <v>0</v>
      </c>
      <c r="I67" s="269">
        <f>SUM(E67:H67)</f>
        <v>-123869</v>
      </c>
      <c r="J67" s="249"/>
      <c r="K67" s="251">
        <f>$K$58</f>
        <v>0</v>
      </c>
      <c r="L67" s="251"/>
      <c r="M67" s="249">
        <f>I67*K67</f>
        <v>0</v>
      </c>
      <c r="N67" s="252">
        <f>I67+M67</f>
        <v>-123869</v>
      </c>
      <c r="O67" s="252"/>
      <c r="P67" s="248"/>
      <c r="Q67" s="248"/>
      <c r="R67" s="248"/>
      <c r="S67" s="248"/>
      <c r="T67" s="252">
        <f t="shared" si="6"/>
        <v>-123869</v>
      </c>
    </row>
    <row r="68" spans="1:25" ht="15.75" customHeight="1">
      <c r="A68" s="198">
        <v>41</v>
      </c>
      <c r="B68" s="204"/>
      <c r="C68" s="204" t="s">
        <v>56</v>
      </c>
      <c r="D68" s="86"/>
      <c r="E68" s="248">
        <v>-252722</v>
      </c>
      <c r="F68" s="248"/>
      <c r="G68" s="248">
        <v>0</v>
      </c>
      <c r="H68" s="248">
        <v>0</v>
      </c>
      <c r="I68" s="269">
        <f>SUM(E68:H68)</f>
        <v>-252722</v>
      </c>
      <c r="J68" s="249"/>
      <c r="K68" s="251">
        <f>K61</f>
        <v>0</v>
      </c>
      <c r="L68" s="251"/>
      <c r="M68" s="249">
        <f>I68*K68</f>
        <v>0</v>
      </c>
      <c r="N68" s="252">
        <f>I68+M68</f>
        <v>-252722</v>
      </c>
      <c r="O68" s="252"/>
      <c r="P68" s="248"/>
      <c r="Q68" s="248"/>
      <c r="R68" s="248"/>
      <c r="S68" s="248"/>
      <c r="T68" s="252">
        <f t="shared" si="6"/>
        <v>-252722</v>
      </c>
    </row>
    <row r="69" spans="1:25" ht="15.75" customHeight="1">
      <c r="A69" s="198">
        <v>42</v>
      </c>
      <c r="B69" s="204"/>
      <c r="C69" s="204" t="s">
        <v>55</v>
      </c>
      <c r="D69" s="86"/>
      <c r="E69" s="248">
        <v>-65720</v>
      </c>
      <c r="F69" s="254"/>
      <c r="G69" s="248">
        <v>0</v>
      </c>
      <c r="H69" s="248">
        <v>0</v>
      </c>
      <c r="I69" s="269">
        <f>SUM(E69:H69)</f>
        <v>-65720</v>
      </c>
      <c r="J69" s="254"/>
      <c r="K69" s="251">
        <f>$K$58</f>
        <v>0</v>
      </c>
      <c r="L69" s="256"/>
      <c r="M69" s="254">
        <f>I69*K69</f>
        <v>0</v>
      </c>
      <c r="N69" s="253">
        <f>I69+M69</f>
        <v>-65720</v>
      </c>
      <c r="O69" s="253"/>
      <c r="P69" s="253"/>
      <c r="Q69" s="253"/>
      <c r="R69" s="253"/>
      <c r="S69" s="253"/>
      <c r="T69" s="253">
        <f>N69+S69</f>
        <v>-65720</v>
      </c>
    </row>
    <row r="70" spans="1:25" ht="30.75" customHeight="1">
      <c r="A70" s="198">
        <v>43</v>
      </c>
      <c r="B70" s="204"/>
      <c r="C70" s="201" t="s">
        <v>289</v>
      </c>
      <c r="D70" s="91"/>
      <c r="E70" s="441">
        <f>SUM(E65:E69)</f>
        <v>-788084</v>
      </c>
      <c r="F70" s="441">
        <f t="shared" ref="F70:H70" si="7">SUM(F65:F69)</f>
        <v>0</v>
      </c>
      <c r="G70" s="441">
        <f t="shared" si="7"/>
        <v>0</v>
      </c>
      <c r="H70" s="441">
        <f t="shared" si="7"/>
        <v>0</v>
      </c>
      <c r="I70" s="443">
        <f>SUM(I65:I69)</f>
        <v>-788084</v>
      </c>
      <c r="J70" s="249"/>
      <c r="K70" s="440"/>
      <c r="L70" s="251"/>
      <c r="M70" s="269">
        <f>SUM(M65:M69)</f>
        <v>0</v>
      </c>
      <c r="N70" s="269">
        <f>SUM(N65:N69)</f>
        <v>-788084</v>
      </c>
      <c r="O70" s="252"/>
      <c r="P70" s="248"/>
      <c r="Q70" s="248"/>
      <c r="R70" s="248"/>
      <c r="S70" s="269">
        <f>SUM(S65:S69)</f>
        <v>-1943</v>
      </c>
      <c r="T70" s="269">
        <f>SUM(T65:T69)</f>
        <v>-790027</v>
      </c>
      <c r="V70" s="184"/>
    </row>
    <row r="71" spans="1:25" ht="9" customHeight="1">
      <c r="A71" s="198"/>
      <c r="B71" s="204"/>
      <c r="C71" s="201"/>
      <c r="D71" s="91"/>
      <c r="E71" s="248"/>
      <c r="F71" s="269"/>
      <c r="G71" s="269"/>
      <c r="H71" s="269"/>
      <c r="I71" s="249"/>
      <c r="J71" s="249"/>
      <c r="K71" s="251"/>
      <c r="L71" s="251"/>
      <c r="M71" s="249"/>
      <c r="N71" s="252"/>
      <c r="O71" s="252"/>
      <c r="P71" s="248"/>
      <c r="Q71" s="248"/>
      <c r="R71" s="248"/>
      <c r="S71" s="248"/>
      <c r="T71" s="252"/>
    </row>
    <row r="72" spans="1:25" ht="15.75" customHeight="1">
      <c r="A72" s="198">
        <v>44</v>
      </c>
      <c r="B72" s="204" t="s">
        <v>232</v>
      </c>
      <c r="C72" s="204"/>
      <c r="D72" s="86"/>
      <c r="E72" s="441">
        <f>E63+E70</f>
        <v>1472270</v>
      </c>
      <c r="F72" s="441">
        <f t="shared" ref="F72:T72" si="8">F63+F70</f>
        <v>0</v>
      </c>
      <c r="G72" s="441">
        <f t="shared" si="8"/>
        <v>0</v>
      </c>
      <c r="H72" s="441">
        <f t="shared" si="8"/>
        <v>0</v>
      </c>
      <c r="I72" s="441">
        <f t="shared" si="8"/>
        <v>1472270</v>
      </c>
      <c r="J72" s="441">
        <f t="shared" si="8"/>
        <v>0</v>
      </c>
      <c r="K72" s="441">
        <f t="shared" si="8"/>
        <v>0</v>
      </c>
      <c r="L72" s="441">
        <f t="shared" si="8"/>
        <v>0</v>
      </c>
      <c r="M72" s="441">
        <f t="shared" si="8"/>
        <v>0</v>
      </c>
      <c r="N72" s="441">
        <f t="shared" si="8"/>
        <v>1472270</v>
      </c>
      <c r="O72" s="441">
        <f t="shared" si="8"/>
        <v>0</v>
      </c>
      <c r="P72" s="441"/>
      <c r="Q72" s="441"/>
      <c r="R72" s="441">
        <f t="shared" si="8"/>
        <v>0</v>
      </c>
      <c r="S72" s="441">
        <f t="shared" si="8"/>
        <v>44061</v>
      </c>
      <c r="T72" s="441">
        <f t="shared" si="8"/>
        <v>1516331</v>
      </c>
      <c r="W72" s="184"/>
    </row>
    <row r="73" spans="1:25" ht="12.75" customHeight="1" thickBot="1">
      <c r="A73" s="198"/>
      <c r="B73" s="204"/>
      <c r="C73" s="204"/>
      <c r="D73" s="86"/>
      <c r="E73" s="248"/>
      <c r="F73" s="269"/>
      <c r="G73" s="269"/>
      <c r="H73" s="269"/>
      <c r="I73" s="249"/>
      <c r="J73" s="249"/>
      <c r="K73" s="251"/>
      <c r="L73" s="251"/>
      <c r="M73" s="250"/>
      <c r="N73" s="252"/>
      <c r="O73" s="252"/>
      <c r="P73" s="248"/>
      <c r="Q73" s="248"/>
      <c r="R73" s="248"/>
      <c r="S73" s="248"/>
      <c r="T73" s="252"/>
    </row>
    <row r="74" spans="1:25" ht="13.5" customHeight="1" thickBot="1">
      <c r="A74" s="198">
        <v>45</v>
      </c>
      <c r="B74" s="204" t="s">
        <v>244</v>
      </c>
      <c r="C74" s="204"/>
      <c r="D74" s="86"/>
      <c r="E74" s="260">
        <v>-257766</v>
      </c>
      <c r="F74" s="248"/>
      <c r="G74" s="248">
        <v>0</v>
      </c>
      <c r="H74" s="248">
        <v>0</v>
      </c>
      <c r="I74" s="269">
        <f>SUM(E74:H74)</f>
        <v>-257766</v>
      </c>
      <c r="J74" s="249"/>
      <c r="K74" s="251">
        <f>$K$58</f>
        <v>0</v>
      </c>
      <c r="L74" s="259"/>
      <c r="M74" s="249">
        <f>K74*I74</f>
        <v>0</v>
      </c>
      <c r="N74" s="252">
        <f>M74+I74</f>
        <v>-257766</v>
      </c>
      <c r="O74" s="252"/>
      <c r="P74" s="248"/>
      <c r="Q74" s="248"/>
      <c r="R74" s="248"/>
      <c r="S74" s="821">
        <v>-2003</v>
      </c>
      <c r="T74" s="252">
        <f>N74+S74</f>
        <v>-259769</v>
      </c>
      <c r="V74" s="644"/>
      <c r="W74" s="628"/>
    </row>
    <row r="75" spans="1:25" ht="15.75" customHeight="1" thickBot="1">
      <c r="A75" s="198">
        <v>46</v>
      </c>
      <c r="B75" s="204"/>
      <c r="C75" s="204" t="s">
        <v>290</v>
      </c>
      <c r="D75" s="90"/>
      <c r="E75" s="441">
        <f>E72+E74</f>
        <v>1214504</v>
      </c>
      <c r="F75" s="441">
        <f t="shared" ref="F75:N75" si="9">F72+F74</f>
        <v>0</v>
      </c>
      <c r="G75" s="441">
        <f>G72+G74</f>
        <v>0</v>
      </c>
      <c r="H75" s="441">
        <f t="shared" si="9"/>
        <v>0</v>
      </c>
      <c r="I75" s="441">
        <f t="shared" si="9"/>
        <v>1214504</v>
      </c>
      <c r="J75" s="441">
        <f t="shared" si="9"/>
        <v>0</v>
      </c>
      <c r="K75" s="441">
        <f t="shared" si="9"/>
        <v>0</v>
      </c>
      <c r="L75" s="441">
        <f t="shared" si="9"/>
        <v>0</v>
      </c>
      <c r="M75" s="441">
        <f t="shared" si="9"/>
        <v>0</v>
      </c>
      <c r="N75" s="441">
        <f t="shared" si="9"/>
        <v>1214504</v>
      </c>
      <c r="O75" s="441"/>
      <c r="P75" s="441"/>
      <c r="Q75" s="441"/>
      <c r="R75" s="441"/>
      <c r="S75" s="441"/>
      <c r="T75" s="441">
        <f>T72+T74</f>
        <v>1256562</v>
      </c>
      <c r="U75" s="53"/>
      <c r="V75" s="53"/>
      <c r="W75" s="184"/>
      <c r="X75" s="629"/>
      <c r="Y75" s="629"/>
    </row>
    <row r="76" spans="1:25" ht="15.75" customHeight="1" thickBot="1">
      <c r="A76" s="198">
        <v>47</v>
      </c>
      <c r="B76" s="204" t="s">
        <v>245</v>
      </c>
      <c r="C76" s="204"/>
      <c r="D76" s="86"/>
      <c r="E76" s="260">
        <v>10846</v>
      </c>
      <c r="F76" s="284"/>
      <c r="G76" s="821">
        <f>13750-20000</f>
        <v>-6250</v>
      </c>
      <c r="H76" s="248"/>
      <c r="I76" s="269">
        <f>SUM(E76:H76)</f>
        <v>4596</v>
      </c>
      <c r="J76" s="249"/>
      <c r="K76" s="251">
        <v>0</v>
      </c>
      <c r="L76" s="251"/>
      <c r="M76" s="249">
        <f>K76*I76</f>
        <v>0</v>
      </c>
      <c r="N76" s="252">
        <f>M76+I76</f>
        <v>4596</v>
      </c>
      <c r="O76" s="252"/>
      <c r="P76" s="248"/>
      <c r="Q76" s="248"/>
      <c r="R76" s="248"/>
      <c r="S76" s="248"/>
      <c r="T76" s="252">
        <f>N76</f>
        <v>4596</v>
      </c>
      <c r="U76" s="53"/>
    </row>
    <row r="77" spans="1:25" ht="15.75" customHeight="1">
      <c r="A77" s="198">
        <v>48</v>
      </c>
      <c r="B77" s="204" t="s">
        <v>118</v>
      </c>
      <c r="C77" s="204"/>
      <c r="D77" s="86"/>
      <c r="E77" s="260">
        <v>47807</v>
      </c>
      <c r="F77" s="248"/>
      <c r="G77" s="248">
        <v>0</v>
      </c>
      <c r="H77" s="248"/>
      <c r="I77" s="269">
        <f>SUM(E77:H77)</f>
        <v>47807</v>
      </c>
      <c r="J77" s="249"/>
      <c r="K77" s="251">
        <v>0</v>
      </c>
      <c r="L77" s="251"/>
      <c r="M77" s="249">
        <f>K77*I77</f>
        <v>0</v>
      </c>
      <c r="N77" s="252">
        <f>M77+I77</f>
        <v>47807</v>
      </c>
      <c r="O77" s="252"/>
      <c r="P77" s="248"/>
      <c r="Q77" s="248"/>
      <c r="R77" s="248"/>
      <c r="S77" s="248"/>
      <c r="T77" s="252">
        <f>N77</f>
        <v>47807</v>
      </c>
      <c r="V77" s="699"/>
      <c r="W77" s="53"/>
      <c r="X77" s="629"/>
      <c r="Y77" s="629"/>
    </row>
    <row r="78" spans="1:25" ht="12.75" customHeight="1" thickBot="1">
      <c r="A78" s="198"/>
      <c r="B78" s="204"/>
      <c r="C78" s="204"/>
      <c r="D78" s="86"/>
      <c r="E78" s="248"/>
      <c r="F78" s="248"/>
      <c r="G78" s="248"/>
      <c r="H78" s="248"/>
      <c r="I78" s="249"/>
      <c r="J78" s="249"/>
      <c r="K78" s="251"/>
      <c r="L78" s="251"/>
      <c r="M78" s="250"/>
      <c r="N78" s="252"/>
      <c r="O78" s="252"/>
      <c r="P78" s="248"/>
      <c r="Q78" s="248"/>
      <c r="R78" s="248"/>
      <c r="S78" s="248"/>
      <c r="T78" s="252">
        <f>N78</f>
        <v>0</v>
      </c>
      <c r="V78" s="645"/>
      <c r="W78" s="519"/>
      <c r="X78" s="629"/>
    </row>
    <row r="79" spans="1:25" ht="15.75" customHeight="1" thickBot="1">
      <c r="A79" s="198">
        <v>49</v>
      </c>
      <c r="B79" s="204" t="s">
        <v>51</v>
      </c>
      <c r="C79" s="204"/>
      <c r="D79" s="86"/>
      <c r="E79" s="442">
        <f>SUM(E75:E77)</f>
        <v>1273157</v>
      </c>
      <c r="F79" s="442">
        <f t="shared" ref="F79:H79" si="10">SUM(F75:F77)</f>
        <v>0</v>
      </c>
      <c r="G79" s="442">
        <f t="shared" si="10"/>
        <v>-6250</v>
      </c>
      <c r="H79" s="442">
        <f t="shared" si="10"/>
        <v>0</v>
      </c>
      <c r="I79" s="444">
        <f>I72+I74+I76+I77</f>
        <v>1266907</v>
      </c>
      <c r="J79" s="444"/>
      <c r="K79" s="445"/>
      <c r="L79" s="445"/>
      <c r="M79" s="444">
        <f>M72+M74+M76+M77</f>
        <v>0</v>
      </c>
      <c r="N79" s="444">
        <f>N72+N74+N76+N77</f>
        <v>1266907</v>
      </c>
      <c r="O79" s="442"/>
      <c r="P79" s="442"/>
      <c r="Q79" s="442"/>
      <c r="R79" s="442"/>
      <c r="S79" s="822">
        <f>S72+S74+S76+S77</f>
        <v>42058</v>
      </c>
      <c r="T79" s="887">
        <f>T72+T74+T76+T77</f>
        <v>1308965</v>
      </c>
      <c r="U79" s="872">
        <v>1315891</v>
      </c>
      <c r="V79" s="184"/>
      <c r="Y79" s="627"/>
    </row>
    <row r="80" spans="1:25" ht="16.5" customHeight="1" thickTop="1" thickBot="1">
      <c r="A80" s="198"/>
      <c r="B80" s="204"/>
      <c r="C80" s="52" t="s">
        <v>738</v>
      </c>
      <c r="D80" s="86"/>
      <c r="E80" s="248"/>
      <c r="F80" s="248"/>
      <c r="G80" s="248"/>
      <c r="H80" s="508"/>
      <c r="I80" s="249"/>
      <c r="J80" s="249"/>
      <c r="K80" s="251"/>
      <c r="L80" s="251"/>
      <c r="M80" s="249"/>
      <c r="N80" s="252"/>
      <c r="O80" s="252"/>
      <c r="P80" s="248"/>
      <c r="Q80" s="248"/>
      <c r="R80" s="248"/>
      <c r="S80" s="248"/>
      <c r="T80" s="888" t="s">
        <v>773</v>
      </c>
      <c r="U80" s="871" t="s">
        <v>774</v>
      </c>
      <c r="V80" s="519"/>
    </row>
    <row r="81" spans="1:23" ht="15.75" customHeight="1">
      <c r="A81" s="198">
        <v>50</v>
      </c>
      <c r="B81" s="204" t="s">
        <v>50</v>
      </c>
      <c r="C81" s="204"/>
      <c r="D81" s="86"/>
      <c r="E81" s="507">
        <f>E54/E79</f>
        <v>7.9604479259038755E-2</v>
      </c>
      <c r="F81" s="284"/>
      <c r="G81" s="284"/>
      <c r="H81" s="259"/>
      <c r="I81"/>
      <c r="J81" s="270"/>
      <c r="K81" s="251"/>
      <c r="L81" s="251"/>
      <c r="M81" s="251"/>
      <c r="N81" s="271"/>
      <c r="O81" s="271"/>
      <c r="P81" s="259"/>
      <c r="Q81" s="259"/>
      <c r="R81" s="259"/>
      <c r="S81" s="259"/>
      <c r="T81" s="507">
        <f>T54/T79</f>
        <v>8.4637436172349839E-2</v>
      </c>
      <c r="U81" s="838">
        <f>U54/U79</f>
        <v>8.4241329653702249E-2</v>
      </c>
      <c r="W81" s="53"/>
    </row>
    <row r="82" spans="1:23" s="49" customFormat="1" ht="4.5" customHeight="1" thickBot="1">
      <c r="A82" s="202"/>
      <c r="B82" s="204"/>
      <c r="C82" s="203"/>
      <c r="D82" s="48"/>
      <c r="E82" s="272"/>
      <c r="F82" s="265"/>
      <c r="G82" s="265"/>
      <c r="H82" s="265"/>
      <c r="I82" s="202"/>
      <c r="J82" s="202"/>
      <c r="K82" s="273"/>
      <c r="L82" s="273"/>
      <c r="M82" s="204"/>
      <c r="N82" s="274"/>
      <c r="O82" s="274"/>
      <c r="P82" s="252"/>
      <c r="Q82" s="252"/>
      <c r="R82" s="252"/>
      <c r="S82" s="252"/>
      <c r="T82" s="203"/>
    </row>
    <row r="83" spans="1:23" s="49" customFormat="1" ht="15.75" customHeight="1">
      <c r="A83" s="202"/>
      <c r="B83" s="287" t="s">
        <v>279</v>
      </c>
      <c r="C83" s="205"/>
      <c r="D83" s="85"/>
      <c r="E83" s="275"/>
      <c r="F83" s="276"/>
      <c r="G83" s="276"/>
      <c r="H83" s="276"/>
      <c r="I83" s="277"/>
      <c r="J83" s="277"/>
      <c r="K83" s="278"/>
      <c r="L83" s="278"/>
      <c r="M83" s="278"/>
      <c r="N83" s="205"/>
      <c r="O83" s="205"/>
      <c r="P83" s="279"/>
      <c r="Q83" s="279"/>
      <c r="R83" s="279"/>
      <c r="S83" s="279"/>
      <c r="T83" s="280"/>
      <c r="U83" s="870"/>
      <c r="W83" s="638"/>
    </row>
    <row r="84" spans="1:23" s="197" customFormat="1" ht="15.75" customHeight="1">
      <c r="A84" s="198">
        <v>50</v>
      </c>
      <c r="B84" s="206" t="s">
        <v>277</v>
      </c>
      <c r="C84" s="207"/>
      <c r="D84" s="88"/>
      <c r="E84" s="259"/>
      <c r="F84" s="947" t="s">
        <v>740</v>
      </c>
      <c r="G84" s="947"/>
      <c r="H84" s="947"/>
      <c r="I84" s="947"/>
      <c r="J84" s="947"/>
      <c r="K84" s="947"/>
      <c r="L84" s="947"/>
      <c r="M84" s="947"/>
      <c r="N84" s="947"/>
      <c r="O84" s="947"/>
      <c r="P84" s="947"/>
      <c r="Q84" s="947"/>
      <c r="R84" s="947"/>
      <c r="S84" s="947"/>
      <c r="T84" s="836">
        <f>ROR!F15</f>
        <v>7.2900000000000006E-2</v>
      </c>
      <c r="U84" s="836">
        <f>ROR!F15</f>
        <v>7.2900000000000006E-2</v>
      </c>
      <c r="W84" s="639"/>
    </row>
    <row r="85" spans="1:23" s="197" customFormat="1" ht="15.75" customHeight="1">
      <c r="A85" s="198">
        <v>51</v>
      </c>
      <c r="B85" s="206" t="s">
        <v>291</v>
      </c>
      <c r="C85" s="768"/>
      <c r="D85" s="88"/>
      <c r="E85" s="248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477">
        <f>T84*T79</f>
        <v>95423.548500000004</v>
      </c>
      <c r="U85" s="477">
        <f>U84*U79</f>
        <v>95928.453900000008</v>
      </c>
    </row>
    <row r="86" spans="1:23" s="197" customFormat="1" ht="15.75" customHeight="1">
      <c r="A86" s="198">
        <v>52</v>
      </c>
      <c r="B86" s="206" t="s">
        <v>280</v>
      </c>
      <c r="C86" s="207"/>
      <c r="D86" s="87"/>
      <c r="E86" s="248"/>
      <c r="F86" s="947"/>
      <c r="G86" s="947"/>
      <c r="H86" s="947"/>
      <c r="I86" s="947"/>
      <c r="J86" s="947"/>
      <c r="K86" s="947"/>
      <c r="L86" s="947"/>
      <c r="M86" s="947"/>
      <c r="N86" s="947"/>
      <c r="O86" s="947"/>
      <c r="P86" s="947"/>
      <c r="Q86" s="947"/>
      <c r="R86" s="947"/>
      <c r="S86" s="947"/>
      <c r="T86" s="477">
        <f>T85-T54</f>
        <v>-15363.893139339896</v>
      </c>
      <c r="U86" s="477">
        <f>U85-U54</f>
        <v>-14923.953619339896</v>
      </c>
    </row>
    <row r="87" spans="1:23" s="197" customFormat="1" ht="15.75" customHeight="1">
      <c r="A87" s="198">
        <v>53</v>
      </c>
      <c r="B87" s="206" t="s">
        <v>95</v>
      </c>
      <c r="C87" s="207"/>
      <c r="D87" s="87"/>
      <c r="E87" s="556"/>
      <c r="F87" s="947"/>
      <c r="G87" s="947"/>
      <c r="H87" s="947"/>
      <c r="I87" s="947"/>
      <c r="J87" s="947"/>
      <c r="K87" s="947"/>
      <c r="L87" s="947"/>
      <c r="M87" s="947"/>
      <c r="N87" s="947"/>
      <c r="O87" s="947"/>
      <c r="P87" s="947"/>
      <c r="Q87" s="947"/>
      <c r="R87" s="947"/>
      <c r="S87" s="947"/>
      <c r="T87" s="555">
        <f>ROR!F39</f>
        <v>0.62017999999999995</v>
      </c>
      <c r="U87" s="555">
        <f>ROR!F39</f>
        <v>0.62017999999999995</v>
      </c>
    </row>
    <row r="88" spans="1:23" s="197" customFormat="1" ht="15.75" customHeight="1">
      <c r="A88" s="198">
        <v>54</v>
      </c>
      <c r="B88" s="206" t="s">
        <v>49</v>
      </c>
      <c r="C88" s="207"/>
      <c r="D88" s="87"/>
      <c r="E88" s="248"/>
      <c r="F88" s="947"/>
      <c r="G88" s="947"/>
      <c r="H88" s="947"/>
      <c r="I88" s="947"/>
      <c r="J88" s="947"/>
      <c r="K88" s="947"/>
      <c r="L88" s="947"/>
      <c r="M88" s="947"/>
      <c r="N88" s="947"/>
      <c r="O88" s="947"/>
      <c r="P88" s="947"/>
      <c r="Q88" s="947"/>
      <c r="R88" s="947"/>
      <c r="S88" s="947"/>
      <c r="T88" s="477">
        <f>T86/T87</f>
        <v>-24773.280562642936</v>
      </c>
      <c r="U88" s="477">
        <f>U86/U87</f>
        <v>-24063.906638943368</v>
      </c>
    </row>
    <row r="89" spans="1:23" s="47" customFormat="1" ht="15.75" customHeight="1" thickBot="1">
      <c r="A89" s="198">
        <v>55</v>
      </c>
      <c r="B89" s="206" t="s">
        <v>116</v>
      </c>
      <c r="C89" s="207"/>
      <c r="D89" s="87"/>
      <c r="E89" s="285"/>
      <c r="F89" s="947"/>
      <c r="G89" s="947"/>
      <c r="H89" s="947"/>
      <c r="I89" s="947"/>
      <c r="J89" s="947"/>
      <c r="K89" s="947"/>
      <c r="L89" s="947"/>
      <c r="M89" s="947"/>
      <c r="N89" s="947"/>
      <c r="O89" s="947"/>
      <c r="P89" s="947"/>
      <c r="Q89" s="947"/>
      <c r="R89" s="947"/>
      <c r="S89" s="947"/>
      <c r="T89" s="337">
        <f>'Weighted Revenue Growth'!J25+1</f>
        <v>1.0131154664126296</v>
      </c>
      <c r="U89" s="337">
        <f>'Weighted Revenue Growth'!J25+1</f>
        <v>1.0131154664126296</v>
      </c>
      <c r="V89" s="515"/>
    </row>
    <row r="90" spans="1:23" s="47" customFormat="1" ht="18" customHeight="1" thickBot="1">
      <c r="A90" s="198">
        <v>56</v>
      </c>
      <c r="B90" s="288" t="s">
        <v>281</v>
      </c>
      <c r="C90" s="289"/>
      <c r="D90" s="154"/>
      <c r="E90" s="286"/>
      <c r="F90" s="948"/>
      <c r="G90" s="948"/>
      <c r="H90" s="948"/>
      <c r="I90" s="948"/>
      <c r="J90" s="948"/>
      <c r="K90" s="948"/>
      <c r="L90" s="948"/>
      <c r="M90" s="948"/>
      <c r="N90" s="948"/>
      <c r="O90" s="948"/>
      <c r="P90" s="948"/>
      <c r="Q90" s="948"/>
      <c r="R90" s="948"/>
      <c r="S90" s="948"/>
      <c r="T90" s="823">
        <f>T88/T89</f>
        <v>-24452.573654179196</v>
      </c>
      <c r="U90" s="884">
        <f>U88/U89</f>
        <v>-23752.383056742747</v>
      </c>
    </row>
    <row r="91" spans="1:23" ht="3.75" customHeight="1">
      <c r="B91" s="41"/>
      <c r="C91" s="41"/>
      <c r="D91" s="41"/>
      <c r="E91" s="41"/>
      <c r="F91" s="71"/>
      <c r="G91" s="71"/>
      <c r="H91" s="71"/>
      <c r="I91" s="92"/>
      <c r="J91" s="92"/>
      <c r="K91" s="71"/>
      <c r="L91" s="71"/>
      <c r="M91" s="71"/>
      <c r="N91" s="51"/>
      <c r="O91" s="51"/>
      <c r="Q91" s="51"/>
      <c r="R91" s="51"/>
      <c r="S91" s="51"/>
      <c r="T91" s="51"/>
    </row>
    <row r="92" spans="1:23" ht="11.1" customHeight="1">
      <c r="B92" s="48"/>
      <c r="C92" s="48"/>
      <c r="E92" s="48"/>
      <c r="F92" s="48"/>
      <c r="G92" s="48"/>
      <c r="H92" s="48"/>
      <c r="I92" s="92"/>
      <c r="J92" s="92"/>
      <c r="K92" s="48"/>
      <c r="L92" s="48"/>
      <c r="M92" s="48"/>
      <c r="N92" s="51"/>
      <c r="O92" s="51"/>
      <c r="Q92" s="51"/>
      <c r="R92" s="51"/>
      <c r="S92" s="51"/>
      <c r="T92" s="51"/>
    </row>
    <row r="93" spans="1:23" ht="15.6" customHeight="1">
      <c r="C93" s="51"/>
      <c r="E93" s="48"/>
      <c r="F93" s="51"/>
      <c r="G93" s="51"/>
      <c r="H93" s="51"/>
      <c r="I93" s="259"/>
      <c r="J93" s="89"/>
      <c r="K93" s="48"/>
      <c r="L93" s="48"/>
      <c r="M93" s="48"/>
      <c r="N93" s="51"/>
      <c r="O93" s="51"/>
      <c r="Q93" s="51"/>
      <c r="R93" s="51"/>
      <c r="S93" s="51"/>
      <c r="T93" s="282"/>
    </row>
    <row r="94" spans="1:23" ht="11.1" customHeight="1">
      <c r="C94" s="51"/>
      <c r="E94" s="48"/>
      <c r="F94" s="51"/>
      <c r="G94" s="51"/>
      <c r="H94" s="51"/>
      <c r="I94" s="89"/>
      <c r="J94" s="89"/>
      <c r="K94" s="48"/>
      <c r="L94" s="48"/>
      <c r="M94" s="48"/>
      <c r="N94" s="51"/>
      <c r="O94" s="51"/>
      <c r="Q94" s="51"/>
      <c r="R94" s="51"/>
      <c r="S94" s="51"/>
      <c r="T94" s="51"/>
    </row>
    <row r="95" spans="1:23" ht="15.75">
      <c r="C95" s="51"/>
      <c r="E95" s="48"/>
      <c r="F95" s="51"/>
      <c r="G95" s="51"/>
      <c r="H95" s="51"/>
      <c r="I95" s="259"/>
      <c r="J95" s="89"/>
      <c r="K95" s="48"/>
      <c r="L95" s="48"/>
      <c r="M95" s="48"/>
      <c r="N95" s="51"/>
      <c r="O95" s="51"/>
      <c r="Q95" s="51"/>
      <c r="R95" s="51"/>
      <c r="S95" s="51"/>
      <c r="T95" s="51"/>
    </row>
    <row r="96" spans="1:23" ht="15.75">
      <c r="C96" s="51"/>
      <c r="E96" s="48"/>
      <c r="F96" s="51"/>
      <c r="G96" s="51"/>
      <c r="H96" s="51"/>
      <c r="I96" s="476"/>
      <c r="J96" s="89"/>
      <c r="K96" s="48"/>
      <c r="L96" s="48"/>
      <c r="M96" s="48"/>
      <c r="N96" s="51"/>
      <c r="O96" s="51"/>
      <c r="Q96" s="51"/>
      <c r="R96" s="51"/>
      <c r="S96" s="51"/>
      <c r="T96" s="51"/>
    </row>
    <row r="97" spans="3:20" ht="15.75">
      <c r="C97" s="51"/>
      <c r="E97" s="48"/>
      <c r="F97" s="51"/>
      <c r="G97" s="51"/>
      <c r="H97" s="51"/>
      <c r="I97" s="476"/>
      <c r="J97" s="89"/>
      <c r="K97" s="48"/>
      <c r="L97" s="48"/>
      <c r="M97" s="48"/>
      <c r="N97" s="51"/>
      <c r="O97" s="51"/>
      <c r="Q97" s="51"/>
      <c r="R97" s="51"/>
      <c r="S97" s="51"/>
      <c r="T97" s="51"/>
    </row>
    <row r="98" spans="3:20" ht="15.75">
      <c r="C98" s="51"/>
      <c r="E98" s="48"/>
      <c r="F98" s="51"/>
      <c r="G98" s="51"/>
      <c r="H98" s="51"/>
      <c r="I98" s="283"/>
      <c r="J98" s="89"/>
      <c r="K98" s="48"/>
      <c r="L98" s="48"/>
      <c r="M98" s="48"/>
      <c r="N98" s="51"/>
      <c r="O98" s="51"/>
      <c r="Q98" s="51"/>
      <c r="R98" s="51"/>
      <c r="S98" s="51"/>
      <c r="T98" s="51"/>
    </row>
    <row r="99" spans="3:20" ht="15.75">
      <c r="C99" s="51"/>
      <c r="E99" s="48"/>
      <c r="F99" s="51"/>
      <c r="G99" s="51"/>
      <c r="H99" s="51"/>
      <c r="I99" s="476"/>
      <c r="J99" s="89"/>
      <c r="K99" s="48"/>
      <c r="L99" s="48"/>
      <c r="M99" s="48"/>
      <c r="N99" s="51"/>
      <c r="O99" s="51"/>
      <c r="Q99" s="51"/>
      <c r="R99" s="51"/>
      <c r="S99" s="51"/>
      <c r="T99" s="51"/>
    </row>
    <row r="100" spans="3:20" ht="11.1" customHeight="1">
      <c r="C100" s="51"/>
      <c r="E100" s="48"/>
      <c r="F100" s="51"/>
      <c r="G100" s="51"/>
      <c r="H100" s="51"/>
      <c r="I100" s="89"/>
      <c r="J100" s="89"/>
      <c r="K100" s="48"/>
      <c r="L100" s="48"/>
      <c r="M100" s="48"/>
      <c r="N100" s="51"/>
      <c r="O100" s="51"/>
      <c r="Q100" s="51"/>
      <c r="R100" s="51"/>
      <c r="S100" s="51"/>
      <c r="T100" s="51"/>
    </row>
    <row r="101" spans="3:20" ht="11.1" customHeight="1">
      <c r="C101" s="51"/>
      <c r="E101" s="48"/>
      <c r="F101" s="51"/>
      <c r="G101" s="51"/>
      <c r="H101" s="51"/>
      <c r="I101" s="89"/>
      <c r="J101" s="89"/>
      <c r="K101" s="48"/>
      <c r="L101" s="48"/>
      <c r="M101" s="48"/>
      <c r="N101" s="51"/>
      <c r="O101" s="51"/>
      <c r="Q101" s="51"/>
      <c r="R101" s="51"/>
      <c r="S101" s="51"/>
      <c r="T101" s="51"/>
    </row>
    <row r="102" spans="3:20" ht="11.1" customHeight="1">
      <c r="C102" s="51"/>
      <c r="E102" s="48"/>
      <c r="F102" s="51"/>
      <c r="G102" s="51"/>
      <c r="H102" s="51"/>
      <c r="I102" s="89"/>
      <c r="J102" s="89"/>
      <c r="K102" s="48"/>
      <c r="L102" s="48"/>
      <c r="M102" s="48"/>
      <c r="N102" s="51"/>
      <c r="O102" s="51"/>
      <c r="Q102" s="51"/>
      <c r="R102" s="51"/>
      <c r="S102" s="51"/>
      <c r="T102" s="51"/>
    </row>
    <row r="103" spans="3:20" ht="11.1" customHeight="1">
      <c r="C103" s="51"/>
      <c r="E103" s="48"/>
      <c r="F103" s="51"/>
      <c r="G103" s="51"/>
      <c r="H103" s="51"/>
      <c r="I103" s="89"/>
      <c r="J103" s="89"/>
      <c r="K103" s="48"/>
      <c r="L103" s="48"/>
      <c r="M103" s="48"/>
      <c r="N103" s="51"/>
      <c r="O103" s="51"/>
      <c r="Q103" s="51"/>
      <c r="R103" s="51"/>
      <c r="S103" s="51"/>
      <c r="T103" s="51"/>
    </row>
    <row r="104" spans="3:20" ht="11.1" customHeight="1">
      <c r="C104" s="51"/>
      <c r="E104" s="48"/>
      <c r="G104" s="184"/>
      <c r="H104" s="184"/>
      <c r="I104" s="49"/>
      <c r="J104" s="49"/>
      <c r="K104" s="50"/>
      <c r="L104" s="50"/>
      <c r="M104" s="50"/>
      <c r="N104" s="51"/>
      <c r="O104" s="51"/>
      <c r="Q104" s="51"/>
      <c r="R104" s="51"/>
      <c r="S104" s="51"/>
      <c r="T104" s="51"/>
    </row>
    <row r="105" spans="3:20" ht="11.1" customHeight="1">
      <c r="C105" s="51"/>
      <c r="E105" s="48"/>
      <c r="G105" s="184"/>
      <c r="H105" s="184"/>
      <c r="I105" s="49"/>
      <c r="J105" s="49"/>
      <c r="K105" s="50"/>
      <c r="L105" s="50"/>
      <c r="M105" s="50"/>
      <c r="N105" s="51"/>
      <c r="O105" s="51"/>
      <c r="Q105" s="51"/>
      <c r="R105" s="51"/>
      <c r="S105" s="51"/>
      <c r="T105" s="51"/>
    </row>
    <row r="106" spans="3:20" ht="11.1" customHeight="1">
      <c r="C106" s="51"/>
      <c r="E106" s="48"/>
      <c r="G106" s="184"/>
      <c r="H106" s="184"/>
      <c r="I106" s="49"/>
      <c r="J106" s="49"/>
      <c r="K106" s="50"/>
      <c r="L106" s="50"/>
      <c r="M106" s="50"/>
      <c r="N106" s="51"/>
      <c r="O106" s="51"/>
      <c r="Q106" s="51"/>
      <c r="R106" s="51"/>
      <c r="S106" s="51"/>
      <c r="T106" s="51"/>
    </row>
    <row r="107" spans="3:20" ht="11.1" customHeight="1">
      <c r="C107" s="51"/>
      <c r="E107" s="48"/>
      <c r="G107" s="184"/>
      <c r="H107" s="184"/>
      <c r="I107" s="49"/>
      <c r="J107" s="49"/>
      <c r="K107" s="50"/>
      <c r="L107" s="50"/>
      <c r="M107" s="50"/>
      <c r="N107" s="51"/>
      <c r="O107" s="51"/>
      <c r="Q107" s="51"/>
      <c r="R107" s="51"/>
      <c r="S107" s="51"/>
      <c r="T107" s="51"/>
    </row>
    <row r="108" spans="3:20" ht="11.1" customHeight="1">
      <c r="C108" s="51"/>
      <c r="E108" s="48"/>
      <c r="G108" s="184"/>
      <c r="H108" s="184"/>
      <c r="I108" s="49"/>
      <c r="J108" s="49"/>
      <c r="K108" s="50"/>
      <c r="L108" s="50"/>
      <c r="M108" s="50"/>
      <c r="N108" s="51"/>
      <c r="O108" s="51"/>
      <c r="Q108" s="51"/>
      <c r="R108" s="51"/>
      <c r="S108" s="51"/>
      <c r="T108" s="51"/>
    </row>
    <row r="109" spans="3:20" ht="11.1" customHeight="1">
      <c r="C109" s="51"/>
      <c r="E109" s="48"/>
      <c r="G109" s="184"/>
      <c r="H109" s="184"/>
      <c r="I109" s="49"/>
      <c r="J109" s="49"/>
      <c r="K109" s="50"/>
      <c r="L109" s="50"/>
      <c r="M109" s="50"/>
      <c r="N109" s="51"/>
      <c r="O109" s="51"/>
      <c r="Q109" s="51"/>
      <c r="R109" s="51"/>
      <c r="S109" s="51"/>
      <c r="T109" s="51"/>
    </row>
    <row r="110" spans="3:20" ht="11.1" customHeight="1">
      <c r="C110" s="51"/>
      <c r="E110" s="48"/>
      <c r="G110" s="184"/>
      <c r="H110" s="184"/>
      <c r="I110" s="49"/>
      <c r="J110" s="49"/>
      <c r="K110" s="50"/>
      <c r="L110" s="50"/>
      <c r="M110" s="50"/>
      <c r="N110" s="51"/>
      <c r="O110" s="51"/>
      <c r="Q110" s="51"/>
      <c r="R110" s="51"/>
      <c r="S110" s="51"/>
      <c r="T110" s="51"/>
    </row>
    <row r="111" spans="3:20" ht="11.1" customHeight="1">
      <c r="C111" s="51"/>
      <c r="E111" s="48"/>
      <c r="G111" s="184"/>
      <c r="H111" s="184"/>
      <c r="I111" s="49"/>
      <c r="J111" s="49"/>
      <c r="K111" s="50"/>
      <c r="L111" s="50"/>
      <c r="M111" s="50"/>
      <c r="N111" s="51"/>
      <c r="O111" s="51"/>
      <c r="Q111" s="51"/>
      <c r="R111" s="51"/>
      <c r="S111" s="51"/>
      <c r="T111" s="51"/>
    </row>
    <row r="112" spans="3:20" ht="11.1" customHeight="1">
      <c r="C112" s="51"/>
      <c r="E112" s="48"/>
      <c r="G112" s="184"/>
      <c r="H112" s="184"/>
      <c r="I112" s="49"/>
      <c r="J112" s="49"/>
      <c r="K112" s="50"/>
      <c r="L112" s="50"/>
      <c r="M112" s="50"/>
      <c r="N112" s="51"/>
      <c r="O112" s="51"/>
      <c r="Q112" s="51"/>
      <c r="R112" s="51"/>
      <c r="S112" s="51"/>
      <c r="T112" s="51"/>
    </row>
    <row r="113" spans="3:20" ht="11.1" customHeight="1">
      <c r="C113" s="51"/>
      <c r="E113" s="48"/>
      <c r="G113" s="184"/>
      <c r="H113" s="184"/>
      <c r="I113" s="49"/>
      <c r="J113" s="49"/>
      <c r="K113" s="50"/>
      <c r="L113" s="50"/>
      <c r="M113" s="50"/>
      <c r="N113" s="51"/>
      <c r="O113" s="51"/>
      <c r="Q113" s="51"/>
      <c r="R113" s="51"/>
      <c r="S113" s="51"/>
      <c r="T113" s="51"/>
    </row>
    <row r="114" spans="3:20" ht="11.1" customHeight="1">
      <c r="C114" s="51"/>
      <c r="E114" s="48"/>
      <c r="G114" s="184"/>
      <c r="H114" s="184"/>
      <c r="I114" s="49"/>
      <c r="J114" s="49"/>
      <c r="K114" s="50"/>
      <c r="L114" s="50"/>
      <c r="M114" s="50"/>
      <c r="N114" s="51"/>
      <c r="O114" s="51"/>
      <c r="Q114" s="51"/>
      <c r="R114" s="51"/>
      <c r="S114" s="51"/>
      <c r="T114" s="51"/>
    </row>
    <row r="115" spans="3:20" ht="11.1" customHeight="1">
      <c r="C115" s="51"/>
      <c r="E115" s="48"/>
      <c r="G115" s="184"/>
      <c r="H115" s="184"/>
      <c r="I115" s="49"/>
      <c r="J115" s="49"/>
      <c r="K115" s="50"/>
      <c r="L115" s="50"/>
      <c r="M115" s="50"/>
      <c r="N115" s="51"/>
      <c r="O115" s="51"/>
      <c r="Q115" s="51"/>
      <c r="R115" s="51"/>
      <c r="S115" s="51"/>
      <c r="T115" s="51"/>
    </row>
    <row r="116" spans="3:20" ht="11.1" customHeight="1">
      <c r="C116" s="51"/>
      <c r="E116" s="48"/>
      <c r="G116" s="184"/>
      <c r="H116" s="184"/>
      <c r="I116" s="49"/>
      <c r="J116" s="49"/>
      <c r="K116" s="50"/>
      <c r="L116" s="50"/>
      <c r="M116" s="50"/>
      <c r="N116" s="51"/>
      <c r="O116" s="51"/>
      <c r="Q116" s="51"/>
      <c r="R116" s="51"/>
      <c r="S116" s="51"/>
      <c r="T116" s="51"/>
    </row>
    <row r="117" spans="3:20" ht="11.1" customHeight="1">
      <c r="C117" s="51"/>
      <c r="E117" s="48"/>
      <c r="G117" s="184"/>
      <c r="H117" s="184"/>
      <c r="I117" s="49"/>
      <c r="J117" s="49"/>
      <c r="K117" s="50"/>
      <c r="L117" s="50"/>
      <c r="M117" s="50"/>
      <c r="N117" s="51"/>
      <c r="O117" s="51"/>
      <c r="Q117" s="51"/>
      <c r="R117" s="51"/>
      <c r="S117" s="51"/>
      <c r="T117" s="51"/>
    </row>
    <row r="118" spans="3:20" ht="11.1" customHeight="1">
      <c r="C118" s="51"/>
      <c r="E118" s="48"/>
      <c r="G118" s="184"/>
      <c r="H118" s="184"/>
      <c r="I118" s="49"/>
      <c r="J118" s="49"/>
      <c r="K118" s="50"/>
      <c r="L118" s="50"/>
      <c r="M118" s="50"/>
      <c r="N118" s="51"/>
      <c r="O118" s="51"/>
      <c r="Q118" s="51"/>
      <c r="R118" s="51"/>
      <c r="S118" s="51"/>
      <c r="T118" s="51"/>
    </row>
    <row r="119" spans="3:20" ht="11.1" customHeight="1">
      <c r="C119" s="51"/>
      <c r="E119" s="48"/>
      <c r="G119" s="184"/>
      <c r="H119" s="184"/>
      <c r="I119" s="49"/>
      <c r="J119" s="49"/>
      <c r="K119" s="50"/>
      <c r="L119" s="50"/>
      <c r="M119" s="50"/>
      <c r="N119" s="51"/>
      <c r="O119" s="51"/>
      <c r="Q119" s="51"/>
      <c r="R119" s="51"/>
      <c r="S119" s="51"/>
      <c r="T119" s="51"/>
    </row>
    <row r="120" spans="3:20" ht="11.1" customHeight="1">
      <c r="C120" s="51"/>
      <c r="E120" s="48"/>
      <c r="G120" s="184"/>
      <c r="H120" s="184"/>
      <c r="I120" s="49"/>
      <c r="J120" s="49"/>
      <c r="K120" s="50"/>
      <c r="L120" s="50"/>
      <c r="M120" s="50"/>
      <c r="N120" s="51"/>
      <c r="O120" s="51"/>
      <c r="Q120" s="51"/>
      <c r="R120" s="51"/>
      <c r="S120" s="51"/>
      <c r="T120" s="51"/>
    </row>
    <row r="121" spans="3:20" ht="11.1" customHeight="1">
      <c r="C121" s="51"/>
      <c r="E121" s="48"/>
      <c r="G121" s="184"/>
      <c r="H121" s="184"/>
      <c r="I121" s="49"/>
      <c r="J121" s="49"/>
      <c r="K121" s="50"/>
      <c r="L121" s="50"/>
      <c r="M121" s="50"/>
      <c r="N121" s="51"/>
      <c r="O121" s="51"/>
      <c r="Q121" s="51"/>
      <c r="R121" s="51"/>
      <c r="S121" s="51"/>
      <c r="T121" s="51"/>
    </row>
    <row r="122" spans="3:20" ht="11.1" customHeight="1">
      <c r="C122" s="51"/>
      <c r="E122" s="48"/>
      <c r="G122" s="184"/>
      <c r="H122" s="184"/>
      <c r="I122" s="49"/>
      <c r="J122" s="49"/>
      <c r="K122" s="50"/>
      <c r="L122" s="50"/>
      <c r="M122" s="50"/>
      <c r="N122" s="51"/>
      <c r="O122" s="51"/>
      <c r="Q122" s="51"/>
      <c r="R122" s="51"/>
      <c r="S122" s="51"/>
      <c r="T122" s="51"/>
    </row>
    <row r="123" spans="3:20" ht="11.1" customHeight="1">
      <c r="C123" s="51"/>
      <c r="E123" s="48"/>
      <c r="G123" s="184"/>
      <c r="H123" s="184"/>
      <c r="I123" s="49"/>
      <c r="J123" s="49"/>
      <c r="K123" s="50"/>
      <c r="L123" s="50"/>
      <c r="M123" s="50"/>
      <c r="N123" s="51"/>
      <c r="O123" s="51"/>
      <c r="Q123" s="51"/>
      <c r="R123" s="51"/>
      <c r="S123" s="51"/>
      <c r="T123" s="51"/>
    </row>
    <row r="124" spans="3:20" ht="11.1" customHeight="1">
      <c r="C124" s="51"/>
      <c r="E124" s="48"/>
      <c r="G124" s="184"/>
      <c r="H124" s="184"/>
      <c r="I124" s="49"/>
      <c r="J124" s="49"/>
      <c r="K124" s="50"/>
      <c r="L124" s="50"/>
      <c r="M124" s="50"/>
      <c r="N124" s="51"/>
      <c r="O124" s="51"/>
      <c r="Q124" s="51"/>
      <c r="R124" s="51"/>
      <c r="S124" s="51"/>
      <c r="T124" s="51"/>
    </row>
    <row r="125" spans="3:20" ht="11.1" customHeight="1">
      <c r="C125" s="51"/>
      <c r="E125" s="48"/>
      <c r="G125" s="184"/>
      <c r="H125" s="184"/>
      <c r="I125" s="49"/>
      <c r="J125" s="49"/>
      <c r="K125" s="50"/>
      <c r="L125" s="50"/>
      <c r="M125" s="50"/>
      <c r="N125" s="51"/>
      <c r="O125" s="51"/>
      <c r="Q125" s="51"/>
      <c r="R125" s="51"/>
      <c r="S125" s="51"/>
      <c r="T125" s="51"/>
    </row>
    <row r="126" spans="3:20" ht="11.1" customHeight="1">
      <c r="C126" s="51"/>
      <c r="E126" s="48"/>
      <c r="G126" s="184"/>
      <c r="H126" s="184"/>
      <c r="I126" s="49"/>
      <c r="J126" s="49"/>
      <c r="K126" s="50"/>
      <c r="L126" s="50"/>
      <c r="M126" s="50"/>
      <c r="N126" s="51"/>
      <c r="O126" s="51"/>
      <c r="Q126" s="51"/>
      <c r="R126" s="51"/>
      <c r="S126" s="51"/>
      <c r="T126" s="51"/>
    </row>
    <row r="127" spans="3:20" ht="11.1" customHeight="1">
      <c r="C127" s="51"/>
      <c r="E127" s="48"/>
      <c r="G127" s="184"/>
      <c r="H127" s="184"/>
      <c r="I127" s="49"/>
      <c r="J127" s="49"/>
      <c r="K127" s="50"/>
      <c r="L127" s="50"/>
      <c r="M127" s="50"/>
      <c r="N127" s="51"/>
      <c r="O127" s="51"/>
      <c r="Q127" s="51"/>
      <c r="R127" s="51"/>
      <c r="S127" s="51"/>
      <c r="T127" s="51"/>
    </row>
    <row r="128" spans="3:20" ht="11.1" customHeight="1">
      <c r="C128" s="51"/>
      <c r="E128" s="48"/>
      <c r="G128" s="184"/>
      <c r="H128" s="184"/>
      <c r="I128" s="49"/>
      <c r="J128" s="49"/>
      <c r="K128" s="50"/>
      <c r="L128" s="50"/>
      <c r="M128" s="50"/>
      <c r="N128" s="51"/>
      <c r="O128" s="51"/>
      <c r="Q128" s="51"/>
      <c r="R128" s="51"/>
      <c r="S128" s="51"/>
      <c r="T128" s="51"/>
    </row>
    <row r="129" spans="3:20" ht="11.1" customHeight="1">
      <c r="C129" s="51"/>
      <c r="E129" s="48"/>
      <c r="G129" s="184"/>
      <c r="H129" s="184"/>
      <c r="I129" s="49"/>
      <c r="J129" s="49"/>
      <c r="K129" s="50"/>
      <c r="L129" s="50"/>
      <c r="M129" s="50"/>
      <c r="N129" s="51"/>
      <c r="O129" s="51"/>
      <c r="Q129" s="51"/>
      <c r="R129" s="51"/>
      <c r="S129" s="51"/>
      <c r="T129" s="51"/>
    </row>
    <row r="130" spans="3:20" ht="11.1" customHeight="1">
      <c r="C130" s="51"/>
      <c r="E130" s="48"/>
      <c r="G130" s="184"/>
      <c r="H130" s="184"/>
      <c r="I130" s="49"/>
      <c r="J130" s="49"/>
      <c r="K130" s="50"/>
      <c r="L130" s="50"/>
      <c r="M130" s="50"/>
      <c r="N130" s="51"/>
      <c r="O130" s="51"/>
      <c r="Q130" s="51"/>
      <c r="R130" s="51"/>
      <c r="S130" s="51"/>
      <c r="T130" s="51"/>
    </row>
    <row r="131" spans="3:20" ht="11.1" customHeight="1">
      <c r="C131" s="51"/>
      <c r="E131" s="48"/>
      <c r="G131" s="184"/>
      <c r="H131" s="184"/>
      <c r="I131" s="49"/>
      <c r="J131" s="49"/>
      <c r="K131" s="50"/>
      <c r="L131" s="50"/>
      <c r="M131" s="50"/>
      <c r="N131" s="51"/>
      <c r="O131" s="51"/>
      <c r="Q131" s="51"/>
      <c r="R131" s="51"/>
      <c r="S131" s="51"/>
      <c r="T131" s="51"/>
    </row>
    <row r="132" spans="3:20" ht="11.1" customHeight="1">
      <c r="C132" s="51"/>
      <c r="E132" s="48"/>
      <c r="G132" s="184"/>
      <c r="H132" s="184"/>
      <c r="I132" s="49"/>
      <c r="J132" s="49"/>
      <c r="K132" s="50"/>
      <c r="L132" s="50"/>
      <c r="M132" s="50"/>
      <c r="N132" s="51"/>
      <c r="O132" s="51"/>
      <c r="Q132" s="51"/>
      <c r="R132" s="51"/>
      <c r="S132" s="51"/>
      <c r="T132" s="51"/>
    </row>
    <row r="133" spans="3:20" ht="11.1" customHeight="1">
      <c r="C133" s="51"/>
      <c r="E133" s="48"/>
      <c r="G133" s="184"/>
      <c r="H133" s="184"/>
      <c r="I133" s="49"/>
      <c r="J133" s="49"/>
      <c r="K133" s="50"/>
      <c r="L133" s="50"/>
      <c r="M133" s="50"/>
      <c r="N133" s="51"/>
      <c r="O133" s="51"/>
      <c r="Q133" s="51"/>
      <c r="R133" s="51"/>
      <c r="S133" s="51"/>
      <c r="T133" s="51"/>
    </row>
    <row r="134" spans="3:20" ht="11.1" customHeight="1">
      <c r="C134" s="51"/>
      <c r="E134" s="48"/>
      <c r="G134" s="184"/>
      <c r="H134" s="184"/>
      <c r="I134" s="49"/>
      <c r="J134" s="49"/>
      <c r="K134" s="50"/>
      <c r="L134" s="50"/>
      <c r="M134" s="50"/>
      <c r="N134" s="51"/>
      <c r="O134" s="51"/>
      <c r="Q134" s="51"/>
      <c r="R134" s="51"/>
      <c r="S134" s="51"/>
      <c r="T134" s="51"/>
    </row>
    <row r="135" spans="3:20" ht="11.1" customHeight="1">
      <c r="C135" s="51"/>
      <c r="E135" s="48"/>
      <c r="G135" s="184"/>
      <c r="H135" s="184"/>
      <c r="I135" s="49"/>
      <c r="J135" s="49"/>
      <c r="K135" s="50"/>
      <c r="L135" s="50"/>
      <c r="M135" s="50"/>
      <c r="N135" s="51"/>
      <c r="O135" s="51"/>
      <c r="Q135" s="51"/>
      <c r="R135" s="51"/>
      <c r="S135" s="51"/>
      <c r="T135" s="51"/>
    </row>
    <row r="136" spans="3:20" ht="11.1" customHeight="1">
      <c r="C136" s="51"/>
      <c r="E136" s="48"/>
      <c r="G136" s="184"/>
      <c r="H136" s="184"/>
      <c r="I136" s="49"/>
      <c r="J136" s="49"/>
      <c r="K136" s="50"/>
      <c r="L136" s="50"/>
      <c r="M136" s="50"/>
      <c r="N136" s="51"/>
      <c r="O136" s="51"/>
      <c r="Q136" s="51"/>
      <c r="R136" s="51"/>
      <c r="S136" s="51"/>
      <c r="T136" s="51"/>
    </row>
    <row r="137" spans="3:20" ht="11.1" customHeight="1">
      <c r="C137" s="51"/>
      <c r="E137" s="48"/>
      <c r="G137" s="184"/>
      <c r="H137" s="184"/>
      <c r="I137" s="49"/>
      <c r="J137" s="49"/>
      <c r="K137" s="50"/>
      <c r="L137" s="50"/>
      <c r="M137" s="50"/>
      <c r="N137" s="51"/>
      <c r="O137" s="51"/>
      <c r="Q137" s="51"/>
      <c r="R137" s="51"/>
      <c r="S137" s="51"/>
      <c r="T137" s="51"/>
    </row>
    <row r="138" spans="3:20" ht="11.1" customHeight="1">
      <c r="C138" s="51"/>
      <c r="E138" s="48"/>
      <c r="G138" s="184"/>
      <c r="H138" s="184"/>
      <c r="I138" s="49"/>
      <c r="J138" s="49"/>
      <c r="K138" s="50"/>
      <c r="L138" s="50"/>
      <c r="M138" s="50"/>
      <c r="N138" s="51"/>
      <c r="O138" s="51"/>
      <c r="Q138" s="51"/>
      <c r="R138" s="51"/>
      <c r="S138" s="51"/>
      <c r="T138" s="51"/>
    </row>
    <row r="139" spans="3:20" ht="11.1" customHeight="1">
      <c r="C139" s="51"/>
      <c r="E139" s="48"/>
      <c r="G139" s="184"/>
      <c r="H139" s="184"/>
      <c r="I139" s="49"/>
      <c r="J139" s="49"/>
      <c r="K139" s="50"/>
      <c r="L139" s="50"/>
      <c r="M139" s="50"/>
      <c r="N139" s="51"/>
      <c r="O139" s="51"/>
      <c r="Q139" s="51"/>
      <c r="R139" s="51"/>
      <c r="S139" s="51"/>
      <c r="T139" s="51"/>
    </row>
    <row r="140" spans="3:20" ht="11.1" customHeight="1">
      <c r="C140" s="51"/>
      <c r="E140" s="48"/>
      <c r="G140" s="184"/>
      <c r="H140" s="184"/>
      <c r="I140" s="49"/>
      <c r="J140" s="49"/>
      <c r="K140" s="50"/>
      <c r="L140" s="50"/>
      <c r="M140" s="50"/>
      <c r="N140" s="51"/>
      <c r="O140" s="51"/>
      <c r="Q140" s="51"/>
      <c r="R140" s="51"/>
      <c r="S140" s="51"/>
      <c r="T140" s="51"/>
    </row>
    <row r="141" spans="3:20" ht="11.1" customHeight="1">
      <c r="C141" s="51"/>
      <c r="E141" s="48"/>
      <c r="G141" s="184"/>
      <c r="H141" s="184"/>
      <c r="I141" s="49"/>
      <c r="J141" s="49"/>
      <c r="K141" s="50"/>
      <c r="L141" s="50"/>
      <c r="M141" s="50"/>
      <c r="N141" s="51"/>
      <c r="O141" s="51"/>
      <c r="Q141" s="51"/>
      <c r="R141" s="51"/>
      <c r="S141" s="51"/>
      <c r="T141" s="51"/>
    </row>
    <row r="142" spans="3:20" ht="11.1" customHeight="1">
      <c r="C142" s="51"/>
      <c r="E142" s="48"/>
      <c r="G142" s="184"/>
      <c r="H142" s="184"/>
      <c r="I142" s="49"/>
      <c r="J142" s="49"/>
      <c r="K142" s="50"/>
      <c r="L142" s="50"/>
      <c r="M142" s="50"/>
      <c r="N142" s="51"/>
      <c r="O142" s="51"/>
      <c r="Q142" s="51"/>
      <c r="R142" s="51"/>
      <c r="S142" s="51"/>
      <c r="T142" s="51"/>
    </row>
    <row r="143" spans="3:20" ht="11.1" customHeight="1">
      <c r="C143" s="51"/>
      <c r="E143" s="48"/>
      <c r="G143" s="184"/>
      <c r="H143" s="184"/>
      <c r="I143" s="49"/>
      <c r="J143" s="49"/>
      <c r="K143" s="50"/>
      <c r="L143" s="50"/>
      <c r="M143" s="50"/>
      <c r="N143" s="51"/>
      <c r="O143" s="51"/>
      <c r="Q143" s="51"/>
      <c r="R143" s="51"/>
      <c r="S143" s="51"/>
      <c r="T143" s="51"/>
    </row>
    <row r="144" spans="3:20" ht="11.1" customHeight="1">
      <c r="C144" s="51"/>
      <c r="E144" s="48"/>
      <c r="G144" s="184"/>
      <c r="H144" s="184"/>
      <c r="I144" s="49"/>
      <c r="J144" s="49"/>
      <c r="K144" s="50"/>
      <c r="L144" s="50"/>
      <c r="M144" s="50"/>
      <c r="N144" s="51"/>
      <c r="O144" s="51"/>
      <c r="Q144" s="51"/>
      <c r="R144" s="51"/>
      <c r="S144" s="51"/>
      <c r="T144" s="51"/>
    </row>
    <row r="145" spans="3:22" ht="11.1" customHeight="1">
      <c r="C145" s="51"/>
      <c r="E145" s="48"/>
      <c r="G145" s="184"/>
      <c r="H145" s="184"/>
      <c r="I145" s="49"/>
      <c r="J145" s="49"/>
      <c r="K145" s="50"/>
      <c r="L145" s="50"/>
      <c r="M145" s="50"/>
      <c r="N145" s="51"/>
      <c r="O145" s="51"/>
      <c r="Q145" s="51"/>
      <c r="R145" s="51"/>
      <c r="S145" s="51"/>
      <c r="T145" s="51"/>
    </row>
    <row r="146" spans="3:22" ht="11.1" customHeight="1">
      <c r="C146" s="51"/>
      <c r="E146" s="48"/>
      <c r="G146" s="184"/>
      <c r="H146" s="184"/>
      <c r="I146" s="49"/>
      <c r="J146" s="49"/>
      <c r="K146" s="50"/>
      <c r="L146" s="50"/>
      <c r="M146" s="50"/>
      <c r="N146" s="51"/>
      <c r="O146" s="51"/>
      <c r="Q146" s="51"/>
      <c r="R146" s="51"/>
      <c r="S146" s="51"/>
      <c r="T146" s="51"/>
    </row>
    <row r="147" spans="3:22" ht="11.1" customHeight="1">
      <c r="C147" s="51"/>
      <c r="E147" s="48"/>
      <c r="G147" s="184"/>
      <c r="H147" s="184"/>
      <c r="I147" s="49"/>
      <c r="J147" s="49"/>
      <c r="K147" s="50"/>
      <c r="L147" s="50"/>
      <c r="M147" s="50"/>
      <c r="N147" s="51"/>
      <c r="O147" s="51"/>
      <c r="Q147" s="51"/>
      <c r="R147" s="51"/>
      <c r="S147" s="51"/>
      <c r="T147" s="51"/>
    </row>
    <row r="148" spans="3:22" ht="11.1" customHeight="1">
      <c r="C148" s="51"/>
      <c r="E148" s="48"/>
      <c r="G148" s="184"/>
      <c r="H148" s="184"/>
      <c r="I148" s="49"/>
      <c r="J148" s="49"/>
      <c r="K148" s="50"/>
      <c r="L148" s="50"/>
      <c r="M148" s="50"/>
      <c r="N148" s="51"/>
      <c r="O148" s="51"/>
      <c r="Q148" s="51"/>
      <c r="R148" s="51"/>
      <c r="S148" s="51"/>
      <c r="T148" s="51"/>
    </row>
    <row r="149" spans="3:22" ht="11.1" customHeight="1">
      <c r="C149" s="51"/>
      <c r="E149" s="48"/>
      <c r="G149" s="184"/>
      <c r="H149" s="184"/>
      <c r="I149" s="49"/>
      <c r="J149" s="49"/>
      <c r="K149" s="50"/>
      <c r="L149" s="50"/>
      <c r="M149" s="50"/>
      <c r="N149" s="51"/>
      <c r="O149" s="51"/>
      <c r="Q149" s="51"/>
      <c r="R149" s="51"/>
      <c r="S149" s="51"/>
      <c r="T149" s="51"/>
      <c r="V149" s="759"/>
    </row>
    <row r="150" spans="3:22" ht="11.1" customHeight="1">
      <c r="C150" s="51"/>
      <c r="E150" s="48"/>
      <c r="G150" s="184"/>
      <c r="H150" s="184"/>
      <c r="I150" s="49"/>
      <c r="J150" s="49"/>
      <c r="K150" s="50"/>
      <c r="L150" s="50"/>
      <c r="M150" s="50"/>
      <c r="N150" s="51"/>
      <c r="O150" s="51"/>
      <c r="Q150" s="51"/>
      <c r="R150" s="51"/>
      <c r="S150" s="51"/>
      <c r="T150" s="51"/>
    </row>
    <row r="151" spans="3:22" ht="11.1" customHeight="1">
      <c r="C151" s="51"/>
      <c r="E151" s="48"/>
      <c r="G151" s="184"/>
      <c r="H151" s="184"/>
      <c r="I151" s="49"/>
      <c r="J151" s="49"/>
      <c r="K151" s="50"/>
      <c r="L151" s="50"/>
      <c r="M151" s="50"/>
      <c r="N151" s="51"/>
      <c r="O151" s="51"/>
      <c r="Q151" s="51"/>
      <c r="R151" s="51"/>
      <c r="S151" s="51"/>
      <c r="T151" s="51"/>
    </row>
    <row r="152" spans="3:22" ht="11.1" customHeight="1">
      <c r="C152" s="51"/>
      <c r="E152" s="48"/>
      <c r="G152" s="184"/>
      <c r="H152" s="184"/>
      <c r="I152" s="49"/>
      <c r="J152" s="49"/>
      <c r="K152" s="50"/>
      <c r="L152" s="50"/>
      <c r="M152" s="50"/>
      <c r="N152" s="51"/>
      <c r="O152" s="51"/>
      <c r="Q152" s="51"/>
      <c r="R152" s="51"/>
      <c r="S152" s="51"/>
      <c r="T152" s="51"/>
    </row>
    <row r="153" spans="3:22" ht="11.1" customHeight="1">
      <c r="C153" s="51"/>
      <c r="E153" s="48"/>
      <c r="G153" s="184"/>
      <c r="H153" s="184"/>
      <c r="I153" s="49"/>
      <c r="J153" s="49"/>
      <c r="K153" s="50"/>
      <c r="L153" s="50"/>
      <c r="M153" s="50"/>
      <c r="N153" s="51"/>
      <c r="O153" s="51"/>
      <c r="Q153" s="51"/>
      <c r="R153" s="51"/>
      <c r="S153" s="51"/>
      <c r="T153" s="51"/>
    </row>
    <row r="154" spans="3:22" ht="11.1" customHeight="1">
      <c r="C154" s="51"/>
      <c r="E154" s="48"/>
      <c r="G154" s="184"/>
      <c r="H154" s="184"/>
      <c r="I154" s="49"/>
      <c r="J154" s="49"/>
      <c r="K154" s="50"/>
      <c r="L154" s="50"/>
      <c r="M154" s="50"/>
      <c r="N154" s="51"/>
      <c r="O154" s="51"/>
      <c r="Q154" s="51"/>
      <c r="R154" s="51"/>
      <c r="S154" s="51"/>
      <c r="T154" s="51"/>
    </row>
    <row r="155" spans="3:22" ht="11.1" customHeight="1">
      <c r="C155" s="51"/>
      <c r="E155" s="48"/>
      <c r="G155" s="184"/>
      <c r="H155" s="184"/>
      <c r="I155" s="49"/>
      <c r="J155" s="49"/>
      <c r="K155" s="50"/>
      <c r="L155" s="50"/>
      <c r="M155" s="50"/>
      <c r="N155" s="51"/>
      <c r="O155" s="51"/>
      <c r="Q155" s="51"/>
      <c r="R155" s="51"/>
      <c r="S155" s="51"/>
      <c r="T155" s="51"/>
    </row>
    <row r="156" spans="3:22" ht="11.1" customHeight="1">
      <c r="C156" s="51"/>
      <c r="E156" s="48"/>
      <c r="G156" s="184"/>
      <c r="H156" s="184"/>
      <c r="I156" s="49"/>
      <c r="J156" s="49"/>
      <c r="K156" s="50"/>
      <c r="L156" s="50"/>
      <c r="M156" s="50"/>
      <c r="N156" s="51"/>
      <c r="O156" s="51"/>
      <c r="Q156" s="51"/>
      <c r="R156" s="51"/>
      <c r="S156" s="51"/>
      <c r="T156" s="51"/>
    </row>
    <row r="157" spans="3:22" ht="11.1" customHeight="1">
      <c r="C157" s="51"/>
      <c r="E157" s="48"/>
      <c r="G157" s="184"/>
      <c r="H157" s="184"/>
      <c r="I157" s="49"/>
      <c r="J157" s="49"/>
      <c r="K157" s="50"/>
      <c r="L157" s="50"/>
      <c r="M157" s="50"/>
      <c r="N157" s="51"/>
      <c r="O157" s="51"/>
      <c r="Q157" s="51"/>
      <c r="R157" s="51"/>
      <c r="S157" s="51"/>
      <c r="T157" s="51"/>
    </row>
    <row r="158" spans="3:22" ht="11.1" customHeight="1">
      <c r="C158" s="51"/>
      <c r="E158" s="48"/>
      <c r="G158" s="184"/>
      <c r="H158" s="184"/>
      <c r="I158" s="49"/>
      <c r="J158" s="49"/>
      <c r="K158" s="50"/>
      <c r="L158" s="50"/>
      <c r="M158" s="50"/>
      <c r="N158" s="51"/>
      <c r="O158" s="51"/>
      <c r="Q158" s="51"/>
      <c r="R158" s="51"/>
      <c r="S158" s="51"/>
      <c r="T158" s="51"/>
    </row>
    <row r="159" spans="3:22" ht="11.1" customHeight="1">
      <c r="C159" s="51"/>
      <c r="E159" s="48"/>
      <c r="G159" s="184"/>
      <c r="H159" s="184"/>
      <c r="I159" s="49"/>
      <c r="J159" s="49"/>
      <c r="K159" s="50"/>
      <c r="L159" s="50"/>
      <c r="M159" s="50"/>
      <c r="N159" s="51"/>
      <c r="O159" s="51"/>
      <c r="Q159" s="51"/>
      <c r="R159" s="51"/>
      <c r="S159" s="51"/>
      <c r="T159" s="51"/>
    </row>
    <row r="160" spans="3:22" ht="11.1" customHeight="1">
      <c r="C160" s="51"/>
      <c r="E160" s="48"/>
      <c r="G160" s="184"/>
      <c r="H160" s="184"/>
      <c r="I160" s="49"/>
      <c r="J160" s="49"/>
      <c r="K160" s="50"/>
      <c r="L160" s="50"/>
      <c r="M160" s="50"/>
      <c r="N160" s="51"/>
      <c r="O160" s="51"/>
      <c r="Q160" s="51"/>
      <c r="R160" s="51"/>
      <c r="S160" s="51"/>
      <c r="T160" s="51"/>
    </row>
    <row r="161" spans="3:22" ht="11.1" customHeight="1">
      <c r="C161" s="51"/>
      <c r="E161" s="48"/>
      <c r="G161" s="184"/>
      <c r="H161" s="184"/>
      <c r="I161" s="49"/>
      <c r="J161" s="49"/>
      <c r="K161" s="50"/>
      <c r="L161" s="50"/>
      <c r="M161" s="50"/>
      <c r="N161" s="51"/>
      <c r="O161" s="51"/>
      <c r="Q161" s="51"/>
      <c r="R161" s="51"/>
      <c r="S161" s="51"/>
      <c r="T161" s="51"/>
    </row>
    <row r="162" spans="3:22" ht="11.1" customHeight="1">
      <c r="C162" s="51"/>
      <c r="E162" s="48"/>
      <c r="G162" s="184"/>
      <c r="H162" s="184"/>
      <c r="I162" s="49"/>
      <c r="J162" s="49"/>
      <c r="K162" s="50"/>
      <c r="L162" s="50"/>
      <c r="M162" s="50"/>
      <c r="N162" s="51"/>
      <c r="O162" s="51"/>
      <c r="Q162" s="51"/>
      <c r="R162" s="51"/>
      <c r="S162" s="51"/>
      <c r="T162" s="51"/>
    </row>
    <row r="163" spans="3:22" ht="11.1" customHeight="1">
      <c r="C163" s="51"/>
      <c r="E163" s="48"/>
      <c r="G163" s="184"/>
      <c r="H163" s="184"/>
      <c r="I163" s="49"/>
      <c r="J163" s="49"/>
      <c r="K163" s="50"/>
      <c r="L163" s="50"/>
      <c r="M163" s="50"/>
      <c r="N163" s="51"/>
      <c r="O163" s="51"/>
      <c r="Q163" s="51"/>
      <c r="R163" s="51"/>
      <c r="S163" s="51"/>
      <c r="T163" s="51"/>
      <c r="V163" s="759"/>
    </row>
    <row r="164" spans="3:22" ht="11.1" customHeight="1">
      <c r="C164" s="51"/>
      <c r="E164" s="48"/>
      <c r="G164" s="184"/>
      <c r="H164" s="184"/>
      <c r="I164" s="49"/>
      <c r="J164" s="49"/>
      <c r="K164" s="50"/>
      <c r="L164" s="50"/>
      <c r="M164" s="50"/>
      <c r="N164" s="51"/>
      <c r="O164" s="51"/>
      <c r="Q164" s="51"/>
      <c r="R164" s="51"/>
      <c r="S164" s="51"/>
      <c r="T164" s="51"/>
    </row>
    <row r="165" spans="3:22" ht="11.1" customHeight="1">
      <c r="C165" s="51"/>
      <c r="E165" s="48"/>
      <c r="G165" s="184"/>
      <c r="H165" s="184"/>
      <c r="I165" s="49"/>
      <c r="J165" s="49"/>
      <c r="K165" s="50"/>
      <c r="L165" s="50"/>
      <c r="M165" s="50"/>
      <c r="N165" s="51"/>
      <c r="O165" s="51"/>
      <c r="Q165" s="51"/>
      <c r="R165" s="51"/>
      <c r="S165" s="51"/>
      <c r="T165" s="51"/>
    </row>
    <row r="166" spans="3:22" ht="11.1" customHeight="1">
      <c r="C166" s="51"/>
      <c r="E166" s="48"/>
      <c r="G166" s="184"/>
      <c r="H166" s="184"/>
      <c r="I166" s="49"/>
      <c r="J166" s="49"/>
      <c r="K166" s="50"/>
      <c r="L166" s="50"/>
      <c r="M166" s="50"/>
      <c r="N166" s="51"/>
      <c r="O166" s="51"/>
      <c r="Q166" s="51"/>
      <c r="R166" s="51"/>
      <c r="S166" s="51"/>
      <c r="T166" s="51"/>
    </row>
    <row r="167" spans="3:22" ht="11.1" customHeight="1">
      <c r="C167" s="51"/>
      <c r="E167" s="48"/>
      <c r="G167" s="184"/>
      <c r="H167" s="184"/>
      <c r="I167" s="49"/>
      <c r="J167" s="49"/>
      <c r="K167" s="50"/>
      <c r="L167" s="50"/>
      <c r="M167" s="50"/>
      <c r="N167" s="51"/>
      <c r="O167" s="51"/>
      <c r="Q167" s="51"/>
      <c r="R167" s="51"/>
      <c r="S167" s="51"/>
      <c r="T167" s="51"/>
    </row>
    <row r="168" spans="3:22" ht="11.1" customHeight="1">
      <c r="C168" s="51"/>
      <c r="E168" s="48"/>
      <c r="G168" s="184"/>
      <c r="H168" s="184"/>
      <c r="I168" s="49"/>
      <c r="J168" s="49"/>
      <c r="K168" s="50"/>
      <c r="L168" s="50"/>
      <c r="M168" s="50"/>
      <c r="N168" s="51"/>
      <c r="O168" s="51"/>
      <c r="Q168" s="51"/>
      <c r="R168" s="51"/>
      <c r="S168" s="51"/>
      <c r="T168" s="51"/>
    </row>
    <row r="169" spans="3:22" ht="11.1" customHeight="1">
      <c r="C169" s="51"/>
      <c r="E169" s="48"/>
      <c r="G169" s="184"/>
      <c r="H169" s="184"/>
      <c r="I169" s="49"/>
      <c r="J169" s="49"/>
      <c r="K169" s="50"/>
      <c r="L169" s="50"/>
      <c r="M169" s="50"/>
      <c r="N169" s="51"/>
      <c r="O169" s="51"/>
      <c r="Q169" s="51"/>
      <c r="R169" s="51"/>
      <c r="S169" s="51"/>
      <c r="T169" s="51"/>
    </row>
    <row r="170" spans="3:22" ht="11.1" customHeight="1">
      <c r="C170" s="51"/>
      <c r="E170" s="48"/>
      <c r="G170" s="184"/>
      <c r="H170" s="184"/>
      <c r="I170" s="49"/>
      <c r="J170" s="49"/>
      <c r="K170" s="50"/>
      <c r="L170" s="50"/>
      <c r="M170" s="50"/>
      <c r="N170" s="51"/>
      <c r="O170" s="51"/>
      <c r="Q170" s="51"/>
      <c r="R170" s="51"/>
      <c r="S170" s="51"/>
      <c r="T170" s="51"/>
    </row>
    <row r="171" spans="3:22" ht="11.1" customHeight="1">
      <c r="C171" s="51"/>
      <c r="E171" s="48"/>
      <c r="G171" s="184"/>
      <c r="H171" s="184"/>
      <c r="I171" s="49"/>
      <c r="J171" s="49"/>
      <c r="K171" s="50"/>
      <c r="L171" s="50"/>
      <c r="M171" s="50"/>
      <c r="N171" s="51"/>
      <c r="O171" s="51"/>
      <c r="Q171" s="51"/>
      <c r="R171" s="51"/>
      <c r="S171" s="51"/>
      <c r="T171" s="51"/>
    </row>
    <row r="172" spans="3:22" ht="11.1" customHeight="1">
      <c r="C172" s="51"/>
      <c r="E172" s="48"/>
      <c r="G172" s="184"/>
      <c r="H172" s="184"/>
      <c r="I172" s="49"/>
      <c r="J172" s="49"/>
      <c r="K172" s="50"/>
      <c r="L172" s="50"/>
      <c r="M172" s="50"/>
      <c r="N172" s="51"/>
      <c r="O172" s="51"/>
      <c r="Q172" s="51"/>
      <c r="R172" s="51"/>
      <c r="S172" s="51"/>
      <c r="T172" s="51"/>
    </row>
    <row r="173" spans="3:22" ht="11.1" customHeight="1">
      <c r="C173" s="51"/>
      <c r="E173" s="48"/>
      <c r="G173" s="184"/>
      <c r="H173" s="184"/>
      <c r="I173" s="49"/>
      <c r="J173" s="49"/>
      <c r="K173" s="50"/>
      <c r="L173" s="50"/>
      <c r="M173" s="50"/>
      <c r="N173" s="51"/>
      <c r="O173" s="51"/>
      <c r="Q173" s="51"/>
      <c r="R173" s="51"/>
      <c r="S173" s="51"/>
      <c r="T173" s="51"/>
    </row>
    <row r="174" spans="3:22" ht="11.1" customHeight="1">
      <c r="C174" s="51"/>
      <c r="E174" s="48"/>
      <c r="G174" s="184"/>
      <c r="H174" s="184"/>
      <c r="I174" s="49"/>
      <c r="J174" s="49"/>
      <c r="K174" s="50"/>
      <c r="L174" s="50"/>
      <c r="M174" s="50"/>
      <c r="N174" s="51"/>
      <c r="O174" s="51"/>
      <c r="Q174" s="51"/>
      <c r="R174" s="51"/>
      <c r="S174" s="51"/>
      <c r="T174" s="51"/>
    </row>
    <row r="175" spans="3:22" ht="11.1" customHeight="1">
      <c r="C175" s="51"/>
      <c r="E175" s="48"/>
      <c r="G175" s="184"/>
      <c r="H175" s="184"/>
      <c r="I175" s="49"/>
      <c r="J175" s="49"/>
      <c r="K175" s="50"/>
      <c r="L175" s="50"/>
      <c r="M175" s="50"/>
      <c r="N175" s="51"/>
      <c r="O175" s="51"/>
      <c r="Q175" s="51"/>
      <c r="R175" s="51"/>
      <c r="S175" s="51"/>
      <c r="T175" s="51"/>
    </row>
    <row r="176" spans="3:22" ht="11.1" customHeight="1">
      <c r="C176" s="51"/>
      <c r="E176" s="48"/>
      <c r="G176" s="184"/>
      <c r="H176" s="184"/>
      <c r="I176" s="49"/>
      <c r="J176" s="49"/>
      <c r="K176" s="50"/>
      <c r="L176" s="50"/>
      <c r="M176" s="50"/>
      <c r="N176" s="51"/>
      <c r="O176" s="51"/>
      <c r="Q176" s="51"/>
      <c r="R176" s="51"/>
      <c r="S176" s="51"/>
      <c r="T176" s="51"/>
    </row>
    <row r="177" spans="3:22" ht="11.1" customHeight="1">
      <c r="C177" s="51"/>
      <c r="E177" s="48"/>
      <c r="G177" s="184"/>
      <c r="H177" s="184"/>
      <c r="I177" s="49"/>
      <c r="J177" s="49"/>
      <c r="K177" s="50"/>
      <c r="L177" s="50"/>
      <c r="M177" s="50"/>
      <c r="N177" s="51"/>
      <c r="O177" s="51"/>
      <c r="Q177" s="51"/>
      <c r="R177" s="51"/>
      <c r="S177" s="51"/>
      <c r="T177" s="51"/>
    </row>
    <row r="178" spans="3:22" ht="11.1" customHeight="1">
      <c r="C178" s="51"/>
      <c r="E178" s="48"/>
      <c r="G178" s="184"/>
      <c r="H178" s="184"/>
      <c r="I178" s="49"/>
      <c r="J178" s="49"/>
      <c r="K178" s="50"/>
      <c r="L178" s="50"/>
      <c r="M178" s="50"/>
      <c r="N178" s="51"/>
      <c r="O178" s="51"/>
      <c r="Q178" s="51"/>
      <c r="R178" s="51"/>
      <c r="S178" s="51"/>
      <c r="T178" s="51"/>
    </row>
    <row r="179" spans="3:22" ht="11.1" customHeight="1">
      <c r="C179" s="51"/>
      <c r="E179" s="48"/>
      <c r="G179" s="184"/>
      <c r="H179" s="184"/>
      <c r="I179" s="49"/>
      <c r="J179" s="49"/>
      <c r="K179" s="50"/>
      <c r="L179" s="50"/>
      <c r="M179" s="50"/>
      <c r="N179" s="51"/>
      <c r="O179" s="51"/>
      <c r="Q179" s="51"/>
      <c r="R179" s="51"/>
      <c r="S179" s="51"/>
      <c r="T179" s="51"/>
    </row>
    <row r="180" spans="3:22" ht="11.1" customHeight="1">
      <c r="C180" s="51"/>
      <c r="E180" s="48"/>
      <c r="G180" s="184"/>
      <c r="H180" s="184"/>
      <c r="I180" s="49"/>
      <c r="J180" s="49"/>
      <c r="K180" s="50"/>
      <c r="L180" s="50"/>
      <c r="M180" s="50"/>
      <c r="N180" s="51"/>
      <c r="O180" s="51"/>
      <c r="Q180" s="51"/>
      <c r="R180" s="51"/>
      <c r="S180" s="51"/>
      <c r="T180" s="51"/>
    </row>
    <row r="181" spans="3:22" ht="11.1" customHeight="1">
      <c r="C181" s="51"/>
      <c r="E181" s="48"/>
      <c r="G181" s="184"/>
      <c r="H181" s="184"/>
      <c r="I181" s="49"/>
      <c r="J181" s="49"/>
      <c r="K181" s="50"/>
      <c r="L181" s="50"/>
      <c r="M181" s="50"/>
      <c r="N181" s="51"/>
      <c r="O181" s="51"/>
      <c r="Q181" s="51"/>
      <c r="R181" s="51"/>
      <c r="S181" s="51"/>
      <c r="T181" s="51"/>
    </row>
    <row r="182" spans="3:22" ht="11.1" customHeight="1">
      <c r="C182" s="51"/>
      <c r="E182" s="48"/>
      <c r="G182" s="184"/>
      <c r="H182" s="184"/>
      <c r="I182" s="49"/>
      <c r="J182" s="49"/>
      <c r="K182" s="50"/>
      <c r="L182" s="50"/>
      <c r="M182" s="50"/>
      <c r="N182" s="51"/>
      <c r="O182" s="51"/>
      <c r="Q182" s="51"/>
      <c r="R182" s="51"/>
      <c r="S182" s="51"/>
      <c r="T182" s="51"/>
    </row>
    <row r="183" spans="3:22" ht="11.1" customHeight="1">
      <c r="C183" s="51"/>
      <c r="E183" s="48"/>
      <c r="G183" s="184"/>
      <c r="H183" s="184"/>
      <c r="I183" s="49"/>
      <c r="J183" s="49"/>
      <c r="K183" s="50"/>
      <c r="L183" s="50"/>
      <c r="M183" s="50"/>
      <c r="N183" s="759"/>
      <c r="O183" s="759"/>
      <c r="P183" s="759"/>
      <c r="Q183" s="759"/>
      <c r="R183" s="759"/>
      <c r="S183" s="759"/>
      <c r="T183" s="759"/>
      <c r="U183" s="759"/>
      <c r="V183" s="759"/>
    </row>
    <row r="184" spans="3:22" ht="11.1" customHeight="1">
      <c r="C184" s="51"/>
      <c r="E184" s="48"/>
      <c r="G184" s="184"/>
      <c r="H184" s="184"/>
      <c r="I184" s="49"/>
      <c r="J184" s="49"/>
      <c r="K184" s="50"/>
      <c r="L184" s="50"/>
      <c r="M184" s="50"/>
      <c r="N184" s="51"/>
      <c r="O184" s="51"/>
      <c r="Q184" s="51"/>
      <c r="R184" s="51"/>
      <c r="S184" s="51"/>
      <c r="T184" s="51"/>
    </row>
    <row r="185" spans="3:22" ht="11.1" customHeight="1">
      <c r="C185" s="51"/>
      <c r="E185" s="48"/>
      <c r="G185" s="184"/>
      <c r="H185" s="184"/>
      <c r="I185" s="49"/>
      <c r="J185" s="49"/>
      <c r="K185" s="50"/>
      <c r="L185" s="50"/>
      <c r="M185" s="50"/>
      <c r="N185" s="51"/>
      <c r="O185" s="51"/>
      <c r="Q185" s="51"/>
      <c r="R185" s="51"/>
      <c r="S185" s="51"/>
      <c r="T185" s="51"/>
    </row>
    <row r="186" spans="3:22" ht="11.1" customHeight="1">
      <c r="C186" s="51"/>
      <c r="E186" s="48"/>
      <c r="G186" s="184"/>
      <c r="H186" s="184"/>
      <c r="I186" s="49"/>
      <c r="J186" s="49"/>
      <c r="K186" s="50"/>
      <c r="L186" s="50"/>
      <c r="M186" s="50"/>
      <c r="N186" s="51"/>
      <c r="O186" s="51"/>
      <c r="Q186" s="51"/>
      <c r="R186" s="51"/>
      <c r="S186" s="51"/>
      <c r="T186" s="51"/>
    </row>
    <row r="187" spans="3:22" ht="11.1" customHeight="1">
      <c r="C187" s="51"/>
      <c r="E187" s="48"/>
      <c r="G187" s="184"/>
      <c r="H187" s="184"/>
      <c r="I187" s="49"/>
      <c r="J187" s="49"/>
      <c r="K187" s="50"/>
      <c r="L187" s="50"/>
      <c r="M187" s="50"/>
      <c r="N187" s="51"/>
      <c r="O187" s="51"/>
      <c r="Q187" s="51"/>
      <c r="R187" s="51"/>
      <c r="S187" s="51"/>
      <c r="T187" s="51"/>
    </row>
    <row r="188" spans="3:22" ht="11.1" customHeight="1">
      <c r="C188" s="51"/>
      <c r="E188" s="48"/>
      <c r="G188" s="184"/>
      <c r="H188" s="184"/>
      <c r="I188" s="49"/>
      <c r="J188" s="49"/>
      <c r="K188" s="50"/>
      <c r="L188" s="50"/>
      <c r="M188" s="50"/>
      <c r="N188" s="51"/>
      <c r="O188" s="51"/>
      <c r="Q188" s="51"/>
      <c r="R188" s="51"/>
      <c r="S188" s="51"/>
      <c r="T188" s="51"/>
    </row>
    <row r="189" spans="3:22" ht="11.1" customHeight="1">
      <c r="C189" s="51"/>
      <c r="E189" s="48"/>
      <c r="G189" s="184"/>
      <c r="H189" s="184"/>
      <c r="I189" s="49"/>
      <c r="J189" s="49"/>
      <c r="K189" s="50"/>
      <c r="L189" s="50"/>
      <c r="M189" s="50"/>
      <c r="N189" s="51"/>
      <c r="O189" s="51"/>
      <c r="Q189" s="51"/>
      <c r="R189" s="51"/>
      <c r="S189" s="51"/>
      <c r="T189" s="51"/>
    </row>
    <row r="190" spans="3:22" ht="11.1" customHeight="1">
      <c r="C190" s="51"/>
      <c r="E190" s="48"/>
      <c r="G190" s="184"/>
      <c r="H190" s="184"/>
      <c r="I190" s="49"/>
      <c r="J190" s="49"/>
      <c r="K190" s="50"/>
      <c r="L190" s="50"/>
      <c r="M190" s="50"/>
      <c r="N190" s="51"/>
      <c r="O190" s="51"/>
      <c r="Q190" s="51"/>
      <c r="R190" s="51"/>
      <c r="S190" s="51"/>
      <c r="T190" s="51"/>
    </row>
    <row r="191" spans="3:22" ht="11.1" customHeight="1">
      <c r="C191" s="51"/>
      <c r="E191" s="48"/>
      <c r="G191" s="184"/>
      <c r="H191" s="184"/>
      <c r="I191" s="49"/>
      <c r="J191" s="49"/>
      <c r="K191" s="50"/>
      <c r="L191" s="50"/>
      <c r="M191" s="50"/>
      <c r="N191" s="51"/>
      <c r="O191" s="51"/>
      <c r="Q191" s="51"/>
      <c r="R191" s="51"/>
      <c r="S191" s="51"/>
      <c r="T191" s="51"/>
    </row>
    <row r="192" spans="3:22" ht="11.1" customHeight="1">
      <c r="C192" s="51"/>
      <c r="E192" s="48"/>
      <c r="G192" s="184"/>
      <c r="H192" s="184"/>
      <c r="I192" s="49"/>
      <c r="J192" s="49"/>
      <c r="K192" s="50"/>
      <c r="L192" s="50"/>
      <c r="M192" s="50"/>
      <c r="N192" s="51"/>
      <c r="O192" s="51"/>
      <c r="Q192" s="51"/>
      <c r="R192" s="51"/>
      <c r="S192" s="51"/>
      <c r="T192" s="51"/>
    </row>
    <row r="193" spans="3:20" ht="11.1" customHeight="1">
      <c r="C193" s="51"/>
      <c r="E193" s="48"/>
      <c r="G193" s="184"/>
      <c r="H193" s="184"/>
      <c r="I193" s="49"/>
      <c r="J193" s="49"/>
      <c r="K193" s="50"/>
      <c r="L193" s="50"/>
      <c r="M193" s="50"/>
      <c r="N193" s="51"/>
      <c r="O193" s="51"/>
      <c r="Q193" s="51"/>
      <c r="R193" s="51"/>
      <c r="S193" s="51"/>
      <c r="T193" s="51"/>
    </row>
    <row r="194" spans="3:20" ht="11.1" customHeight="1">
      <c r="C194" s="51"/>
      <c r="E194" s="48"/>
      <c r="G194" s="184"/>
      <c r="H194" s="184"/>
      <c r="I194" s="49"/>
      <c r="J194" s="49"/>
      <c r="K194" s="50"/>
      <c r="L194" s="50"/>
      <c r="M194" s="50"/>
      <c r="N194" s="51"/>
      <c r="O194" s="51"/>
      <c r="Q194" s="51"/>
      <c r="R194" s="51"/>
      <c r="S194" s="51"/>
      <c r="T194" s="51"/>
    </row>
    <row r="195" spans="3:20" ht="11.1" customHeight="1">
      <c r="C195" s="51"/>
      <c r="E195" s="48"/>
      <c r="G195" s="184"/>
      <c r="H195" s="184"/>
      <c r="I195" s="49"/>
      <c r="J195" s="49"/>
      <c r="K195" s="50"/>
      <c r="L195" s="50"/>
      <c r="M195" s="50"/>
      <c r="N195" s="51"/>
      <c r="O195" s="51"/>
      <c r="Q195" s="51"/>
      <c r="R195" s="51"/>
      <c r="S195" s="51"/>
      <c r="T195" s="51"/>
    </row>
    <row r="196" spans="3:20" ht="11.1" customHeight="1">
      <c r="C196" s="51"/>
      <c r="E196" s="48"/>
      <c r="G196" s="184"/>
      <c r="H196" s="184"/>
      <c r="I196" s="49"/>
      <c r="J196" s="49"/>
      <c r="K196" s="50"/>
      <c r="L196" s="50"/>
      <c r="M196" s="50"/>
      <c r="N196" s="51"/>
      <c r="O196" s="51"/>
      <c r="Q196" s="51"/>
      <c r="R196" s="51"/>
      <c r="S196" s="51"/>
      <c r="T196" s="51"/>
    </row>
    <row r="197" spans="3:20" ht="11.1" customHeight="1">
      <c r="C197" s="51"/>
      <c r="E197" s="48"/>
      <c r="G197" s="184"/>
      <c r="H197" s="184"/>
      <c r="I197" s="49"/>
      <c r="J197" s="49"/>
      <c r="K197" s="50"/>
      <c r="L197" s="50"/>
      <c r="M197" s="50"/>
      <c r="N197" s="51"/>
      <c r="O197" s="51"/>
      <c r="Q197" s="51"/>
      <c r="R197" s="51"/>
      <c r="S197" s="51"/>
      <c r="T197" s="51"/>
    </row>
    <row r="198" spans="3:20" ht="11.1" customHeight="1">
      <c r="C198" s="51"/>
      <c r="E198" s="48"/>
      <c r="G198" s="184"/>
      <c r="H198" s="184"/>
      <c r="I198" s="49"/>
      <c r="J198" s="49"/>
      <c r="K198" s="50"/>
      <c r="L198" s="50"/>
      <c r="M198" s="50"/>
      <c r="N198" s="51"/>
      <c r="O198" s="51"/>
      <c r="Q198" s="51"/>
      <c r="R198" s="51"/>
      <c r="S198" s="51"/>
      <c r="T198" s="51"/>
    </row>
    <row r="199" spans="3:20" ht="11.1" customHeight="1">
      <c r="C199" s="51"/>
      <c r="E199" s="48"/>
      <c r="G199" s="184"/>
      <c r="H199" s="184"/>
      <c r="I199" s="49"/>
      <c r="J199" s="49"/>
      <c r="K199" s="50"/>
      <c r="L199" s="50"/>
      <c r="M199" s="50"/>
      <c r="N199" s="51"/>
      <c r="O199" s="51"/>
      <c r="Q199" s="51"/>
      <c r="R199" s="51"/>
      <c r="S199" s="51"/>
      <c r="T199" s="51"/>
    </row>
    <row r="200" spans="3:20" ht="11.1" customHeight="1">
      <c r="C200" s="51"/>
      <c r="E200" s="48"/>
      <c r="G200" s="184"/>
      <c r="H200" s="184"/>
      <c r="I200" s="49"/>
      <c r="J200" s="49"/>
      <c r="K200" s="50"/>
      <c r="L200" s="50"/>
      <c r="M200" s="50"/>
      <c r="N200" s="51"/>
      <c r="O200" s="51"/>
      <c r="Q200" s="51"/>
      <c r="R200" s="51"/>
      <c r="S200" s="51"/>
      <c r="T200" s="51"/>
    </row>
    <row r="201" spans="3:20" ht="11.1" customHeight="1">
      <c r="C201" s="51"/>
      <c r="E201" s="48"/>
      <c r="G201" s="184"/>
      <c r="H201" s="184"/>
      <c r="I201" s="49"/>
      <c r="J201" s="49"/>
      <c r="K201" s="50"/>
      <c r="L201" s="50"/>
      <c r="M201" s="50"/>
      <c r="N201" s="51"/>
      <c r="O201" s="51"/>
      <c r="Q201" s="51"/>
      <c r="R201" s="51"/>
      <c r="S201" s="51"/>
      <c r="T201" s="51"/>
    </row>
    <row r="202" spans="3:20" ht="11.1" customHeight="1">
      <c r="C202" s="51"/>
      <c r="E202" s="48"/>
      <c r="G202" s="184"/>
      <c r="H202" s="184"/>
      <c r="I202" s="49"/>
      <c r="J202" s="49"/>
      <c r="K202" s="50"/>
      <c r="L202" s="50"/>
      <c r="M202" s="50"/>
      <c r="N202" s="51"/>
      <c r="O202" s="51"/>
      <c r="Q202" s="51"/>
      <c r="R202" s="51"/>
      <c r="S202" s="51"/>
      <c r="T202" s="51"/>
    </row>
    <row r="203" spans="3:20" ht="11.1" customHeight="1">
      <c r="C203" s="51"/>
      <c r="E203" s="48"/>
      <c r="G203" s="184"/>
      <c r="H203" s="184"/>
      <c r="I203" s="49"/>
      <c r="J203" s="49"/>
      <c r="K203" s="50"/>
      <c r="L203" s="50"/>
      <c r="M203" s="50"/>
      <c r="N203" s="51"/>
      <c r="O203" s="51"/>
      <c r="Q203" s="51"/>
      <c r="R203" s="51"/>
      <c r="S203" s="51"/>
      <c r="T203" s="51"/>
    </row>
    <row r="204" spans="3:20" ht="11.1" customHeight="1">
      <c r="C204" s="51"/>
      <c r="E204" s="48"/>
      <c r="G204" s="184"/>
      <c r="H204" s="184"/>
      <c r="I204" s="49"/>
      <c r="J204" s="49"/>
      <c r="K204" s="50"/>
      <c r="L204" s="50"/>
      <c r="M204" s="50"/>
      <c r="N204" s="51"/>
      <c r="O204" s="51"/>
      <c r="Q204" s="51"/>
      <c r="R204" s="51"/>
      <c r="S204" s="51"/>
      <c r="T204" s="51"/>
    </row>
    <row r="205" spans="3:20" ht="11.1" customHeight="1">
      <c r="C205" s="51"/>
      <c r="E205" s="48"/>
      <c r="G205" s="184"/>
      <c r="H205" s="184"/>
      <c r="I205" s="49"/>
      <c r="J205" s="49"/>
      <c r="K205" s="50"/>
      <c r="L205" s="50"/>
      <c r="M205" s="50"/>
      <c r="N205" s="51"/>
      <c r="O205" s="51"/>
      <c r="Q205" s="51"/>
      <c r="R205" s="51"/>
      <c r="S205" s="51"/>
      <c r="T205" s="51"/>
    </row>
    <row r="206" spans="3:20" ht="11.1" customHeight="1">
      <c r="C206" s="51"/>
      <c r="E206" s="48"/>
      <c r="G206" s="184"/>
      <c r="H206" s="184"/>
      <c r="I206" s="49"/>
      <c r="J206" s="49"/>
      <c r="K206" s="50"/>
      <c r="L206" s="50"/>
      <c r="M206" s="50"/>
      <c r="N206" s="51"/>
      <c r="O206" s="51"/>
      <c r="Q206" s="51"/>
      <c r="R206" s="51"/>
      <c r="S206" s="51"/>
      <c r="T206" s="51"/>
    </row>
    <row r="207" spans="3:20" ht="11.1" customHeight="1">
      <c r="C207" s="51"/>
      <c r="E207" s="48"/>
      <c r="G207" s="184"/>
      <c r="H207" s="184"/>
      <c r="I207" s="49"/>
      <c r="J207" s="49"/>
      <c r="K207" s="50"/>
      <c r="L207" s="50"/>
      <c r="M207" s="50"/>
      <c r="N207" s="51"/>
      <c r="O207" s="51"/>
      <c r="Q207" s="51"/>
      <c r="R207" s="51"/>
      <c r="S207" s="51"/>
      <c r="T207" s="51"/>
    </row>
    <row r="208" spans="3:20" ht="11.1" customHeight="1">
      <c r="C208" s="51"/>
      <c r="E208" s="48"/>
      <c r="G208" s="184"/>
      <c r="H208" s="184"/>
      <c r="I208" s="49"/>
      <c r="J208" s="49"/>
      <c r="K208" s="50"/>
      <c r="L208" s="50"/>
      <c r="M208" s="50"/>
      <c r="N208" s="51"/>
      <c r="O208" s="51"/>
      <c r="Q208" s="51"/>
      <c r="R208" s="51"/>
      <c r="S208" s="51"/>
      <c r="T208" s="51"/>
    </row>
    <row r="209" spans="3:20" ht="11.1" customHeight="1">
      <c r="C209" s="51"/>
      <c r="E209" s="48"/>
      <c r="G209" s="184"/>
      <c r="H209" s="184"/>
      <c r="I209" s="49"/>
      <c r="J209" s="49"/>
      <c r="K209" s="50"/>
      <c r="L209" s="50"/>
      <c r="M209" s="50"/>
      <c r="N209" s="51"/>
      <c r="O209" s="51"/>
      <c r="Q209" s="51"/>
      <c r="R209" s="51"/>
      <c r="S209" s="51"/>
      <c r="T209" s="51"/>
    </row>
    <row r="210" spans="3:20" ht="11.1" customHeight="1">
      <c r="C210" s="51"/>
      <c r="E210" s="48"/>
      <c r="G210" s="184"/>
      <c r="H210" s="184"/>
      <c r="I210" s="49"/>
      <c r="J210" s="49"/>
      <c r="K210" s="50"/>
      <c r="L210" s="50"/>
      <c r="M210" s="50"/>
      <c r="N210" s="51"/>
      <c r="O210" s="51"/>
      <c r="Q210" s="51"/>
      <c r="R210" s="51"/>
      <c r="S210" s="51"/>
      <c r="T210" s="51"/>
    </row>
    <row r="211" spans="3:20" ht="11.1" customHeight="1">
      <c r="C211" s="51"/>
      <c r="E211" s="48"/>
      <c r="G211" s="184"/>
      <c r="H211" s="184"/>
      <c r="I211" s="49"/>
      <c r="J211" s="49"/>
      <c r="K211" s="50"/>
      <c r="L211" s="50"/>
      <c r="M211" s="50"/>
      <c r="N211" s="51"/>
      <c r="O211" s="51"/>
      <c r="Q211" s="51"/>
      <c r="R211" s="51"/>
      <c r="S211" s="51"/>
      <c r="T211" s="51"/>
    </row>
    <row r="212" spans="3:20" ht="11.1" customHeight="1">
      <c r="C212" s="51"/>
      <c r="E212" s="48"/>
      <c r="G212" s="184"/>
      <c r="H212" s="184"/>
      <c r="I212" s="49"/>
      <c r="J212" s="49"/>
      <c r="K212" s="50"/>
      <c r="L212" s="50"/>
      <c r="M212" s="50"/>
      <c r="N212" s="51"/>
      <c r="O212" s="51"/>
      <c r="Q212" s="51"/>
      <c r="R212" s="51"/>
      <c r="S212" s="51"/>
      <c r="T212" s="51"/>
    </row>
    <row r="213" spans="3:20" ht="11.1" customHeight="1">
      <c r="C213" s="51"/>
      <c r="E213" s="48"/>
      <c r="G213" s="184"/>
      <c r="H213" s="184"/>
      <c r="I213" s="49"/>
      <c r="J213" s="49"/>
      <c r="K213" s="50"/>
      <c r="L213" s="50"/>
      <c r="M213" s="50"/>
      <c r="N213" s="51"/>
      <c r="O213" s="51"/>
      <c r="Q213" s="51"/>
      <c r="R213" s="51"/>
      <c r="S213" s="51"/>
      <c r="T213" s="51"/>
    </row>
    <row r="214" spans="3:20" ht="11.1" customHeight="1">
      <c r="C214" s="51"/>
      <c r="E214" s="48"/>
      <c r="G214" s="184"/>
      <c r="H214" s="184"/>
      <c r="I214" s="49"/>
      <c r="J214" s="49"/>
      <c r="K214" s="50"/>
      <c r="L214" s="50"/>
      <c r="M214" s="50"/>
      <c r="N214" s="51"/>
      <c r="O214" s="51"/>
      <c r="Q214" s="51"/>
      <c r="R214" s="51"/>
      <c r="S214" s="51"/>
      <c r="T214" s="51"/>
    </row>
    <row r="215" spans="3:20" ht="11.1" customHeight="1">
      <c r="C215" s="51"/>
      <c r="E215" s="48"/>
      <c r="G215" s="184"/>
      <c r="H215" s="184"/>
      <c r="I215" s="49"/>
      <c r="J215" s="49"/>
      <c r="K215" s="50"/>
      <c r="L215" s="50"/>
      <c r="M215" s="50"/>
      <c r="N215" s="51"/>
      <c r="O215" s="51"/>
      <c r="Q215" s="51"/>
      <c r="R215" s="51"/>
      <c r="S215" s="51"/>
      <c r="T215" s="51"/>
    </row>
    <row r="216" spans="3:20" ht="11.1" customHeight="1">
      <c r="C216" s="51"/>
      <c r="E216" s="48"/>
      <c r="G216" s="184"/>
      <c r="H216" s="184"/>
      <c r="I216" s="49"/>
      <c r="J216" s="49"/>
      <c r="K216" s="50"/>
      <c r="L216" s="50"/>
      <c r="M216" s="50"/>
      <c r="N216" s="51"/>
      <c r="O216" s="51"/>
      <c r="Q216" s="51"/>
      <c r="R216" s="51"/>
      <c r="S216" s="51"/>
      <c r="T216" s="51"/>
    </row>
    <row r="217" spans="3:20" ht="11.1" customHeight="1">
      <c r="C217" s="51"/>
      <c r="E217" s="48"/>
      <c r="G217" s="184"/>
      <c r="H217" s="184"/>
      <c r="I217" s="49"/>
      <c r="J217" s="49"/>
      <c r="K217" s="50"/>
      <c r="L217" s="50"/>
      <c r="M217" s="50"/>
      <c r="N217" s="51"/>
      <c r="O217" s="51"/>
      <c r="Q217" s="51"/>
      <c r="R217" s="51"/>
      <c r="S217" s="51"/>
      <c r="T217" s="51"/>
    </row>
    <row r="218" spans="3:20" ht="11.1" customHeight="1">
      <c r="C218" s="51"/>
      <c r="E218" s="48"/>
      <c r="G218" s="184"/>
      <c r="H218" s="184"/>
      <c r="I218" s="49"/>
      <c r="J218" s="49"/>
      <c r="K218" s="50"/>
      <c r="L218" s="50"/>
      <c r="M218" s="50"/>
      <c r="N218" s="51"/>
      <c r="O218" s="51"/>
      <c r="Q218" s="51"/>
      <c r="R218" s="51"/>
      <c r="S218" s="51"/>
      <c r="T218" s="51"/>
    </row>
    <row r="219" spans="3:20" ht="11.1" customHeight="1">
      <c r="C219" s="51"/>
      <c r="E219" s="48"/>
      <c r="G219" s="184"/>
      <c r="H219" s="184"/>
      <c r="I219" s="49"/>
      <c r="J219" s="49"/>
      <c r="K219" s="50"/>
      <c r="L219" s="50"/>
      <c r="M219" s="50"/>
      <c r="N219" s="51"/>
      <c r="O219" s="51"/>
      <c r="Q219" s="51"/>
      <c r="R219" s="51"/>
      <c r="S219" s="51"/>
      <c r="T219" s="51"/>
    </row>
    <row r="220" spans="3:20" ht="11.1" customHeight="1">
      <c r="C220" s="51"/>
      <c r="E220" s="48"/>
      <c r="G220" s="184"/>
      <c r="H220" s="184"/>
      <c r="I220" s="49"/>
      <c r="J220" s="49"/>
      <c r="K220" s="50"/>
      <c r="L220" s="50"/>
      <c r="M220" s="50"/>
      <c r="N220" s="51"/>
      <c r="O220" s="51"/>
      <c r="Q220" s="51"/>
      <c r="R220" s="51"/>
      <c r="S220" s="51"/>
      <c r="T220" s="51"/>
    </row>
    <row r="221" spans="3:20" ht="11.1" customHeight="1">
      <c r="C221" s="51"/>
      <c r="E221" s="48"/>
      <c r="G221" s="184"/>
      <c r="H221" s="184"/>
      <c r="I221" s="49"/>
      <c r="J221" s="49"/>
      <c r="K221" s="50"/>
      <c r="L221" s="50"/>
      <c r="M221" s="50"/>
      <c r="N221" s="51"/>
      <c r="O221" s="51"/>
      <c r="Q221" s="51"/>
      <c r="R221" s="51"/>
      <c r="S221" s="51"/>
      <c r="T221" s="51"/>
    </row>
    <row r="222" spans="3:20" ht="11.1" customHeight="1">
      <c r="C222" s="51"/>
      <c r="E222" s="48"/>
      <c r="G222" s="184"/>
      <c r="H222" s="184"/>
      <c r="I222" s="49"/>
      <c r="J222" s="49"/>
      <c r="K222" s="50"/>
      <c r="L222" s="50"/>
      <c r="M222" s="50"/>
      <c r="N222" s="51"/>
      <c r="O222" s="51"/>
      <c r="Q222" s="51"/>
      <c r="R222" s="51"/>
      <c r="S222" s="51"/>
      <c r="T222" s="51"/>
    </row>
    <row r="223" spans="3:20" ht="11.1" customHeight="1">
      <c r="C223" s="51"/>
      <c r="E223" s="48"/>
      <c r="G223" s="184"/>
      <c r="H223" s="184"/>
      <c r="I223" s="49"/>
      <c r="J223" s="49"/>
      <c r="K223" s="50"/>
      <c r="L223" s="50"/>
      <c r="M223" s="50"/>
      <c r="N223" s="51"/>
      <c r="O223" s="51"/>
      <c r="Q223" s="51"/>
      <c r="R223" s="51"/>
      <c r="S223" s="51"/>
      <c r="T223" s="51"/>
    </row>
    <row r="224" spans="3:20" ht="11.1" customHeight="1">
      <c r="C224" s="51"/>
      <c r="E224" s="48"/>
      <c r="G224" s="184"/>
      <c r="H224" s="184"/>
      <c r="I224" s="49"/>
      <c r="J224" s="49"/>
      <c r="K224" s="50"/>
      <c r="L224" s="50"/>
      <c r="M224" s="50"/>
      <c r="N224" s="51"/>
      <c r="O224" s="51"/>
      <c r="Q224" s="51"/>
      <c r="R224" s="51"/>
      <c r="S224" s="51"/>
      <c r="T224" s="51"/>
    </row>
    <row r="225" spans="3:20" ht="11.1" customHeight="1">
      <c r="C225" s="51"/>
      <c r="E225" s="48"/>
      <c r="G225" s="184"/>
      <c r="H225" s="184"/>
      <c r="I225" s="49"/>
      <c r="J225" s="49"/>
      <c r="K225" s="50"/>
      <c r="L225" s="50"/>
      <c r="M225" s="50"/>
      <c r="N225" s="51"/>
      <c r="O225" s="51"/>
      <c r="Q225" s="51"/>
      <c r="R225" s="51"/>
      <c r="S225" s="51"/>
      <c r="T225" s="51"/>
    </row>
    <row r="226" spans="3:20" ht="11.1" customHeight="1">
      <c r="C226" s="51"/>
      <c r="E226" s="48"/>
      <c r="G226" s="184"/>
      <c r="H226" s="184"/>
      <c r="I226" s="49"/>
      <c r="J226" s="49"/>
      <c r="K226" s="50"/>
      <c r="L226" s="50"/>
      <c r="M226" s="50"/>
      <c r="N226" s="51"/>
      <c r="O226" s="51"/>
      <c r="Q226" s="51"/>
      <c r="R226" s="51"/>
      <c r="S226" s="51"/>
      <c r="T226" s="51"/>
    </row>
    <row r="227" spans="3:20" ht="11.1" customHeight="1">
      <c r="C227" s="51"/>
      <c r="E227" s="48"/>
      <c r="G227" s="184"/>
      <c r="H227" s="184"/>
      <c r="I227" s="49"/>
      <c r="J227" s="49"/>
      <c r="K227" s="50"/>
      <c r="L227" s="50"/>
      <c r="M227" s="50"/>
      <c r="N227" s="51"/>
      <c r="O227" s="51"/>
      <c r="Q227" s="51"/>
      <c r="R227" s="51"/>
      <c r="S227" s="51"/>
      <c r="T227" s="51"/>
    </row>
    <row r="228" spans="3:20" ht="11.1" customHeight="1">
      <c r="C228" s="51"/>
      <c r="E228" s="48"/>
      <c r="G228" s="184"/>
      <c r="H228" s="184"/>
      <c r="I228" s="49"/>
      <c r="J228" s="49"/>
      <c r="K228" s="50"/>
      <c r="L228" s="50"/>
      <c r="M228" s="50"/>
      <c r="N228" s="51"/>
      <c r="O228" s="51"/>
      <c r="Q228" s="51"/>
      <c r="R228" s="51"/>
      <c r="S228" s="51"/>
      <c r="T228" s="51"/>
    </row>
    <row r="229" spans="3:20" ht="11.1" customHeight="1">
      <c r="C229" s="51"/>
      <c r="E229" s="48"/>
      <c r="G229" s="184"/>
      <c r="H229" s="184"/>
      <c r="I229" s="49"/>
      <c r="J229" s="49"/>
      <c r="K229" s="50"/>
      <c r="L229" s="50"/>
      <c r="M229" s="50"/>
      <c r="N229" s="51"/>
      <c r="O229" s="51"/>
      <c r="Q229" s="51"/>
      <c r="R229" s="51"/>
      <c r="S229" s="51"/>
      <c r="T229" s="51"/>
    </row>
    <row r="230" spans="3:20" ht="11.1" customHeight="1">
      <c r="C230" s="51"/>
      <c r="E230" s="48"/>
      <c r="G230" s="184"/>
      <c r="H230" s="184"/>
      <c r="I230" s="49"/>
      <c r="J230" s="49"/>
      <c r="K230" s="50"/>
      <c r="L230" s="50"/>
      <c r="M230" s="50"/>
      <c r="N230" s="51"/>
      <c r="O230" s="51"/>
      <c r="Q230" s="51"/>
      <c r="R230" s="51"/>
      <c r="S230" s="51"/>
      <c r="T230" s="51"/>
    </row>
    <row r="231" spans="3:20" ht="11.1" customHeight="1">
      <c r="C231" s="51"/>
      <c r="E231" s="48"/>
      <c r="G231" s="184"/>
      <c r="H231" s="184"/>
      <c r="I231" s="49"/>
      <c r="J231" s="49"/>
      <c r="K231" s="50"/>
      <c r="L231" s="50"/>
      <c r="M231" s="50"/>
      <c r="N231" s="51"/>
      <c r="O231" s="51"/>
      <c r="Q231" s="51"/>
      <c r="R231" s="51"/>
      <c r="S231" s="51"/>
      <c r="T231" s="51"/>
    </row>
    <row r="232" spans="3:20" ht="11.1" customHeight="1">
      <c r="C232" s="51"/>
      <c r="E232" s="48"/>
      <c r="G232" s="184"/>
      <c r="H232" s="184"/>
      <c r="I232" s="49"/>
      <c r="J232" s="49"/>
      <c r="K232" s="50"/>
      <c r="L232" s="50"/>
      <c r="M232" s="50"/>
      <c r="N232" s="51"/>
      <c r="O232" s="51"/>
      <c r="Q232" s="51"/>
      <c r="R232" s="51"/>
      <c r="S232" s="51"/>
      <c r="T232" s="51"/>
    </row>
    <row r="233" spans="3:20" ht="11.1" customHeight="1">
      <c r="C233" s="51"/>
      <c r="E233" s="48"/>
      <c r="G233" s="184"/>
      <c r="H233" s="184"/>
      <c r="I233" s="49"/>
      <c r="J233" s="49"/>
      <c r="K233" s="50"/>
      <c r="L233" s="50"/>
      <c r="M233" s="50"/>
      <c r="N233" s="51"/>
      <c r="O233" s="51"/>
      <c r="Q233" s="51"/>
      <c r="R233" s="51"/>
      <c r="S233" s="51"/>
      <c r="T233" s="51"/>
    </row>
    <row r="234" spans="3:20" ht="11.1" customHeight="1">
      <c r="C234" s="51"/>
      <c r="E234" s="48"/>
      <c r="G234" s="184"/>
      <c r="H234" s="184"/>
      <c r="I234" s="49"/>
      <c r="J234" s="49"/>
      <c r="K234" s="50"/>
      <c r="L234" s="50"/>
      <c r="M234" s="50"/>
      <c r="N234" s="51"/>
      <c r="O234" s="51"/>
      <c r="Q234" s="51"/>
      <c r="R234" s="51"/>
      <c r="S234" s="51"/>
      <c r="T234" s="51"/>
    </row>
    <row r="235" spans="3:20" ht="11.1" customHeight="1">
      <c r="C235" s="51"/>
      <c r="E235" s="48"/>
      <c r="G235" s="184"/>
      <c r="H235" s="184"/>
      <c r="I235" s="49"/>
      <c r="J235" s="49"/>
      <c r="K235" s="50"/>
      <c r="L235" s="50"/>
      <c r="M235" s="50"/>
      <c r="N235" s="51"/>
      <c r="O235" s="51"/>
      <c r="Q235" s="51"/>
      <c r="R235" s="51"/>
      <c r="S235" s="51"/>
      <c r="T235" s="51"/>
    </row>
    <row r="236" spans="3:20" ht="11.1" customHeight="1">
      <c r="C236" s="51"/>
      <c r="E236" s="48"/>
      <c r="G236" s="184"/>
      <c r="H236" s="184"/>
      <c r="I236" s="49"/>
      <c r="J236" s="49"/>
      <c r="K236" s="50"/>
      <c r="L236" s="50"/>
      <c r="M236" s="50"/>
      <c r="N236" s="51"/>
      <c r="O236" s="51"/>
      <c r="Q236" s="51"/>
      <c r="R236" s="51"/>
      <c r="S236" s="51"/>
      <c r="T236" s="51"/>
    </row>
    <row r="237" spans="3:20" ht="11.1" customHeight="1">
      <c r="C237" s="51"/>
      <c r="E237" s="48"/>
      <c r="G237" s="184"/>
      <c r="H237" s="184"/>
      <c r="I237" s="49"/>
      <c r="J237" s="49"/>
      <c r="K237" s="50"/>
      <c r="L237" s="50"/>
      <c r="M237" s="50"/>
      <c r="N237" s="51"/>
      <c r="O237" s="51"/>
      <c r="Q237" s="51"/>
      <c r="R237" s="51"/>
      <c r="S237" s="51"/>
      <c r="T237" s="51"/>
    </row>
    <row r="238" spans="3:20" ht="11.1" customHeight="1">
      <c r="C238" s="51"/>
      <c r="E238" s="48"/>
      <c r="G238" s="184"/>
      <c r="H238" s="184"/>
      <c r="I238" s="49"/>
      <c r="J238" s="49"/>
      <c r="K238" s="50"/>
      <c r="L238" s="50"/>
      <c r="M238" s="50"/>
      <c r="N238" s="51"/>
      <c r="O238" s="51"/>
      <c r="Q238" s="51"/>
      <c r="R238" s="51"/>
      <c r="S238" s="51"/>
      <c r="T238" s="51"/>
    </row>
    <row r="239" spans="3:20" ht="11.1" customHeight="1">
      <c r="C239" s="51"/>
      <c r="E239" s="48"/>
      <c r="G239" s="184"/>
      <c r="H239" s="184"/>
      <c r="I239" s="49"/>
      <c r="J239" s="49"/>
      <c r="K239" s="50"/>
      <c r="L239" s="50"/>
      <c r="M239" s="50"/>
      <c r="N239" s="51"/>
      <c r="O239" s="51"/>
      <c r="Q239" s="51"/>
      <c r="R239" s="51"/>
      <c r="S239" s="51"/>
      <c r="T239" s="51"/>
    </row>
    <row r="240" spans="3:20" ht="11.1" customHeight="1">
      <c r="C240" s="51"/>
      <c r="E240" s="48"/>
      <c r="G240" s="184"/>
      <c r="H240" s="184"/>
      <c r="I240" s="49"/>
      <c r="J240" s="49"/>
      <c r="K240" s="50"/>
      <c r="L240" s="50"/>
      <c r="M240" s="50"/>
      <c r="N240" s="51"/>
      <c r="O240" s="51"/>
      <c r="Q240" s="51"/>
      <c r="R240" s="51"/>
      <c r="S240" s="51"/>
      <c r="T240" s="51"/>
    </row>
    <row r="241" spans="3:20" ht="11.1" customHeight="1">
      <c r="C241" s="51"/>
      <c r="E241" s="48"/>
      <c r="G241" s="184"/>
      <c r="H241" s="184"/>
      <c r="I241" s="49"/>
      <c r="J241" s="49"/>
      <c r="K241" s="50"/>
      <c r="L241" s="50"/>
      <c r="M241" s="50"/>
      <c r="N241" s="51"/>
      <c r="O241" s="51"/>
      <c r="Q241" s="51"/>
      <c r="R241" s="51"/>
      <c r="S241" s="51"/>
      <c r="T241" s="51"/>
    </row>
    <row r="242" spans="3:20" ht="11.1" customHeight="1">
      <c r="C242" s="51"/>
      <c r="E242" s="48"/>
      <c r="G242" s="184"/>
      <c r="H242" s="184"/>
      <c r="I242" s="49"/>
      <c r="J242" s="49"/>
      <c r="K242" s="50"/>
      <c r="L242" s="50"/>
      <c r="M242" s="50"/>
      <c r="N242" s="51"/>
      <c r="O242" s="51"/>
      <c r="Q242" s="51"/>
      <c r="R242" s="51"/>
      <c r="S242" s="51"/>
      <c r="T242" s="51"/>
    </row>
    <row r="243" spans="3:20" ht="11.1" customHeight="1">
      <c r="C243" s="51"/>
      <c r="E243" s="48"/>
      <c r="G243" s="184"/>
      <c r="H243" s="184"/>
      <c r="I243" s="49"/>
      <c r="J243" s="49"/>
      <c r="K243" s="50"/>
      <c r="L243" s="50"/>
      <c r="M243" s="50"/>
      <c r="N243" s="51"/>
      <c r="O243" s="51"/>
      <c r="Q243" s="51"/>
      <c r="R243" s="51"/>
      <c r="S243" s="51"/>
      <c r="T243" s="51"/>
    </row>
    <row r="244" spans="3:20" ht="11.1" customHeight="1">
      <c r="C244" s="51"/>
      <c r="E244" s="48"/>
      <c r="G244" s="184"/>
      <c r="H244" s="184"/>
      <c r="I244" s="49"/>
      <c r="J244" s="49"/>
      <c r="K244" s="50"/>
      <c r="L244" s="50"/>
      <c r="M244" s="50"/>
      <c r="N244" s="51"/>
      <c r="O244" s="51"/>
      <c r="Q244" s="51"/>
      <c r="R244" s="51"/>
      <c r="S244" s="51"/>
      <c r="T244" s="51"/>
    </row>
    <row r="245" spans="3:20" ht="11.1" customHeight="1">
      <c r="C245" s="51"/>
      <c r="E245" s="48"/>
      <c r="G245" s="184"/>
      <c r="H245" s="184"/>
      <c r="I245" s="49"/>
      <c r="J245" s="49"/>
      <c r="K245" s="50"/>
      <c r="L245" s="50"/>
      <c r="M245" s="50"/>
      <c r="N245" s="51"/>
      <c r="O245" s="51"/>
      <c r="Q245" s="51"/>
      <c r="R245" s="51"/>
      <c r="S245" s="51"/>
      <c r="T245" s="51"/>
    </row>
    <row r="246" spans="3:20" ht="11.1" customHeight="1">
      <c r="C246" s="51"/>
      <c r="E246" s="48"/>
      <c r="G246" s="184"/>
      <c r="H246" s="184"/>
      <c r="I246" s="49"/>
      <c r="J246" s="49"/>
      <c r="K246" s="50"/>
      <c r="L246" s="50"/>
      <c r="M246" s="50"/>
      <c r="N246" s="51"/>
      <c r="O246" s="51"/>
      <c r="Q246" s="51"/>
      <c r="R246" s="51"/>
      <c r="S246" s="51"/>
      <c r="T246" s="51"/>
    </row>
    <row r="247" spans="3:20" ht="11.1" customHeight="1">
      <c r="C247" s="51"/>
      <c r="E247" s="48"/>
      <c r="G247" s="184"/>
      <c r="H247" s="184"/>
      <c r="I247" s="49"/>
      <c r="J247" s="49"/>
      <c r="K247" s="50"/>
      <c r="L247" s="50"/>
      <c r="M247" s="50"/>
      <c r="N247" s="51"/>
      <c r="O247" s="51"/>
      <c r="Q247" s="51"/>
      <c r="R247" s="51"/>
      <c r="S247" s="51"/>
      <c r="T247" s="51"/>
    </row>
    <row r="248" spans="3:20" ht="11.1" customHeight="1">
      <c r="C248" s="51"/>
      <c r="E248" s="48"/>
      <c r="G248" s="184"/>
      <c r="H248" s="184"/>
      <c r="I248" s="49"/>
      <c r="J248" s="49"/>
      <c r="K248" s="50"/>
      <c r="L248" s="50"/>
      <c r="M248" s="50"/>
      <c r="N248" s="51"/>
      <c r="O248" s="51"/>
      <c r="Q248" s="51"/>
      <c r="R248" s="51"/>
      <c r="S248" s="51"/>
      <c r="T248" s="51"/>
    </row>
    <row r="249" spans="3:20" ht="11.1" customHeight="1">
      <c r="C249" s="51"/>
      <c r="E249" s="48"/>
      <c r="G249" s="184"/>
      <c r="H249" s="184"/>
      <c r="I249" s="49"/>
      <c r="J249" s="49"/>
      <c r="K249" s="50"/>
      <c r="L249" s="50"/>
      <c r="M249" s="50"/>
      <c r="N249" s="51"/>
      <c r="O249" s="51"/>
      <c r="Q249" s="51"/>
      <c r="R249" s="51"/>
      <c r="S249" s="51"/>
      <c r="T249" s="51"/>
    </row>
    <row r="250" spans="3:20" ht="11.1" customHeight="1">
      <c r="C250" s="51"/>
      <c r="E250" s="48"/>
      <c r="G250" s="184"/>
      <c r="H250" s="184"/>
      <c r="I250" s="49"/>
      <c r="J250" s="49"/>
      <c r="K250" s="50"/>
      <c r="L250" s="50"/>
      <c r="M250" s="50"/>
      <c r="N250" s="51"/>
      <c r="O250" s="51"/>
      <c r="Q250" s="51"/>
      <c r="R250" s="51"/>
      <c r="S250" s="51"/>
      <c r="T250" s="51"/>
    </row>
    <row r="251" spans="3:20" ht="11.1" customHeight="1">
      <c r="C251" s="51"/>
      <c r="E251" s="48"/>
      <c r="G251" s="184"/>
      <c r="H251" s="184"/>
      <c r="I251" s="49"/>
      <c r="J251" s="49"/>
      <c r="K251" s="50"/>
      <c r="L251" s="50"/>
      <c r="M251" s="50"/>
      <c r="N251" s="51"/>
      <c r="O251" s="51"/>
      <c r="Q251" s="51"/>
      <c r="R251" s="51"/>
      <c r="S251" s="51"/>
      <c r="T251" s="51"/>
    </row>
    <row r="252" spans="3:20" ht="11.1" customHeight="1">
      <c r="C252" s="51"/>
      <c r="E252" s="48"/>
      <c r="G252" s="184"/>
      <c r="H252" s="184"/>
      <c r="I252" s="49"/>
      <c r="J252" s="49"/>
      <c r="K252" s="50"/>
      <c r="L252" s="50"/>
      <c r="M252" s="50"/>
      <c r="N252" s="51"/>
      <c r="O252" s="51"/>
      <c r="Q252" s="51"/>
      <c r="R252" s="51"/>
      <c r="S252" s="51"/>
      <c r="T252" s="51"/>
    </row>
    <row r="253" spans="3:20" ht="11.1" customHeight="1">
      <c r="C253" s="51"/>
      <c r="E253" s="48"/>
      <c r="G253" s="184"/>
      <c r="H253" s="184"/>
      <c r="I253" s="49"/>
      <c r="J253" s="49"/>
      <c r="K253" s="50"/>
      <c r="L253" s="50"/>
      <c r="M253" s="50"/>
      <c r="N253" s="51"/>
      <c r="O253" s="51"/>
      <c r="Q253" s="51"/>
      <c r="R253" s="51"/>
      <c r="S253" s="51"/>
      <c r="T253" s="51"/>
    </row>
    <row r="254" spans="3:20" ht="11.1" customHeight="1">
      <c r="C254" s="51"/>
      <c r="E254" s="48"/>
      <c r="G254" s="184"/>
      <c r="H254" s="184"/>
      <c r="I254" s="49"/>
      <c r="J254" s="49"/>
      <c r="K254" s="50"/>
      <c r="L254" s="50"/>
      <c r="M254" s="50"/>
      <c r="N254" s="51"/>
      <c r="O254" s="51"/>
      <c r="Q254" s="51"/>
      <c r="R254" s="51"/>
      <c r="S254" s="51"/>
      <c r="T254" s="51"/>
    </row>
    <row r="255" spans="3:20" ht="11.1" customHeight="1">
      <c r="C255" s="51"/>
      <c r="E255" s="48"/>
      <c r="G255" s="184"/>
      <c r="H255" s="184"/>
      <c r="I255" s="49"/>
      <c r="J255" s="49"/>
      <c r="K255" s="50"/>
      <c r="L255" s="50"/>
      <c r="M255" s="50"/>
      <c r="N255" s="51"/>
      <c r="O255" s="51"/>
      <c r="Q255" s="51"/>
      <c r="R255" s="51"/>
      <c r="S255" s="51"/>
      <c r="T255" s="51"/>
    </row>
    <row r="256" spans="3:20" ht="11.1" customHeight="1">
      <c r="C256" s="51"/>
      <c r="E256" s="48"/>
      <c r="G256" s="184"/>
      <c r="H256" s="184"/>
      <c r="I256" s="49"/>
      <c r="J256" s="49"/>
      <c r="K256" s="50"/>
      <c r="L256" s="50"/>
      <c r="M256" s="50"/>
      <c r="N256" s="51"/>
      <c r="O256" s="51"/>
      <c r="Q256" s="51"/>
      <c r="R256" s="51"/>
      <c r="S256" s="51"/>
      <c r="T256" s="51"/>
    </row>
    <row r="257" spans="3:20" ht="11.1" customHeight="1">
      <c r="C257" s="51"/>
      <c r="E257" s="48"/>
      <c r="G257" s="184"/>
      <c r="H257" s="184"/>
      <c r="I257" s="49"/>
      <c r="J257" s="49"/>
      <c r="K257" s="50"/>
      <c r="L257" s="50"/>
      <c r="M257" s="50"/>
      <c r="N257" s="51"/>
      <c r="O257" s="51"/>
      <c r="Q257" s="51"/>
      <c r="R257" s="51"/>
      <c r="S257" s="51"/>
      <c r="T257" s="51"/>
    </row>
    <row r="258" spans="3:20" ht="11.1" customHeight="1">
      <c r="C258" s="51"/>
      <c r="E258" s="48"/>
      <c r="G258" s="184"/>
      <c r="H258" s="184"/>
      <c r="I258" s="49"/>
      <c r="J258" s="49"/>
      <c r="K258" s="50"/>
      <c r="L258" s="50"/>
      <c r="M258" s="50"/>
      <c r="N258" s="51"/>
      <c r="O258" s="51"/>
      <c r="Q258" s="51"/>
      <c r="R258" s="51"/>
      <c r="S258" s="51"/>
      <c r="T258" s="51"/>
    </row>
    <row r="259" spans="3:20" ht="11.1" customHeight="1">
      <c r="C259" s="51"/>
      <c r="E259" s="48"/>
      <c r="G259" s="184"/>
      <c r="H259" s="184"/>
      <c r="I259" s="49"/>
      <c r="J259" s="49"/>
      <c r="K259" s="50"/>
      <c r="L259" s="50"/>
      <c r="M259" s="50"/>
      <c r="N259" s="51"/>
      <c r="O259" s="51"/>
      <c r="Q259" s="51"/>
      <c r="R259" s="51"/>
      <c r="S259" s="51"/>
      <c r="T259" s="51"/>
    </row>
    <row r="260" spans="3:20" ht="11.1" customHeight="1">
      <c r="C260" s="51"/>
      <c r="E260" s="48"/>
      <c r="G260" s="184"/>
      <c r="H260" s="184"/>
      <c r="I260" s="49"/>
      <c r="J260" s="49"/>
      <c r="K260" s="50"/>
      <c r="L260" s="50"/>
      <c r="M260" s="50"/>
      <c r="N260" s="51"/>
      <c r="O260" s="51"/>
      <c r="Q260" s="51"/>
      <c r="R260" s="51"/>
      <c r="S260" s="51"/>
      <c r="T260" s="51"/>
    </row>
    <row r="261" spans="3:20" ht="11.1" customHeight="1">
      <c r="C261" s="51"/>
      <c r="E261" s="48"/>
      <c r="G261" s="184"/>
      <c r="H261" s="184"/>
      <c r="I261" s="49"/>
      <c r="J261" s="49"/>
      <c r="K261" s="50"/>
      <c r="L261" s="50"/>
      <c r="M261" s="50"/>
      <c r="N261" s="51"/>
      <c r="O261" s="51"/>
      <c r="Q261" s="51"/>
      <c r="R261" s="51"/>
      <c r="S261" s="51"/>
      <c r="T261" s="51"/>
    </row>
  </sheetData>
  <mergeCells count="8">
    <mergeCell ref="F84:S90"/>
    <mergeCell ref="E45:I45"/>
    <mergeCell ref="P45:Q45"/>
    <mergeCell ref="B1:T1"/>
    <mergeCell ref="B2:T2"/>
    <mergeCell ref="E3:I3"/>
    <mergeCell ref="B44:T44"/>
    <mergeCell ref="P3:S3"/>
  </mergeCells>
  <phoneticPr fontId="59" type="noConversion"/>
  <pageMargins left="0.5" right="0.75" top="1" bottom="0.75" header="0.5" footer="0.5"/>
  <pageSetup scale="59" fitToHeight="2" orientation="landscape" r:id="rId1"/>
  <headerFooter scaleWithDoc="0" alignWithMargins="0">
    <oddHeader>&amp;RExhibit No. __(CRM-8)</oddHeader>
    <oddFooter>&amp;RPage &amp;P of &amp;N</oddFooter>
  </headerFooter>
  <rowBreaks count="1" manualBreakCount="1">
    <brk id="43" max="2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087"/>
  <sheetViews>
    <sheetView topLeftCell="A58" zoomScaleNormal="100" zoomScaleSheetLayoutView="100" workbookViewId="0">
      <selection activeCell="P97" sqref="P97"/>
    </sheetView>
  </sheetViews>
  <sheetFormatPr defaultColWidth="12.42578125" defaultRowHeight="12"/>
  <cols>
    <col min="1" max="1" width="3.85546875" style="40" customWidth="1"/>
    <col min="2" max="2" width="3.42578125" style="40" customWidth="1"/>
    <col min="3" max="3" width="3" style="40" customWidth="1"/>
    <col min="4" max="4" width="22.5703125" style="40" customWidth="1"/>
    <col min="5" max="5" width="9.7109375" style="40" customWidth="1"/>
    <col min="6" max="6" width="8.42578125" style="41" hidden="1" customWidth="1"/>
    <col min="7" max="7" width="9" style="241" bestFit="1" customWidth="1"/>
    <col min="8" max="8" width="9.140625" style="241" customWidth="1"/>
    <col min="9" max="9" width="10.28515625" style="241" customWidth="1"/>
    <col min="10" max="10" width="9" style="241" bestFit="1" customWidth="1"/>
    <col min="11" max="11" width="9" style="41" bestFit="1" customWidth="1"/>
    <col min="12" max="12" width="9.28515625" style="241" customWidth="1"/>
    <col min="13" max="14" width="8.42578125" style="241" bestFit="1" customWidth="1"/>
    <col min="15" max="15" width="10.140625" style="241" bestFit="1" customWidth="1"/>
    <col min="16" max="17" width="9.28515625" style="241" bestFit="1" customWidth="1"/>
    <col min="18" max="18" width="9.28515625" style="40" bestFit="1" customWidth="1"/>
    <col min="19" max="19" width="9.140625" style="41" customWidth="1"/>
    <col min="20" max="20" width="9.5703125" style="41" customWidth="1"/>
    <col min="21" max="16384" width="12.42578125" style="40"/>
  </cols>
  <sheetData>
    <row r="1" spans="1:21" ht="7.5" customHeight="1">
      <c r="A1" s="954"/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</row>
    <row r="2" spans="1:21" ht="23.25" customHeight="1">
      <c r="A2" s="960" t="s">
        <v>490</v>
      </c>
      <c r="B2" s="960"/>
      <c r="C2" s="960"/>
      <c r="D2" s="960"/>
      <c r="E2" s="960"/>
      <c r="F2" s="960"/>
      <c r="G2" s="960"/>
      <c r="H2" s="960"/>
      <c r="I2" s="960"/>
      <c r="J2" s="960"/>
      <c r="K2" s="960"/>
      <c r="L2" s="960"/>
      <c r="M2" s="960"/>
      <c r="N2" s="960"/>
      <c r="O2" s="960"/>
      <c r="P2" s="960"/>
      <c r="Q2" s="960"/>
      <c r="R2" s="960"/>
    </row>
    <row r="3" spans="1:21" ht="10.9" customHeight="1">
      <c r="A3" s="467"/>
      <c r="B3" s="467"/>
      <c r="C3" s="467"/>
      <c r="D3" s="467"/>
      <c r="E3" s="467"/>
      <c r="F3" s="467"/>
      <c r="G3" s="467"/>
      <c r="H3" s="467"/>
      <c r="I3" s="467"/>
      <c r="J3" s="467"/>
      <c r="K3" s="467"/>
      <c r="L3" s="467"/>
      <c r="M3" s="467"/>
      <c r="N3" s="467"/>
      <c r="O3" s="467"/>
      <c r="P3" s="467"/>
      <c r="Q3" s="467"/>
      <c r="R3" s="467"/>
    </row>
    <row r="4" spans="1:21" ht="12.75" customHeight="1">
      <c r="A4" s="353" t="s">
        <v>94</v>
      </c>
      <c r="E4" s="962" t="s">
        <v>419</v>
      </c>
      <c r="F4" s="962"/>
      <c r="G4" s="962"/>
      <c r="H4" s="962"/>
      <c r="I4" s="963"/>
      <c r="J4" s="962"/>
      <c r="K4" s="962"/>
      <c r="L4" s="962"/>
      <c r="M4" s="962"/>
      <c r="N4" s="962"/>
      <c r="O4" s="962"/>
      <c r="P4" s="962"/>
      <c r="Q4" s="962"/>
      <c r="R4" s="962"/>
    </row>
    <row r="5" spans="1:21" ht="15" customHeight="1">
      <c r="A5" s="353"/>
      <c r="F5" s="469"/>
      <c r="G5" s="469"/>
      <c r="H5" s="469"/>
      <c r="I5" s="469"/>
      <c r="J5" s="469"/>
      <c r="K5" s="469"/>
      <c r="L5" s="469"/>
      <c r="M5" s="469"/>
      <c r="N5" s="469"/>
      <c r="O5" s="469"/>
      <c r="P5" s="469"/>
      <c r="Q5" s="469"/>
      <c r="R5" s="469"/>
    </row>
    <row r="6" spans="1:21" ht="10.5" customHeight="1">
      <c r="G6" s="41"/>
      <c r="H6" s="41"/>
      <c r="I6" s="41"/>
      <c r="J6" s="41"/>
      <c r="L6" s="41"/>
      <c r="M6" s="41"/>
      <c r="N6" s="41"/>
      <c r="O6" s="41"/>
      <c r="P6" s="41"/>
      <c r="Q6" s="41"/>
    </row>
    <row r="7" spans="1:21" ht="12.75">
      <c r="A7" s="353" t="s">
        <v>93</v>
      </c>
      <c r="F7" s="959"/>
      <c r="G7" s="959"/>
      <c r="H7" s="959"/>
      <c r="I7" s="959"/>
      <c r="J7" s="959"/>
      <c r="K7" s="959"/>
      <c r="L7" s="959"/>
      <c r="M7" s="959"/>
      <c r="N7" s="959"/>
      <c r="O7" s="959"/>
      <c r="P7" s="959"/>
      <c r="Q7" s="42"/>
      <c r="T7" s="692"/>
    </row>
    <row r="8" spans="1:21">
      <c r="A8" s="54" t="s">
        <v>3</v>
      </c>
      <c r="F8" s="192">
        <v>2000</v>
      </c>
      <c r="G8" s="192">
        <v>2001</v>
      </c>
      <c r="H8" s="192">
        <v>2002</v>
      </c>
      <c r="I8" s="192">
        <v>2003</v>
      </c>
      <c r="J8" s="192">
        <v>2004</v>
      </c>
      <c r="K8" s="192">
        <v>2005</v>
      </c>
      <c r="L8" s="192">
        <v>2006</v>
      </c>
      <c r="M8" s="192">
        <v>2007</v>
      </c>
      <c r="N8" s="192">
        <v>2008</v>
      </c>
      <c r="O8" s="192">
        <v>2009</v>
      </c>
      <c r="P8" s="192">
        <v>2010</v>
      </c>
      <c r="Q8" s="192">
        <v>2011</v>
      </c>
      <c r="R8" s="192">
        <v>2012</v>
      </c>
      <c r="S8" s="192">
        <v>2013</v>
      </c>
      <c r="T8" s="192">
        <v>2014</v>
      </c>
      <c r="U8" s="193"/>
    </row>
    <row r="9" spans="1:21">
      <c r="A9" s="54" t="s">
        <v>90</v>
      </c>
      <c r="B9" s="40" t="s">
        <v>86</v>
      </c>
      <c r="F9" s="42"/>
      <c r="G9" s="42"/>
      <c r="H9" s="42"/>
      <c r="I9" s="42"/>
      <c r="J9" s="42"/>
      <c r="K9" s="351"/>
      <c r="L9" s="42"/>
      <c r="M9" s="42"/>
      <c r="N9" s="42"/>
      <c r="O9" s="42"/>
      <c r="P9" s="42"/>
      <c r="Q9" s="42"/>
      <c r="S9" s="40"/>
      <c r="T9" s="40"/>
    </row>
    <row r="10" spans="1:21">
      <c r="A10" s="54">
        <v>1</v>
      </c>
      <c r="B10" s="40" t="s">
        <v>85</v>
      </c>
      <c r="F10" s="195">
        <f>'CBR Hist'!F13</f>
        <v>242529</v>
      </c>
      <c r="G10" s="195">
        <f>'CBR Hist'!G13</f>
        <v>258201</v>
      </c>
      <c r="H10" s="195">
        <f>'CBR Hist'!H13</f>
        <v>273318</v>
      </c>
      <c r="I10" s="195">
        <f>'CBR Hist'!I13</f>
        <v>283356</v>
      </c>
      <c r="J10" s="195">
        <f>'CBR Hist'!J13</f>
        <v>285399</v>
      </c>
      <c r="K10" s="195">
        <f>'CBR Hist'!K13</f>
        <v>289216</v>
      </c>
      <c r="L10" s="195">
        <f>'CBR Hist'!L13</f>
        <v>321929</v>
      </c>
      <c r="M10" s="195">
        <f>'CBR Hist'!M13</f>
        <v>326335</v>
      </c>
      <c r="N10" s="195">
        <f>'CBR Hist'!N13</f>
        <v>365425</v>
      </c>
      <c r="O10" s="195">
        <f>'CBR Hist'!O13</f>
        <v>402618</v>
      </c>
      <c r="P10" s="195">
        <f>'CBR Hist'!P13</f>
        <v>415739.9703632</v>
      </c>
      <c r="Q10" s="195">
        <f>'CBR Hist'!Q13</f>
        <v>451837</v>
      </c>
      <c r="R10" s="195">
        <f>'CBR Hist'!R13-816-113</f>
        <v>459266</v>
      </c>
      <c r="S10" s="195">
        <f>'CBR Hist'!S13</f>
        <v>468006</v>
      </c>
      <c r="T10" s="195">
        <f>'CBR Hist'!T13</f>
        <v>488372</v>
      </c>
    </row>
    <row r="11" spans="1:21">
      <c r="A11" s="54">
        <v>2</v>
      </c>
      <c r="B11" s="40" t="s">
        <v>84</v>
      </c>
      <c r="F11" s="194">
        <f>'CBR Hist'!F14</f>
        <v>546</v>
      </c>
      <c r="G11" s="194">
        <f>'CBR Hist'!G14</f>
        <v>528</v>
      </c>
      <c r="H11" s="194">
        <f>'CBR Hist'!H14</f>
        <v>791</v>
      </c>
      <c r="I11" s="194">
        <f>'CBR Hist'!I14</f>
        <v>752</v>
      </c>
      <c r="J11" s="194">
        <f>'CBR Hist'!J14</f>
        <v>752</v>
      </c>
      <c r="K11" s="194">
        <f>'CBR Hist'!K14</f>
        <v>713</v>
      </c>
      <c r="L11" s="194">
        <f>'CBR Hist'!L14</f>
        <v>733</v>
      </c>
      <c r="M11" s="194">
        <f>'CBR Hist'!M14</f>
        <v>739</v>
      </c>
      <c r="N11" s="194">
        <f>'CBR Hist'!N14</f>
        <v>820</v>
      </c>
      <c r="O11" s="194">
        <f>'CBR Hist'!O14</f>
        <v>871.54909999999995</v>
      </c>
      <c r="P11" s="194">
        <f>'CBR Hist'!P14</f>
        <v>790</v>
      </c>
      <c r="Q11" s="194">
        <f>'CBR Hist'!Q14</f>
        <v>820</v>
      </c>
      <c r="R11" s="194">
        <f>'CBR Hist'!R14+816+113</f>
        <v>816</v>
      </c>
      <c r="S11" s="194">
        <f>'CBR Hist'!S14</f>
        <v>884</v>
      </c>
      <c r="T11" s="194">
        <f>'CBR Hist'!T14</f>
        <v>922</v>
      </c>
    </row>
    <row r="12" spans="1:21">
      <c r="A12" s="54">
        <v>3</v>
      </c>
      <c r="B12" s="40" t="s">
        <v>83</v>
      </c>
      <c r="F12" s="194">
        <f>'CBR Hist'!F15</f>
        <v>137117</v>
      </c>
      <c r="G12" s="194">
        <f>'CBR Hist'!G15</f>
        <v>91388</v>
      </c>
      <c r="H12" s="194">
        <f>'CBR Hist'!H15</f>
        <v>29918</v>
      </c>
      <c r="I12" s="194">
        <f>'CBR Hist'!I15</f>
        <v>35252</v>
      </c>
      <c r="J12" s="194">
        <f>'CBR Hist'!J15</f>
        <v>40460</v>
      </c>
      <c r="K12" s="194">
        <f>'CBR Hist'!K15</f>
        <v>44718</v>
      </c>
      <c r="L12" s="194">
        <f>'CBR Hist'!L15</f>
        <v>35380</v>
      </c>
      <c r="M12" s="194">
        <f>'CBR Hist'!M15</f>
        <v>34954</v>
      </c>
      <c r="N12" s="194">
        <f>'CBR Hist'!N15</f>
        <v>46848</v>
      </c>
      <c r="O12" s="194">
        <f>'CBR Hist'!O15</f>
        <v>31491</v>
      </c>
      <c r="P12" s="194">
        <f>'CBR Hist'!P15</f>
        <v>133479</v>
      </c>
      <c r="Q12" s="194">
        <f>'CBR Hist'!Q15</f>
        <v>52604</v>
      </c>
      <c r="R12" s="194">
        <f>'CBR Hist'!R15</f>
        <v>54549</v>
      </c>
      <c r="S12" s="194">
        <f>'CBR Hist'!S15</f>
        <v>75349</v>
      </c>
      <c r="T12" s="194">
        <f>'CBR Hist'!T15</f>
        <v>60998</v>
      </c>
    </row>
    <row r="13" spans="1:21">
      <c r="A13" s="54">
        <v>4</v>
      </c>
      <c r="B13" s="40" t="s">
        <v>82</v>
      </c>
      <c r="F13" s="415">
        <f>SUM(F10:F12)</f>
        <v>380192</v>
      </c>
      <c r="G13" s="415">
        <f t="shared" ref="G13:R13" si="0">SUM(G10:G12)</f>
        <v>350117</v>
      </c>
      <c r="H13" s="415">
        <f t="shared" si="0"/>
        <v>304027</v>
      </c>
      <c r="I13" s="415">
        <f t="shared" si="0"/>
        <v>319360</v>
      </c>
      <c r="J13" s="415">
        <f t="shared" si="0"/>
        <v>326611</v>
      </c>
      <c r="K13" s="415">
        <f t="shared" si="0"/>
        <v>334647</v>
      </c>
      <c r="L13" s="415">
        <f t="shared" si="0"/>
        <v>358042</v>
      </c>
      <c r="M13" s="415">
        <f t="shared" si="0"/>
        <v>362028</v>
      </c>
      <c r="N13" s="415">
        <f t="shared" si="0"/>
        <v>413093</v>
      </c>
      <c r="O13" s="415">
        <f t="shared" si="0"/>
        <v>434980.5491</v>
      </c>
      <c r="P13" s="415">
        <f t="shared" si="0"/>
        <v>550008.97036319994</v>
      </c>
      <c r="Q13" s="415">
        <f t="shared" si="0"/>
        <v>505261</v>
      </c>
      <c r="R13" s="415">
        <f t="shared" si="0"/>
        <v>514631</v>
      </c>
      <c r="S13" s="415">
        <f t="shared" ref="S13:T13" si="1">SUM(S10:S12)</f>
        <v>544239</v>
      </c>
      <c r="T13" s="415">
        <f t="shared" si="1"/>
        <v>550292</v>
      </c>
    </row>
    <row r="14" spans="1:21">
      <c r="A14" s="54">
        <v>5</v>
      </c>
      <c r="B14" s="40" t="s">
        <v>81</v>
      </c>
      <c r="F14" s="194">
        <f>'CBR Hist'!F17</f>
        <v>13062</v>
      </c>
      <c r="G14" s="194">
        <f>'CBR Hist'!G17</f>
        <v>14305</v>
      </c>
      <c r="H14" s="194">
        <f>'CBR Hist'!H17</f>
        <v>34274</v>
      </c>
      <c r="I14" s="194">
        <f>'CBR Hist'!I17</f>
        <v>57244</v>
      </c>
      <c r="J14" s="194">
        <f>'CBR Hist'!J17</f>
        <v>8587</v>
      </c>
      <c r="K14" s="194">
        <f>'CBR Hist'!K17</f>
        <v>10259</v>
      </c>
      <c r="L14" s="194">
        <f>'CBR Hist'!L17</f>
        <v>10178</v>
      </c>
      <c r="M14" s="194">
        <f>'CBR Hist'!M17</f>
        <v>10170</v>
      </c>
      <c r="N14" s="194">
        <f>'CBR Hist'!N17</f>
        <v>10927</v>
      </c>
      <c r="O14" s="194">
        <f>'CBR Hist'!O17</f>
        <v>9395</v>
      </c>
      <c r="P14" s="194">
        <f>'CBR Hist'!P17</f>
        <v>11786</v>
      </c>
      <c r="Q14" s="194">
        <f>'CBR Hist'!Q17</f>
        <v>13666</v>
      </c>
      <c r="R14" s="194">
        <f>'CBR Hist'!R17</f>
        <v>13089</v>
      </c>
      <c r="S14" s="194">
        <f>'CBR Hist'!S17</f>
        <v>13408</v>
      </c>
      <c r="T14" s="194">
        <f>'CBR Hist'!T17</f>
        <v>17163</v>
      </c>
    </row>
    <row r="15" spans="1:21">
      <c r="A15" s="54">
        <v>6</v>
      </c>
      <c r="B15" s="40" t="s">
        <v>80</v>
      </c>
      <c r="F15" s="415">
        <f>SUM(F13:F14)</f>
        <v>393254</v>
      </c>
      <c r="G15" s="415">
        <f t="shared" ref="G15:R15" si="2">SUM(G13:G14)</f>
        <v>364422</v>
      </c>
      <c r="H15" s="415">
        <f t="shared" si="2"/>
        <v>338301</v>
      </c>
      <c r="I15" s="415">
        <f t="shared" si="2"/>
        <v>376604</v>
      </c>
      <c r="J15" s="415">
        <f t="shared" si="2"/>
        <v>335198</v>
      </c>
      <c r="K15" s="415">
        <f t="shared" si="2"/>
        <v>344906</v>
      </c>
      <c r="L15" s="415">
        <f t="shared" si="2"/>
        <v>368220</v>
      </c>
      <c r="M15" s="415">
        <f t="shared" si="2"/>
        <v>372198</v>
      </c>
      <c r="N15" s="415">
        <f t="shared" si="2"/>
        <v>424020</v>
      </c>
      <c r="O15" s="415">
        <f t="shared" si="2"/>
        <v>444375.5491</v>
      </c>
      <c r="P15" s="415">
        <f t="shared" si="2"/>
        <v>561794.97036319994</v>
      </c>
      <c r="Q15" s="415">
        <f t="shared" si="2"/>
        <v>518927</v>
      </c>
      <c r="R15" s="415">
        <f t="shared" si="2"/>
        <v>527720</v>
      </c>
      <c r="S15" s="415">
        <f t="shared" ref="S15:T15" si="3">SUM(S13:S14)</f>
        <v>557647</v>
      </c>
      <c r="T15" s="415">
        <f t="shared" si="3"/>
        <v>567455</v>
      </c>
    </row>
    <row r="16" spans="1:21" ht="6.75" customHeight="1">
      <c r="A16" s="5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</row>
    <row r="17" spans="1:20">
      <c r="A17" s="54"/>
      <c r="B17" s="40" t="s">
        <v>79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</row>
    <row r="18" spans="1:20">
      <c r="A18" s="54"/>
      <c r="B18" s="40" t="s">
        <v>78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</row>
    <row r="19" spans="1:20">
      <c r="A19" s="54">
        <v>7</v>
      </c>
      <c r="C19" s="40" t="s">
        <v>70</v>
      </c>
      <c r="F19" s="194">
        <f>'CBR Hist'!F22</f>
        <v>78721</v>
      </c>
      <c r="G19" s="194">
        <f>'CBR Hist'!G22</f>
        <v>47157</v>
      </c>
      <c r="H19" s="194">
        <f>'CBR Hist'!H22</f>
        <v>101475</v>
      </c>
      <c r="I19" s="194">
        <f>'CBR Hist'!I22</f>
        <v>132098</v>
      </c>
      <c r="J19" s="194">
        <f>'CBR Hist'!J22</f>
        <v>101545</v>
      </c>
      <c r="K19" s="194">
        <f>'CBR Hist'!K22</f>
        <v>105374</v>
      </c>
      <c r="L19" s="194">
        <f>'CBR Hist'!L22</f>
        <v>104260</v>
      </c>
      <c r="M19" s="194">
        <f>'CBR Hist'!M22</f>
        <v>102890</v>
      </c>
      <c r="N19" s="194">
        <f>'CBR Hist'!N22</f>
        <v>117123</v>
      </c>
      <c r="O19" s="194">
        <f>'CBR Hist'!O22</f>
        <v>87599</v>
      </c>
      <c r="P19" s="194">
        <f>'CBR Hist'!P22</f>
        <v>147107</v>
      </c>
      <c r="Q19" s="194">
        <f>'CBR Hist'!Q22</f>
        <v>145634</v>
      </c>
      <c r="R19" s="194">
        <f>'CBR Hist'!R22</f>
        <v>131795</v>
      </c>
      <c r="S19" s="194">
        <f>'CBR Hist'!S22</f>
        <v>143904</v>
      </c>
      <c r="T19" s="194">
        <f>'CBR Hist'!T22</f>
        <v>120307</v>
      </c>
    </row>
    <row r="20" spans="1:20">
      <c r="A20" s="54">
        <v>8</v>
      </c>
      <c r="C20" s="40" t="s">
        <v>77</v>
      </c>
      <c r="F20" s="194">
        <f>'CBR Hist'!F23</f>
        <v>181189</v>
      </c>
      <c r="G20" s="194">
        <f>'CBR Hist'!G23</f>
        <v>132159</v>
      </c>
      <c r="H20" s="194">
        <f>'CBR Hist'!H23</f>
        <v>50769</v>
      </c>
      <c r="I20" s="194">
        <f>'CBR Hist'!I23</f>
        <v>46591</v>
      </c>
      <c r="J20" s="194">
        <f>'CBR Hist'!J23</f>
        <v>51042</v>
      </c>
      <c r="K20" s="194">
        <f>'CBR Hist'!K23</f>
        <v>55046</v>
      </c>
      <c r="L20" s="194">
        <f>'CBR Hist'!L23</f>
        <v>79146</v>
      </c>
      <c r="M20" s="194">
        <f>'CBR Hist'!M23</f>
        <v>65640</v>
      </c>
      <c r="N20" s="194">
        <f>'CBR Hist'!N23</f>
        <v>72508</v>
      </c>
      <c r="O20" s="194">
        <f>'CBR Hist'!O23</f>
        <v>100437</v>
      </c>
      <c r="P20" s="194">
        <f>'CBR Hist'!P23</f>
        <v>142197</v>
      </c>
      <c r="Q20" s="194">
        <f>'CBR Hist'!Q23</f>
        <v>91142</v>
      </c>
      <c r="R20" s="194">
        <f>'CBR Hist'!R23</f>
        <v>101283</v>
      </c>
      <c r="S20" s="194">
        <f>'CBR Hist'!S23</f>
        <v>109034</v>
      </c>
      <c r="T20" s="194">
        <f>'CBR Hist'!T23</f>
        <v>116643</v>
      </c>
    </row>
    <row r="21" spans="1:20">
      <c r="A21" s="54">
        <v>9</v>
      </c>
      <c r="C21" s="40" t="s">
        <v>137</v>
      </c>
      <c r="F21" s="194">
        <f>'CBR Hist'!F24+'CBR Hist'!F25-F22</f>
        <v>14850</v>
      </c>
      <c r="G21" s="194">
        <f>'CBR Hist'!G24+'CBR Hist'!G25-G22</f>
        <v>15202</v>
      </c>
      <c r="H21" s="194">
        <f>'CBR Hist'!H24+'CBR Hist'!H25-H22</f>
        <v>20157</v>
      </c>
      <c r="I21" s="194">
        <f>'CBR Hist'!I24+'CBR Hist'!I25-I22</f>
        <v>20523</v>
      </c>
      <c r="J21" s="194">
        <f>'CBR Hist'!J24+'CBR Hist'!J25-J22</f>
        <v>22312</v>
      </c>
      <c r="K21" s="194">
        <f>'CBR Hist'!K24+'CBR Hist'!K25-K22</f>
        <v>22629</v>
      </c>
      <c r="L21" s="194">
        <f>'CBR Hist'!L24+'CBR Hist'!L25-L22</f>
        <v>24577</v>
      </c>
      <c r="M21" s="194">
        <f>'CBR Hist'!M24+'CBR Hist'!M25-M22</f>
        <v>24877</v>
      </c>
      <c r="N21" s="194">
        <f>'CBR Hist'!N24+'CBR Hist'!N25-N22</f>
        <v>23076</v>
      </c>
      <c r="O21" s="194">
        <f>'CBR Hist'!O24+'CBR Hist'!O25-O22</f>
        <v>23969</v>
      </c>
      <c r="P21" s="194">
        <f>'CBR Hist'!P24+'CBR Hist'!P25-P22</f>
        <v>25008</v>
      </c>
      <c r="Q21" s="194">
        <f>'CBR Hist'!Q24+'CBR Hist'!Q25-Q22</f>
        <v>25158</v>
      </c>
      <c r="R21" s="194">
        <f>'CBR Hist'!R24+'CBR Hist'!R25-R22</f>
        <v>25680</v>
      </c>
      <c r="S21" s="194">
        <f>'CBR Hist'!S24+'CBR Hist'!S25-S22</f>
        <v>23284</v>
      </c>
      <c r="T21" s="194">
        <f>'CBR Hist'!T24+'CBR Hist'!T25-T22</f>
        <v>23715</v>
      </c>
    </row>
    <row r="22" spans="1:20">
      <c r="A22" s="54">
        <v>10</v>
      </c>
      <c r="C22" s="40" t="s">
        <v>138</v>
      </c>
      <c r="F22" s="194">
        <f>'Reg Amorts'!E42</f>
        <v>-17964</v>
      </c>
      <c r="G22" s="194">
        <f>'Reg Amorts'!F42</f>
        <v>-6050</v>
      </c>
      <c r="H22" s="194">
        <f>'Reg Amorts'!G42</f>
        <v>-6349</v>
      </c>
      <c r="I22" s="194">
        <f>'Reg Amorts'!H42</f>
        <v>-5608</v>
      </c>
      <c r="J22" s="194">
        <f>'Reg Amorts'!I42</f>
        <v>567</v>
      </c>
      <c r="K22" s="194">
        <f>'Reg Amorts'!J42</f>
        <v>-8817</v>
      </c>
      <c r="L22" s="194">
        <f>'Reg Amorts'!K42</f>
        <v>1168</v>
      </c>
      <c r="M22" s="194">
        <f>'Reg Amorts'!L42</f>
        <v>-3082</v>
      </c>
      <c r="N22" s="194">
        <f>'Reg Amorts'!M42</f>
        <v>-1076</v>
      </c>
      <c r="O22" s="194">
        <f>'Reg Amorts'!N42</f>
        <v>-1703</v>
      </c>
      <c r="P22" s="194">
        <f>'Reg Amorts'!O42</f>
        <v>-2879</v>
      </c>
      <c r="Q22" s="194">
        <f>'Reg Amorts'!P42</f>
        <v>403</v>
      </c>
      <c r="R22" s="194">
        <f>'Reg Amorts'!Q42</f>
        <v>-7744</v>
      </c>
      <c r="S22" s="194">
        <f>'Reg Amorts'!R42</f>
        <v>8629</v>
      </c>
      <c r="T22" s="194">
        <f>'Reg Amorts'!S42</f>
        <v>8101</v>
      </c>
    </row>
    <row r="23" spans="1:20">
      <c r="A23" s="54">
        <v>11</v>
      </c>
      <c r="C23" s="40" t="s">
        <v>69</v>
      </c>
      <c r="F23" s="194">
        <f>'CBR Hist'!F26</f>
        <v>9346</v>
      </c>
      <c r="G23" s="194">
        <f>'CBR Hist'!G26</f>
        <v>5139</v>
      </c>
      <c r="H23" s="194">
        <f>'CBR Hist'!H26</f>
        <v>7164</v>
      </c>
      <c r="I23" s="194">
        <f>'CBR Hist'!I26</f>
        <v>6722</v>
      </c>
      <c r="J23" s="194">
        <f>'CBR Hist'!J26</f>
        <v>7283</v>
      </c>
      <c r="K23" s="194">
        <f>'CBR Hist'!K26</f>
        <v>9900</v>
      </c>
      <c r="L23" s="194">
        <f>'CBR Hist'!L26</f>
        <v>9115</v>
      </c>
      <c r="M23" s="194">
        <f>'CBR Hist'!M26</f>
        <v>8319</v>
      </c>
      <c r="N23" s="194">
        <f>'CBR Hist'!N26</f>
        <v>8146</v>
      </c>
      <c r="O23" s="194">
        <f>'CBR Hist'!O26</f>
        <v>9014</v>
      </c>
      <c r="P23" s="194">
        <f>'CBR Hist'!P26</f>
        <v>9955</v>
      </c>
      <c r="Q23" s="194">
        <f>'CBR Hist'!Q26</f>
        <v>10846</v>
      </c>
      <c r="R23" s="194">
        <f>'CBR Hist'!R26</f>
        <v>11456</v>
      </c>
      <c r="S23" s="194">
        <f>'CBR Hist'!S26</f>
        <v>12913</v>
      </c>
      <c r="T23" s="194">
        <f>'CBR Hist'!T26</f>
        <v>12828</v>
      </c>
    </row>
    <row r="24" spans="1:20">
      <c r="A24" s="54">
        <v>12</v>
      </c>
      <c r="B24" s="40" t="s">
        <v>76</v>
      </c>
      <c r="F24" s="416">
        <f>SUM(F19:F23)</f>
        <v>266142</v>
      </c>
      <c r="G24" s="416">
        <f t="shared" ref="G24:R24" si="4">SUM(G19:G23)</f>
        <v>193607</v>
      </c>
      <c r="H24" s="416">
        <f t="shared" si="4"/>
        <v>173216</v>
      </c>
      <c r="I24" s="416">
        <f t="shared" si="4"/>
        <v>200326</v>
      </c>
      <c r="J24" s="416">
        <f t="shared" si="4"/>
        <v>182749</v>
      </c>
      <c r="K24" s="416">
        <f t="shared" si="4"/>
        <v>184132</v>
      </c>
      <c r="L24" s="416">
        <f t="shared" si="4"/>
        <v>218266</v>
      </c>
      <c r="M24" s="416">
        <f t="shared" si="4"/>
        <v>198644</v>
      </c>
      <c r="N24" s="416">
        <f t="shared" si="4"/>
        <v>219777</v>
      </c>
      <c r="O24" s="416">
        <f t="shared" si="4"/>
        <v>219316</v>
      </c>
      <c r="P24" s="416">
        <f t="shared" si="4"/>
        <v>321388</v>
      </c>
      <c r="Q24" s="416">
        <f t="shared" si="4"/>
        <v>273183</v>
      </c>
      <c r="R24" s="416">
        <f t="shared" si="4"/>
        <v>262470</v>
      </c>
      <c r="S24" s="416">
        <f t="shared" ref="S24:T24" si="5">SUM(S19:S23)</f>
        <v>297764</v>
      </c>
      <c r="T24" s="416">
        <f t="shared" si="5"/>
        <v>281594</v>
      </c>
    </row>
    <row r="25" spans="1:20" ht="13.5" customHeight="1">
      <c r="A25" s="5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546"/>
      <c r="T25" s="546"/>
    </row>
    <row r="26" spans="1:20">
      <c r="A26" s="54"/>
      <c r="B26" s="40" t="s">
        <v>56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</row>
    <row r="27" spans="1:20">
      <c r="A27" s="54">
        <v>13</v>
      </c>
      <c r="C27" s="40" t="s">
        <v>70</v>
      </c>
      <c r="F27" s="194">
        <f>'CBR Hist'!F30</f>
        <v>9418</v>
      </c>
      <c r="G27" s="194">
        <f>'CBR Hist'!G30</f>
        <v>10560</v>
      </c>
      <c r="H27" s="194">
        <f>'CBR Hist'!H30</f>
        <v>9631</v>
      </c>
      <c r="I27" s="194">
        <f>'CBR Hist'!I30</f>
        <v>10171</v>
      </c>
      <c r="J27" s="194">
        <f>'CBR Hist'!J30</f>
        <v>12016</v>
      </c>
      <c r="K27" s="194">
        <f>'CBR Hist'!K30</f>
        <v>14263</v>
      </c>
      <c r="L27" s="194">
        <f>'CBR Hist'!L30</f>
        <v>15485</v>
      </c>
      <c r="M27" s="194">
        <f>'CBR Hist'!M30</f>
        <v>14563</v>
      </c>
      <c r="N27" s="194">
        <f>'CBR Hist'!N30</f>
        <v>17329</v>
      </c>
      <c r="O27" s="194">
        <f>'CBR Hist'!O30</f>
        <v>17267</v>
      </c>
      <c r="P27" s="194">
        <f>'CBR Hist'!P30</f>
        <v>18354</v>
      </c>
      <c r="Q27" s="194">
        <f>'CBR Hist'!Q30</f>
        <v>19081</v>
      </c>
      <c r="R27" s="194">
        <f>'CBR Hist'!R30</f>
        <v>21152</v>
      </c>
      <c r="S27" s="194">
        <f>'CBR Hist'!S30</f>
        <v>20878</v>
      </c>
      <c r="T27" s="194">
        <f>'CBR Hist'!T30</f>
        <v>21299</v>
      </c>
    </row>
    <row r="28" spans="1:20">
      <c r="A28" s="54">
        <v>14</v>
      </c>
      <c r="C28" s="40" t="s">
        <v>139</v>
      </c>
      <c r="F28" s="194">
        <f>'CBR Hist'!F31</f>
        <v>9056</v>
      </c>
      <c r="G28" s="194">
        <f>'CBR Hist'!G31</f>
        <v>9178</v>
      </c>
      <c r="H28" s="194">
        <f>'CBR Hist'!H31</f>
        <v>9427</v>
      </c>
      <c r="I28" s="194">
        <f>'CBR Hist'!I31</f>
        <v>9752</v>
      </c>
      <c r="J28" s="194">
        <f>'CBR Hist'!J31</f>
        <v>10067</v>
      </c>
      <c r="K28" s="194">
        <f>'CBR Hist'!K31</f>
        <v>10399</v>
      </c>
      <c r="L28" s="194">
        <f>'CBR Hist'!L31</f>
        <v>10776</v>
      </c>
      <c r="M28" s="194">
        <f>'CBR Hist'!M31</f>
        <v>11333</v>
      </c>
      <c r="N28" s="194">
        <f>'CBR Hist'!N31</f>
        <v>15611</v>
      </c>
      <c r="O28" s="194">
        <f>'CBR Hist'!O31</f>
        <v>16809</v>
      </c>
      <c r="P28" s="194">
        <f>'CBR Hist'!P31</f>
        <v>17985</v>
      </c>
      <c r="Q28" s="194">
        <f>'CBR Hist'!Q31</f>
        <v>19240</v>
      </c>
      <c r="R28" s="194">
        <f>'CBR Hist'!R31</f>
        <v>20749</v>
      </c>
      <c r="S28" s="194">
        <f>'CBR Hist'!S31</f>
        <v>22303</v>
      </c>
      <c r="T28" s="194">
        <f>'CBR Hist'!T31</f>
        <v>23794</v>
      </c>
    </row>
    <row r="29" spans="1:20">
      <c r="A29" s="54">
        <v>15</v>
      </c>
      <c r="C29" s="40" t="s">
        <v>69</v>
      </c>
      <c r="F29" s="194">
        <f>'CBR Hist'!F32</f>
        <v>11693</v>
      </c>
      <c r="G29" s="194">
        <f>'CBR Hist'!G32</f>
        <v>15462</v>
      </c>
      <c r="H29" s="194">
        <f>'CBR Hist'!H32</f>
        <v>16996</v>
      </c>
      <c r="I29" s="194">
        <f>'CBR Hist'!I32</f>
        <v>17286</v>
      </c>
      <c r="J29" s="194">
        <f>'CBR Hist'!J32</f>
        <v>17401</v>
      </c>
      <c r="K29" s="194">
        <f>'CBR Hist'!K32</f>
        <v>14988</v>
      </c>
      <c r="L29" s="194">
        <f>'CBR Hist'!L32</f>
        <v>16307</v>
      </c>
      <c r="M29" s="194">
        <f>'CBR Hist'!M32</f>
        <v>16156</v>
      </c>
      <c r="N29" s="194">
        <f>'CBR Hist'!N32</f>
        <v>17416</v>
      </c>
      <c r="O29" s="194">
        <f>'CBR Hist'!O32</f>
        <v>18207</v>
      </c>
      <c r="P29" s="194">
        <f>'CBR Hist'!P32</f>
        <v>19990</v>
      </c>
      <c r="Q29" s="194">
        <f>'CBR Hist'!Q32</f>
        <v>22393.453812</v>
      </c>
      <c r="R29" s="194">
        <f>'CBR Hist'!R32</f>
        <v>22594.925350000001</v>
      </c>
      <c r="S29" s="194">
        <f>'CBR Hist'!S32</f>
        <v>23288</v>
      </c>
      <c r="T29" s="194">
        <f>'CBR Hist'!T32</f>
        <v>25575</v>
      </c>
    </row>
    <row r="30" spans="1:20">
      <c r="A30" s="54">
        <v>16</v>
      </c>
      <c r="B30" s="40" t="s">
        <v>75</v>
      </c>
      <c r="F30" s="416">
        <f>SUM(F27:F29)</f>
        <v>30167</v>
      </c>
      <c r="G30" s="416">
        <f t="shared" ref="G30:R30" si="6">SUM(G27:G29)</f>
        <v>35200</v>
      </c>
      <c r="H30" s="416">
        <f t="shared" si="6"/>
        <v>36054</v>
      </c>
      <c r="I30" s="416">
        <f t="shared" si="6"/>
        <v>37209</v>
      </c>
      <c r="J30" s="416">
        <f t="shared" si="6"/>
        <v>39484</v>
      </c>
      <c r="K30" s="416">
        <f t="shared" si="6"/>
        <v>39650</v>
      </c>
      <c r="L30" s="416">
        <f t="shared" si="6"/>
        <v>42568</v>
      </c>
      <c r="M30" s="416">
        <f t="shared" si="6"/>
        <v>42052</v>
      </c>
      <c r="N30" s="416">
        <f t="shared" si="6"/>
        <v>50356</v>
      </c>
      <c r="O30" s="416">
        <f t="shared" si="6"/>
        <v>52283</v>
      </c>
      <c r="P30" s="416">
        <f t="shared" si="6"/>
        <v>56329</v>
      </c>
      <c r="Q30" s="416">
        <f t="shared" si="6"/>
        <v>60714.453812</v>
      </c>
      <c r="R30" s="416">
        <f t="shared" si="6"/>
        <v>64495.925350000005</v>
      </c>
      <c r="S30" s="416">
        <f t="shared" ref="S30:T30" si="7">SUM(S27:S29)</f>
        <v>66469</v>
      </c>
      <c r="T30" s="416">
        <f t="shared" si="7"/>
        <v>70668</v>
      </c>
    </row>
    <row r="31" spans="1:20" ht="4.5" customHeight="1">
      <c r="A31" s="5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</row>
    <row r="32" spans="1:20">
      <c r="A32" s="54">
        <v>17</v>
      </c>
      <c r="B32" s="40" t="s">
        <v>74</v>
      </c>
      <c r="F32" s="194">
        <f>'CBR Hist'!F35</f>
        <v>5768</v>
      </c>
      <c r="G32" s="194">
        <f>'CBR Hist'!G35</f>
        <v>6196</v>
      </c>
      <c r="H32" s="194">
        <f>'CBR Hist'!H35</f>
        <v>7113</v>
      </c>
      <c r="I32" s="194">
        <f>'CBR Hist'!I35</f>
        <v>7129</v>
      </c>
      <c r="J32" s="194">
        <f>'CBR Hist'!J35</f>
        <v>7352</v>
      </c>
      <c r="K32" s="194">
        <f>'CBR Hist'!K35</f>
        <v>7156</v>
      </c>
      <c r="L32" s="194">
        <f>'CBR Hist'!L35</f>
        <v>7097</v>
      </c>
      <c r="M32" s="194">
        <f>'CBR Hist'!M35</f>
        <v>7514</v>
      </c>
      <c r="N32" s="194">
        <f>'CBR Hist'!N35</f>
        <v>7919</v>
      </c>
      <c r="O32" s="194">
        <f>'CBR Hist'!O35</f>
        <v>9646</v>
      </c>
      <c r="P32" s="194">
        <f>'CBR Hist'!P35</f>
        <v>9261</v>
      </c>
      <c r="Q32" s="194">
        <f>'CBR Hist'!Q35</f>
        <v>10274.701588</v>
      </c>
      <c r="R32" s="194">
        <f>'CBR Hist'!R35</f>
        <v>10335.791302</v>
      </c>
      <c r="S32" s="194">
        <f>'CBR Hist'!S35</f>
        <v>11334</v>
      </c>
      <c r="T32" s="194">
        <f>'CBR Hist'!T35</f>
        <v>11166</v>
      </c>
    </row>
    <row r="33" spans="1:20">
      <c r="A33" s="54">
        <v>18</v>
      </c>
      <c r="B33" s="40" t="s">
        <v>73</v>
      </c>
      <c r="F33" s="194">
        <f>'CBR Hist'!F36</f>
        <v>5704</v>
      </c>
      <c r="G33" s="194">
        <f>'CBR Hist'!G36</f>
        <v>5381</v>
      </c>
      <c r="H33" s="194">
        <f>'CBR Hist'!H36</f>
        <v>6261</v>
      </c>
      <c r="I33" s="194">
        <f>'CBR Hist'!I36</f>
        <v>6620</v>
      </c>
      <c r="J33" s="194">
        <f>'CBR Hist'!J36</f>
        <v>266</v>
      </c>
      <c r="K33" s="194">
        <f>'CBR Hist'!K36</f>
        <v>7127</v>
      </c>
      <c r="L33" s="194">
        <f>'CBR Hist'!L36</f>
        <v>1159</v>
      </c>
      <c r="M33" s="194">
        <f>'CBR Hist'!M36</f>
        <v>7472</v>
      </c>
      <c r="N33" s="194">
        <f>'CBR Hist'!N36</f>
        <v>12847</v>
      </c>
      <c r="O33" s="194">
        <f>'CBR Hist'!O36</f>
        <v>19736</v>
      </c>
      <c r="P33" s="194">
        <f>'CBR Hist'!P36</f>
        <v>20832</v>
      </c>
      <c r="Q33" s="194">
        <f>'CBR Hist'!Q36</f>
        <v>21292</v>
      </c>
      <c r="R33" s="194">
        <f>'CBR Hist'!R36</f>
        <v>18487</v>
      </c>
      <c r="S33" s="194">
        <f>'CBR Hist'!S36</f>
        <v>1516</v>
      </c>
      <c r="T33" s="194">
        <f>'CBR Hist'!T36</f>
        <v>1383</v>
      </c>
    </row>
    <row r="34" spans="1:20">
      <c r="A34" s="54">
        <v>19</v>
      </c>
      <c r="B34" s="40" t="s">
        <v>72</v>
      </c>
      <c r="F34" s="194">
        <f>'CBR Hist'!F37</f>
        <v>1071</v>
      </c>
      <c r="G34" s="194">
        <f>'CBR Hist'!G37</f>
        <v>734</v>
      </c>
      <c r="H34" s="194">
        <f>'CBR Hist'!H37</f>
        <v>628</v>
      </c>
      <c r="I34" s="194">
        <f>'CBR Hist'!I37</f>
        <v>734</v>
      </c>
      <c r="J34" s="194">
        <f>'CBR Hist'!J37</f>
        <v>686</v>
      </c>
      <c r="K34" s="194">
        <f>'CBR Hist'!K37</f>
        <v>430</v>
      </c>
      <c r="L34" s="194">
        <f>'CBR Hist'!L37</f>
        <v>657</v>
      </c>
      <c r="M34" s="194">
        <f>'CBR Hist'!M37</f>
        <v>682</v>
      </c>
      <c r="N34" s="194">
        <f>'CBR Hist'!N37</f>
        <v>571</v>
      </c>
      <c r="O34" s="194">
        <f>'CBR Hist'!O37</f>
        <v>660</v>
      </c>
      <c r="P34" s="194">
        <f>'CBR Hist'!P37</f>
        <v>176</v>
      </c>
      <c r="Q34" s="194">
        <f>'CBR Hist'!Q37</f>
        <v>4</v>
      </c>
      <c r="R34" s="194">
        <f>'CBR Hist'!R37</f>
        <v>5</v>
      </c>
      <c r="S34" s="194">
        <f>'CBR Hist'!S37</f>
        <v>5</v>
      </c>
      <c r="T34" s="194">
        <f>'CBR Hist'!T37</f>
        <v>0</v>
      </c>
    </row>
    <row r="35" spans="1:20" ht="6.75" customHeight="1">
      <c r="A35" s="5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>
      <c r="A36" s="54"/>
      <c r="B36" s="40" t="s">
        <v>71</v>
      </c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</row>
    <row r="37" spans="1:20">
      <c r="A37" s="54">
        <v>20</v>
      </c>
      <c r="C37" s="40" t="s">
        <v>70</v>
      </c>
      <c r="F37" s="194">
        <f>'CBR Hist'!F40</f>
        <v>30350</v>
      </c>
      <c r="G37" s="194">
        <f>'CBR Hist'!G40</f>
        <v>25102</v>
      </c>
      <c r="H37" s="194">
        <f>'CBR Hist'!H40</f>
        <v>30304</v>
      </c>
      <c r="I37" s="194">
        <f>'CBR Hist'!I40</f>
        <v>30153</v>
      </c>
      <c r="J37" s="194">
        <f>'CBR Hist'!J40</f>
        <v>31927</v>
      </c>
      <c r="K37" s="194">
        <f>'CBR Hist'!K40</f>
        <v>33143</v>
      </c>
      <c r="L37" s="194">
        <f>'CBR Hist'!L40</f>
        <v>33148</v>
      </c>
      <c r="M37" s="194">
        <f>'CBR Hist'!M40</f>
        <v>35844</v>
      </c>
      <c r="N37" s="194">
        <f>'CBR Hist'!N40</f>
        <v>35982</v>
      </c>
      <c r="O37" s="194">
        <f>'CBR Hist'!O40</f>
        <v>38461</v>
      </c>
      <c r="P37" s="194">
        <f>'CBR Hist'!P40</f>
        <v>44662</v>
      </c>
      <c r="Q37" s="194">
        <f>'CBR Hist'!Q40</f>
        <v>44779.252</v>
      </c>
      <c r="R37" s="194">
        <f>'CBR Hist'!R40</f>
        <v>49333.396000000001</v>
      </c>
      <c r="S37" s="194">
        <f>'CBR Hist'!S40</f>
        <v>43310</v>
      </c>
      <c r="T37" s="194">
        <f>'CBR Hist'!T40</f>
        <v>46210</v>
      </c>
    </row>
    <row r="38" spans="1:20">
      <c r="A38" s="54">
        <v>21</v>
      </c>
      <c r="C38" s="40" t="s">
        <v>139</v>
      </c>
      <c r="F38" s="194">
        <f>'CBR Hist'!F41</f>
        <v>3998</v>
      </c>
      <c r="G38" s="194">
        <f>'CBR Hist'!G41</f>
        <v>4414</v>
      </c>
      <c r="H38" s="194">
        <f>'CBR Hist'!H41</f>
        <v>6606</v>
      </c>
      <c r="I38" s="194">
        <f>'CBR Hist'!I41</f>
        <v>6659</v>
      </c>
      <c r="J38" s="194">
        <f>'CBR Hist'!J41</f>
        <v>6072</v>
      </c>
      <c r="K38" s="194">
        <f>'CBR Hist'!K41</f>
        <v>6537</v>
      </c>
      <c r="L38" s="194">
        <f>'CBR Hist'!L41</f>
        <v>6459</v>
      </c>
      <c r="M38" s="194">
        <f>'CBR Hist'!M41</f>
        <v>6739</v>
      </c>
      <c r="N38" s="194">
        <f>'CBR Hist'!N41</f>
        <v>7187</v>
      </c>
      <c r="O38" s="194">
        <f>'CBR Hist'!O41</f>
        <v>7688</v>
      </c>
      <c r="P38" s="194">
        <f>'CBR Hist'!P41</f>
        <v>9277</v>
      </c>
      <c r="Q38" s="194">
        <f>'CBR Hist'!Q41</f>
        <v>10906</v>
      </c>
      <c r="R38" s="194">
        <f>'CBR Hist'!R41</f>
        <v>12517</v>
      </c>
      <c r="S38" s="194">
        <f>'CBR Hist'!S41</f>
        <v>14721</v>
      </c>
      <c r="T38" s="194">
        <f>'CBR Hist'!T41</f>
        <v>16947</v>
      </c>
    </row>
    <row r="39" spans="1:20">
      <c r="A39" s="54">
        <v>22</v>
      </c>
      <c r="C39" s="40" t="s">
        <v>69</v>
      </c>
      <c r="F39" s="194">
        <f>'CBR Hist'!F42</f>
        <v>5</v>
      </c>
      <c r="G39" s="194">
        <f>'CBR Hist'!G42</f>
        <v>2</v>
      </c>
      <c r="H39" s="194">
        <f>'CBR Hist'!H42</f>
        <v>1</v>
      </c>
      <c r="I39" s="194">
        <f>'CBR Hist'!I42</f>
        <v>2</v>
      </c>
      <c r="J39" s="194">
        <f>'CBR Hist'!J42</f>
        <v>3</v>
      </c>
      <c r="K39" s="194">
        <f>'CBR Hist'!K42</f>
        <v>-4</v>
      </c>
      <c r="L39" s="194">
        <f>'CBR Hist'!L42</f>
        <v>0</v>
      </c>
      <c r="M39" s="194">
        <f>'CBR Hist'!M42</f>
        <v>-9</v>
      </c>
      <c r="N39" s="194">
        <f>'CBR Hist'!N42</f>
        <v>-3</v>
      </c>
      <c r="O39" s="194">
        <f>'CBR Hist'!O42</f>
        <v>-3</v>
      </c>
      <c r="P39" s="194">
        <f>'CBR Hist'!P42</f>
        <v>2</v>
      </c>
      <c r="Q39" s="194">
        <f>'CBR Hist'!Q42</f>
        <v>0</v>
      </c>
      <c r="R39" s="194">
        <f>'CBR Hist'!R42</f>
        <v>-4</v>
      </c>
      <c r="S39" s="194">
        <f>'CBR Hist'!S42</f>
        <v>0</v>
      </c>
      <c r="T39" s="194">
        <f>'CBR Hist'!T42</f>
        <v>0</v>
      </c>
    </row>
    <row r="40" spans="1:20">
      <c r="A40" s="54">
        <v>23</v>
      </c>
      <c r="B40" s="40" t="s">
        <v>68</v>
      </c>
      <c r="F40" s="416">
        <f>SUM(F37:F39)</f>
        <v>34353</v>
      </c>
      <c r="G40" s="416">
        <f t="shared" ref="G40:R40" si="8">SUM(G37:G39)</f>
        <v>29518</v>
      </c>
      <c r="H40" s="416">
        <f t="shared" si="8"/>
        <v>36911</v>
      </c>
      <c r="I40" s="416">
        <f t="shared" si="8"/>
        <v>36814</v>
      </c>
      <c r="J40" s="416">
        <f t="shared" si="8"/>
        <v>38002</v>
      </c>
      <c r="K40" s="416">
        <f t="shared" si="8"/>
        <v>39676</v>
      </c>
      <c r="L40" s="416">
        <f t="shared" si="8"/>
        <v>39607</v>
      </c>
      <c r="M40" s="416">
        <f t="shared" si="8"/>
        <v>42574</v>
      </c>
      <c r="N40" s="416">
        <f t="shared" si="8"/>
        <v>43166</v>
      </c>
      <c r="O40" s="416">
        <f t="shared" si="8"/>
        <v>46146</v>
      </c>
      <c r="P40" s="416">
        <f t="shared" si="8"/>
        <v>53941</v>
      </c>
      <c r="Q40" s="416">
        <f t="shared" si="8"/>
        <v>55685.252</v>
      </c>
      <c r="R40" s="416">
        <f t="shared" si="8"/>
        <v>61846.396000000001</v>
      </c>
      <c r="S40" s="416">
        <f t="shared" ref="S40:T40" si="9">SUM(S37:S39)</f>
        <v>58031</v>
      </c>
      <c r="T40" s="416">
        <f t="shared" si="9"/>
        <v>63157</v>
      </c>
    </row>
    <row r="41" spans="1:20">
      <c r="A41" s="54">
        <v>24</v>
      </c>
      <c r="B41" s="40" t="s">
        <v>67</v>
      </c>
      <c r="F41" s="416">
        <f>F24+F30+F32+F33+F34+F40</f>
        <v>343205</v>
      </c>
      <c r="G41" s="416">
        <f t="shared" ref="G41:R41" si="10">G24+G30+G32+G33+G34+G40</f>
        <v>270636</v>
      </c>
      <c r="H41" s="416">
        <f t="shared" si="10"/>
        <v>260183</v>
      </c>
      <c r="I41" s="416">
        <f t="shared" si="10"/>
        <v>288832</v>
      </c>
      <c r="J41" s="416">
        <f t="shared" si="10"/>
        <v>268539</v>
      </c>
      <c r="K41" s="416">
        <f t="shared" si="10"/>
        <v>278171</v>
      </c>
      <c r="L41" s="416">
        <f t="shared" si="10"/>
        <v>309354</v>
      </c>
      <c r="M41" s="416">
        <f t="shared" si="10"/>
        <v>298938</v>
      </c>
      <c r="N41" s="416">
        <f t="shared" si="10"/>
        <v>334636</v>
      </c>
      <c r="O41" s="416">
        <f t="shared" si="10"/>
        <v>347787</v>
      </c>
      <c r="P41" s="416">
        <f t="shared" si="10"/>
        <v>461927</v>
      </c>
      <c r="Q41" s="416">
        <f t="shared" si="10"/>
        <v>421153.40739999997</v>
      </c>
      <c r="R41" s="416">
        <f t="shared" si="10"/>
        <v>417640.11265200004</v>
      </c>
      <c r="S41" s="416">
        <f t="shared" ref="S41:T41" si="11">S24+S30+S32+S33+S34+S40</f>
        <v>435119</v>
      </c>
      <c r="T41" s="416">
        <f t="shared" si="11"/>
        <v>427968</v>
      </c>
    </row>
    <row r="42" spans="1:20" ht="6.75" customHeight="1">
      <c r="A42" s="54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</row>
    <row r="43" spans="1:20">
      <c r="A43" s="54">
        <v>25</v>
      </c>
      <c r="B43" s="40" t="s">
        <v>66</v>
      </c>
      <c r="F43" s="416">
        <f>F15-F41</f>
        <v>50049</v>
      </c>
      <c r="G43" s="416">
        <f t="shared" ref="G43:R43" si="12">G15-G41</f>
        <v>93786</v>
      </c>
      <c r="H43" s="416">
        <f t="shared" si="12"/>
        <v>78118</v>
      </c>
      <c r="I43" s="416">
        <f t="shared" si="12"/>
        <v>87772</v>
      </c>
      <c r="J43" s="416">
        <f t="shared" si="12"/>
        <v>66659</v>
      </c>
      <c r="K43" s="416">
        <f t="shared" si="12"/>
        <v>66735</v>
      </c>
      <c r="L43" s="416">
        <f t="shared" si="12"/>
        <v>58866</v>
      </c>
      <c r="M43" s="416">
        <f t="shared" si="12"/>
        <v>73260</v>
      </c>
      <c r="N43" s="416">
        <f t="shared" si="12"/>
        <v>89384</v>
      </c>
      <c r="O43" s="416">
        <f t="shared" si="12"/>
        <v>96588.549100000004</v>
      </c>
      <c r="P43" s="416">
        <f t="shared" si="12"/>
        <v>99867.970363199944</v>
      </c>
      <c r="Q43" s="416">
        <f t="shared" si="12"/>
        <v>97773.592600000033</v>
      </c>
      <c r="R43" s="416">
        <f t="shared" si="12"/>
        <v>110079.88734799996</v>
      </c>
      <c r="S43" s="416">
        <f t="shared" ref="S43:T43" si="13">S15-S41</f>
        <v>122528</v>
      </c>
      <c r="T43" s="416">
        <f t="shared" si="13"/>
        <v>139487</v>
      </c>
    </row>
    <row r="44" spans="1:20" ht="6.75" customHeight="1">
      <c r="A44" s="5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</row>
    <row r="45" spans="1:20">
      <c r="A45" s="54"/>
      <c r="B45" s="40" t="s">
        <v>65</v>
      </c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</row>
    <row r="46" spans="1:20">
      <c r="A46" s="54">
        <v>26</v>
      </c>
      <c r="B46" s="40" t="s">
        <v>140</v>
      </c>
      <c r="F46" s="194">
        <f>'CBR Hist'!F49</f>
        <v>13500</v>
      </c>
      <c r="G46" s="194">
        <f>'CBR Hist'!G49</f>
        <v>7802.6454399910144</v>
      </c>
      <c r="H46" s="194">
        <f>'CBR Hist'!H49</f>
        <v>12532.4934614427</v>
      </c>
      <c r="I46" s="194">
        <f>'CBR Hist'!I49</f>
        <v>18199.38094551977</v>
      </c>
      <c r="J46" s="194">
        <f>'CBR Hist'!J49</f>
        <v>10602.745932108257</v>
      </c>
      <c r="K46" s="194">
        <f>'CBR Hist'!K49</f>
        <v>6760.4768703774607</v>
      </c>
      <c r="L46" s="194">
        <f>'CBR Hist'!L49</f>
        <v>3583.5198936206907</v>
      </c>
      <c r="M46" s="194">
        <f>'CBR Hist'!M49</f>
        <v>5069.5165750000015</v>
      </c>
      <c r="N46" s="194">
        <f>'CBR Hist'!N49</f>
        <v>-6217.1202000000012</v>
      </c>
      <c r="O46" s="194">
        <f>'CBR Hist'!O49</f>
        <v>-1846</v>
      </c>
      <c r="P46" s="194">
        <f>'CBR Hist'!P49</f>
        <v>9263</v>
      </c>
      <c r="Q46" s="194">
        <f>'CBR Hist'!Q49</f>
        <v>6568.9074099999998</v>
      </c>
      <c r="R46" s="194">
        <f>'CBR Hist'!R49</f>
        <v>11499.260571799998</v>
      </c>
      <c r="S46" s="194">
        <f>'CBR Hist'!S49</f>
        <v>19267</v>
      </c>
      <c r="T46" s="194">
        <f>'CBR Hist'!T49</f>
        <v>-7683</v>
      </c>
    </row>
    <row r="47" spans="1:20">
      <c r="A47" s="54">
        <v>27</v>
      </c>
      <c r="B47" s="40" t="s">
        <v>141</v>
      </c>
      <c r="F47" s="194">
        <f>'CBR Hist'!F50</f>
        <v>0</v>
      </c>
      <c r="G47" s="194">
        <f>'CBR Hist'!G50</f>
        <v>0</v>
      </c>
      <c r="H47" s="194">
        <f>'CBR Hist'!H50</f>
        <v>0</v>
      </c>
      <c r="I47" s="194">
        <f>'CBR Hist'!I50</f>
        <v>0</v>
      </c>
      <c r="J47" s="194">
        <f>'CBR Hist'!J50</f>
        <v>0</v>
      </c>
      <c r="K47" s="194">
        <f>'CBR Hist'!K50</f>
        <v>0</v>
      </c>
      <c r="L47" s="194">
        <f>'CBR Hist'!L50</f>
        <v>0</v>
      </c>
      <c r="M47" s="194">
        <f>'CBR Hist'!M50</f>
        <v>0</v>
      </c>
      <c r="N47" s="194">
        <f>'CBR Hist'!N50</f>
        <v>0</v>
      </c>
      <c r="O47" s="194">
        <f>'CBR Hist'!O50</f>
        <v>0</v>
      </c>
      <c r="P47" s="194">
        <f>'CBR Hist'!P50</f>
        <v>0</v>
      </c>
      <c r="Q47" s="194">
        <f>'CBR Hist'!Q50</f>
        <v>206.8288</v>
      </c>
      <c r="R47" s="194">
        <f>'CBR Hist'!R50</f>
        <v>70.410550000000001</v>
      </c>
      <c r="S47" s="194">
        <f>'CBR Hist'!S50</f>
        <v>1</v>
      </c>
      <c r="T47" s="194">
        <f>'CBR Hist'!T50</f>
        <v>-136</v>
      </c>
    </row>
    <row r="48" spans="1:20">
      <c r="A48" s="54">
        <v>28</v>
      </c>
      <c r="B48" s="40" t="s">
        <v>64</v>
      </c>
      <c r="F48" s="194">
        <f>'CBR Hist'!F51</f>
        <v>3549</v>
      </c>
      <c r="G48" s="194">
        <f>'CBR Hist'!G51</f>
        <v>16107</v>
      </c>
      <c r="H48" s="194">
        <f>'CBR Hist'!H51</f>
        <v>3470</v>
      </c>
      <c r="I48" s="194">
        <f>'CBR Hist'!I51</f>
        <v>1284</v>
      </c>
      <c r="J48" s="194">
        <f>'CBR Hist'!J51</f>
        <v>608</v>
      </c>
      <c r="K48" s="194">
        <f>'CBR Hist'!K51</f>
        <v>3867</v>
      </c>
      <c r="L48" s="194">
        <f>'CBR Hist'!L51</f>
        <v>3975</v>
      </c>
      <c r="M48" s="194">
        <f>'CBR Hist'!M51</f>
        <v>6497</v>
      </c>
      <c r="N48" s="194">
        <f>'CBR Hist'!N51</f>
        <v>26634</v>
      </c>
      <c r="O48" s="194">
        <f>'CBR Hist'!O51</f>
        <v>23983</v>
      </c>
      <c r="P48" s="194">
        <f>'CBR Hist'!P51</f>
        <v>13823</v>
      </c>
      <c r="Q48" s="194">
        <f>'CBR Hist'!Q51</f>
        <v>16402</v>
      </c>
      <c r="R48" s="194">
        <f>'CBR Hist'!R51</f>
        <v>15684</v>
      </c>
      <c r="S48" s="194">
        <f>'CBR Hist'!S51</f>
        <v>10613</v>
      </c>
      <c r="T48" s="194">
        <f>'CBR Hist'!T51</f>
        <v>46085</v>
      </c>
    </row>
    <row r="49" spans="1:21">
      <c r="A49" s="54">
        <v>29</v>
      </c>
      <c r="B49" s="40" t="s">
        <v>63</v>
      </c>
      <c r="F49" s="194">
        <f>'CBR Hist'!F52</f>
        <v>0</v>
      </c>
      <c r="G49" s="194">
        <f>'CBR Hist'!G52</f>
        <v>0</v>
      </c>
      <c r="H49" s="194">
        <f>'CBR Hist'!H52</f>
        <v>0</v>
      </c>
      <c r="I49" s="194">
        <f>'CBR Hist'!I52</f>
        <v>0</v>
      </c>
      <c r="J49" s="194">
        <f>'CBR Hist'!J52</f>
        <v>0</v>
      </c>
      <c r="K49" s="194">
        <f>'CBR Hist'!K52</f>
        <v>0</v>
      </c>
      <c r="L49" s="194">
        <f>'CBR Hist'!L52</f>
        <v>0</v>
      </c>
      <c r="M49" s="194">
        <f>'CBR Hist'!M52</f>
        <v>0</v>
      </c>
      <c r="N49" s="194">
        <f>'CBR Hist'!N52</f>
        <v>0</v>
      </c>
      <c r="O49" s="194">
        <f>'CBR Hist'!O52</f>
        <v>-58</v>
      </c>
      <c r="P49" s="194">
        <f>'CBR Hist'!P52</f>
        <v>-83</v>
      </c>
      <c r="Q49" s="194">
        <f>'CBR Hist'!Q52</f>
        <v>-99</v>
      </c>
      <c r="R49" s="194">
        <f>'CBR Hist'!R52</f>
        <v>-128</v>
      </c>
      <c r="S49" s="194">
        <f>'CBR Hist'!S52</f>
        <v>-130</v>
      </c>
      <c r="T49" s="194">
        <f>'CBR Hist'!T52</f>
        <v>-128</v>
      </c>
    </row>
    <row r="50" spans="1:21" s="193" customFormat="1">
      <c r="A50" s="54">
        <v>30</v>
      </c>
      <c r="B50" s="193" t="s">
        <v>297</v>
      </c>
      <c r="F50" s="194">
        <f>'CBR Hist'!F53</f>
        <v>5683</v>
      </c>
      <c r="G50" s="194">
        <f>'CBR Hist'!G53</f>
        <v>5369</v>
      </c>
      <c r="H50" s="194">
        <f>'CBR Hist'!H53</f>
        <v>0</v>
      </c>
      <c r="I50" s="194">
        <f>'CBR Hist'!I53</f>
        <v>0</v>
      </c>
      <c r="J50" s="194">
        <f>'CBR Hist'!J53</f>
        <v>0</v>
      </c>
      <c r="K50" s="194">
        <f>'CBR Hist'!K53</f>
        <v>0</v>
      </c>
      <c r="L50" s="194">
        <f>'CBR Hist'!L53</f>
        <v>0</v>
      </c>
      <c r="M50" s="194">
        <f>'CBR Hist'!M53</f>
        <v>0</v>
      </c>
      <c r="N50" s="194">
        <f>'CBR Hist'!N53</f>
        <v>0</v>
      </c>
      <c r="O50" s="194">
        <f>'CBR Hist'!O53</f>
        <v>0</v>
      </c>
      <c r="P50" s="194">
        <f>'CBR Hist'!P53</f>
        <v>0</v>
      </c>
      <c r="Q50" s="194">
        <f>'CBR Hist'!Q53</f>
        <v>0</v>
      </c>
      <c r="R50" s="194">
        <f>'CBR Hist'!R53</f>
        <v>0</v>
      </c>
      <c r="S50" s="194">
        <f>'CBR Hist'!S53</f>
        <v>0</v>
      </c>
      <c r="T50" s="194">
        <f>'CBR Hist'!T53</f>
        <v>0</v>
      </c>
      <c r="U50" s="40"/>
    </row>
    <row r="51" spans="1:21" ht="12.75" thickBot="1">
      <c r="A51" s="54">
        <v>31</v>
      </c>
      <c r="B51" s="40" t="s">
        <v>62</v>
      </c>
      <c r="F51" s="417">
        <f>F43-SUM(F46:F50)</f>
        <v>27317</v>
      </c>
      <c r="G51" s="417">
        <f t="shared" ref="G51:R51" si="14">G43-SUM(G46:G50)</f>
        <v>64507.354560008986</v>
      </c>
      <c r="H51" s="417">
        <f t="shared" si="14"/>
        <v>62115.506538557296</v>
      </c>
      <c r="I51" s="417">
        <f t="shared" si="14"/>
        <v>68288.619054480223</v>
      </c>
      <c r="J51" s="417">
        <f t="shared" si="14"/>
        <v>55448.254067891743</v>
      </c>
      <c r="K51" s="417">
        <f t="shared" si="14"/>
        <v>56107.523129622539</v>
      </c>
      <c r="L51" s="417">
        <f t="shared" si="14"/>
        <v>51307.480106379313</v>
      </c>
      <c r="M51" s="417">
        <f t="shared" si="14"/>
        <v>61693.483424999999</v>
      </c>
      <c r="N51" s="417">
        <f t="shared" si="14"/>
        <v>68967.120200000005</v>
      </c>
      <c r="O51" s="417">
        <f t="shared" si="14"/>
        <v>74509.549100000004</v>
      </c>
      <c r="P51" s="417">
        <f t="shared" si="14"/>
        <v>76864.970363199944</v>
      </c>
      <c r="Q51" s="417">
        <f t="shared" si="14"/>
        <v>74694.85639000003</v>
      </c>
      <c r="R51" s="417">
        <f t="shared" si="14"/>
        <v>82954.216226199962</v>
      </c>
      <c r="S51" s="417">
        <f t="shared" ref="S51:T51" si="15">S43-SUM(S46:S50)</f>
        <v>92777</v>
      </c>
      <c r="T51" s="417">
        <f t="shared" si="15"/>
        <v>101349</v>
      </c>
    </row>
    <row r="52" spans="1:21" ht="12.75" thickTop="1">
      <c r="A52" s="54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155"/>
      <c r="T52" s="155"/>
    </row>
    <row r="53" spans="1:21">
      <c r="A53" s="54"/>
      <c r="C53" s="478" t="s">
        <v>465</v>
      </c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  <c r="Q53" s="192"/>
      <c r="R53" s="192"/>
      <c r="S53" s="155"/>
      <c r="T53" s="155"/>
      <c r="U53" s="193"/>
    </row>
    <row r="54" spans="1:21" ht="13.5" customHeight="1">
      <c r="A54" s="961"/>
      <c r="B54" s="961"/>
      <c r="C54" s="961"/>
      <c r="D54" s="961"/>
      <c r="E54" s="961"/>
      <c r="F54" s="961"/>
      <c r="G54" s="961"/>
      <c r="H54" s="961"/>
      <c r="I54" s="961"/>
      <c r="J54" s="961"/>
      <c r="K54" s="961"/>
      <c r="L54" s="961"/>
      <c r="M54" s="961"/>
      <c r="N54" s="961"/>
      <c r="O54" s="961"/>
      <c r="P54" s="961"/>
      <c r="Q54" s="961"/>
      <c r="R54" s="961"/>
    </row>
    <row r="55" spans="1:21" ht="15.75">
      <c r="A55" s="472" t="str">
        <f>A4</f>
        <v xml:space="preserve">AVISTA UTILITIES  </v>
      </c>
      <c r="E55" s="962" t="str">
        <f>E4</f>
        <v>Commission Basis Results of Operations</v>
      </c>
      <c r="F55" s="962"/>
      <c r="G55" s="962"/>
      <c r="H55" s="962"/>
      <c r="I55" s="962"/>
      <c r="J55" s="962"/>
      <c r="K55" s="962"/>
      <c r="L55" s="962"/>
      <c r="M55" s="962"/>
      <c r="N55" s="962"/>
      <c r="O55" s="962"/>
      <c r="P55" s="962"/>
      <c r="Q55" s="962"/>
      <c r="R55" s="962"/>
      <c r="S55" s="155"/>
      <c r="T55" s="155"/>
      <c r="U55" s="193"/>
    </row>
    <row r="56" spans="1:21">
      <c r="A56" s="47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92"/>
      <c r="S56" s="155"/>
      <c r="T56" s="155"/>
      <c r="U56" s="193"/>
    </row>
    <row r="57" spans="1:21" ht="6" customHeight="1">
      <c r="A57" s="472"/>
      <c r="G57" s="192"/>
      <c r="H57" s="192"/>
      <c r="I57" s="192"/>
      <c r="J57" s="192"/>
      <c r="K57" s="192"/>
      <c r="L57" s="192"/>
      <c r="M57" s="192"/>
      <c r="N57" s="192"/>
      <c r="O57" s="192"/>
      <c r="P57" s="192"/>
      <c r="Q57" s="192"/>
      <c r="R57" s="192"/>
      <c r="S57" s="155"/>
      <c r="T57" s="155"/>
      <c r="U57" s="193"/>
    </row>
    <row r="58" spans="1:21" ht="12.75">
      <c r="A58" s="472" t="str">
        <f>A7</f>
        <v xml:space="preserve">(000'S OF DOLLARS)  </v>
      </c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2"/>
      <c r="Q58" s="192"/>
      <c r="R58" s="192"/>
      <c r="S58" s="155"/>
      <c r="T58" s="692"/>
      <c r="U58" s="193"/>
    </row>
    <row r="59" spans="1:21">
      <c r="A59" s="54" t="s">
        <v>3</v>
      </c>
      <c r="F59" s="192">
        <f>F8</f>
        <v>2000</v>
      </c>
      <c r="G59" s="192">
        <f t="shared" ref="G59:R59" si="16">G8</f>
        <v>2001</v>
      </c>
      <c r="H59" s="192">
        <f t="shared" si="16"/>
        <v>2002</v>
      </c>
      <c r="I59" s="192">
        <f t="shared" si="16"/>
        <v>2003</v>
      </c>
      <c r="J59" s="192">
        <f t="shared" si="16"/>
        <v>2004</v>
      </c>
      <c r="K59" s="192">
        <f t="shared" si="16"/>
        <v>2005</v>
      </c>
      <c r="L59" s="192">
        <f t="shared" si="16"/>
        <v>2006</v>
      </c>
      <c r="M59" s="192">
        <f t="shared" si="16"/>
        <v>2007</v>
      </c>
      <c r="N59" s="192">
        <f t="shared" si="16"/>
        <v>2008</v>
      </c>
      <c r="O59" s="192">
        <f t="shared" si="16"/>
        <v>2009</v>
      </c>
      <c r="P59" s="192">
        <f t="shared" si="16"/>
        <v>2010</v>
      </c>
      <c r="Q59" s="192">
        <f t="shared" si="16"/>
        <v>2011</v>
      </c>
      <c r="R59" s="192">
        <f t="shared" si="16"/>
        <v>2012</v>
      </c>
      <c r="S59" s="192">
        <f t="shared" ref="S59:T59" si="17">S8</f>
        <v>2013</v>
      </c>
      <c r="T59" s="192">
        <f t="shared" si="17"/>
        <v>2014</v>
      </c>
      <c r="U59" s="193"/>
    </row>
    <row r="60" spans="1:21">
      <c r="A60" s="54" t="s">
        <v>461</v>
      </c>
      <c r="B60" s="40" t="s">
        <v>61</v>
      </c>
      <c r="G60" s="41"/>
      <c r="H60" s="41"/>
      <c r="I60" s="41"/>
      <c r="J60" s="41"/>
      <c r="L60" s="41"/>
      <c r="M60" s="41"/>
      <c r="N60" s="41"/>
      <c r="O60" s="41"/>
      <c r="P60" s="41"/>
      <c r="Q60" s="41"/>
      <c r="R60" s="41"/>
    </row>
    <row r="61" spans="1:21">
      <c r="A61" s="54"/>
      <c r="B61" s="40" t="s">
        <v>60</v>
      </c>
      <c r="G61" s="41"/>
      <c r="H61" s="41"/>
      <c r="I61" s="41"/>
      <c r="J61" s="41"/>
      <c r="L61" s="41"/>
      <c r="M61" s="41"/>
      <c r="N61" s="41"/>
      <c r="O61" s="41"/>
      <c r="P61" s="41"/>
      <c r="Q61" s="41"/>
      <c r="R61" s="41"/>
    </row>
    <row r="62" spans="1:21">
      <c r="A62" s="54">
        <v>32</v>
      </c>
      <c r="C62" s="40" t="s">
        <v>59</v>
      </c>
      <c r="F62" s="195">
        <f>'Reg Amorts'!E52</f>
        <v>15127</v>
      </c>
      <c r="G62" s="195">
        <f>'Reg Amorts'!F52</f>
        <v>16340</v>
      </c>
      <c r="H62" s="195">
        <f>'Reg Amorts'!G52</f>
        <v>20910</v>
      </c>
      <c r="I62" s="195">
        <f>'Reg Amorts'!H52</f>
        <v>21299</v>
      </c>
      <c r="J62" s="195">
        <f>'Reg Amorts'!I52</f>
        <v>21374</v>
      </c>
      <c r="K62" s="195">
        <f>'Reg Amorts'!J52</f>
        <v>22459</v>
      </c>
      <c r="L62" s="195">
        <f>'Reg Amorts'!K52</f>
        <v>23458</v>
      </c>
      <c r="M62" s="195">
        <f>'Reg Amorts'!L52</f>
        <v>20632</v>
      </c>
      <c r="N62" s="195">
        <f>'Reg Amorts'!M52</f>
        <v>23321</v>
      </c>
      <c r="O62" s="195">
        <f>'Reg Amorts'!N52</f>
        <v>57116</v>
      </c>
      <c r="P62" s="195">
        <f>'Reg Amorts'!O52</f>
        <v>81955</v>
      </c>
      <c r="Q62" s="195">
        <f>'Reg Amorts'!P52</f>
        <v>84081</v>
      </c>
      <c r="R62" s="195">
        <f>'Reg Amorts'!Q52</f>
        <v>85247</v>
      </c>
      <c r="S62" s="195">
        <f>'Reg Amorts'!R52</f>
        <v>91466</v>
      </c>
      <c r="T62" s="195">
        <f>'Reg Amorts'!S52</f>
        <v>102620</v>
      </c>
    </row>
    <row r="63" spans="1:21">
      <c r="A63" s="54">
        <v>33</v>
      </c>
      <c r="C63" s="40" t="s">
        <v>58</v>
      </c>
      <c r="F63" s="194">
        <f>'Reg Amorts'!E53-'Reg Amorts'!E103</f>
        <v>455498</v>
      </c>
      <c r="G63" s="194">
        <f>'Reg Amorts'!F53-'Reg Amorts'!F103</f>
        <v>460292</v>
      </c>
      <c r="H63" s="194">
        <f>'Reg Amorts'!G53-'Reg Amorts'!G103</f>
        <v>545002</v>
      </c>
      <c r="I63" s="194">
        <f>'Reg Amorts'!H53-'Reg Amorts'!H103</f>
        <v>556067</v>
      </c>
      <c r="J63" s="194">
        <f>'Reg Amorts'!I53-'Reg Amorts'!I103</f>
        <v>598268</v>
      </c>
      <c r="K63" s="194">
        <f>'Reg Amorts'!J53-'Reg Amorts'!J103</f>
        <v>615624</v>
      </c>
      <c r="L63" s="194">
        <f>'Reg Amorts'!K53-'Reg Amorts'!K103</f>
        <v>649965</v>
      </c>
      <c r="M63" s="194">
        <f>'Reg Amorts'!L53-'Reg Amorts'!L103</f>
        <v>645576</v>
      </c>
      <c r="N63" s="194">
        <f>'Reg Amorts'!M53-'Reg Amorts'!M103</f>
        <v>657099</v>
      </c>
      <c r="O63" s="194">
        <f>'Reg Amorts'!N53-'Reg Amorts'!N103</f>
        <v>677646</v>
      </c>
      <c r="P63" s="194">
        <f>'Reg Amorts'!O53-'Reg Amorts'!O103</f>
        <v>692689</v>
      </c>
      <c r="Q63" s="194">
        <f>'Reg Amorts'!P53</f>
        <v>706894</v>
      </c>
      <c r="R63" s="194">
        <f>'Reg Amorts'!Q53</f>
        <v>717448</v>
      </c>
      <c r="S63" s="194">
        <f>'Reg Amorts'!R53</f>
        <v>738315</v>
      </c>
      <c r="T63" s="194">
        <f>'Reg Amorts'!S53</f>
        <v>746101</v>
      </c>
    </row>
    <row r="64" spans="1:21">
      <c r="A64" s="54">
        <v>34</v>
      </c>
      <c r="C64" s="40" t="s">
        <v>57</v>
      </c>
      <c r="F64" s="194">
        <f>'Reg Amorts'!E54</f>
        <v>181627</v>
      </c>
      <c r="G64" s="194">
        <f>'Reg Amorts'!F54</f>
        <v>191517</v>
      </c>
      <c r="H64" s="194">
        <f>'Reg Amorts'!G54</f>
        <v>186550</v>
      </c>
      <c r="I64" s="194">
        <f>'Reg Amorts'!H54</f>
        <v>196937</v>
      </c>
      <c r="J64" s="194">
        <f>'Reg Amorts'!I54</f>
        <v>213539</v>
      </c>
      <c r="K64" s="194">
        <f>'Reg Amorts'!J54</f>
        <v>224696</v>
      </c>
      <c r="L64" s="194">
        <f>'Reg Amorts'!K54</f>
        <v>244435</v>
      </c>
      <c r="M64" s="194">
        <f>'Reg Amorts'!L54</f>
        <v>259532</v>
      </c>
      <c r="N64" s="194">
        <f>'Reg Amorts'!M54</f>
        <v>289302</v>
      </c>
      <c r="O64" s="194">
        <f>'Reg Amorts'!N54</f>
        <v>301090</v>
      </c>
      <c r="P64" s="194">
        <f>'Reg Amorts'!O54</f>
        <v>312505</v>
      </c>
      <c r="Q64" s="194">
        <f>'Reg Amorts'!P54</f>
        <v>328012</v>
      </c>
      <c r="R64" s="194">
        <f>'Reg Amorts'!Q54</f>
        <v>342382</v>
      </c>
      <c r="S64" s="194">
        <f>'Reg Amorts'!R54</f>
        <v>359941</v>
      </c>
      <c r="T64" s="194">
        <f>'Reg Amorts'!S54</f>
        <v>371971</v>
      </c>
    </row>
    <row r="65" spans="1:21">
      <c r="A65" s="54">
        <v>35</v>
      </c>
      <c r="C65" s="40" t="s">
        <v>56</v>
      </c>
      <c r="F65" s="194">
        <f>'Reg Amorts'!E55-'Reg Amorts'!E104</f>
        <v>398952</v>
      </c>
      <c r="G65" s="194">
        <f>'Reg Amorts'!F55-'Reg Amorts'!F104</f>
        <v>416914</v>
      </c>
      <c r="H65" s="194">
        <f>'Reg Amorts'!G55-'Reg Amorts'!G104</f>
        <v>429987</v>
      </c>
      <c r="I65" s="194">
        <f>'Reg Amorts'!H55-'Reg Amorts'!H104</f>
        <v>443649</v>
      </c>
      <c r="J65" s="194">
        <f>'Reg Amorts'!I55-'Reg Amorts'!I104</f>
        <v>459739</v>
      </c>
      <c r="K65" s="194">
        <f>'Reg Amorts'!J55-'Reg Amorts'!J104</f>
        <v>480886</v>
      </c>
      <c r="L65" s="194">
        <f>'Reg Amorts'!K55-'Reg Amorts'!K104</f>
        <v>502838</v>
      </c>
      <c r="M65" s="194">
        <f>'Reg Amorts'!L55-'Reg Amorts'!L104</f>
        <v>529067</v>
      </c>
      <c r="N65" s="194">
        <f>'Reg Amorts'!M55-'Reg Amorts'!M104</f>
        <v>561248</v>
      </c>
      <c r="O65" s="194">
        <f>'Reg Amorts'!N55-'Reg Amorts'!N104</f>
        <v>602201</v>
      </c>
      <c r="P65" s="194">
        <f>'Reg Amorts'!O55-'Reg Amorts'!O104</f>
        <v>642143</v>
      </c>
      <c r="Q65" s="194">
        <f>'Reg Amorts'!P55</f>
        <v>696082</v>
      </c>
      <c r="R65" s="194">
        <f>'Reg Amorts'!Q55</f>
        <v>743732</v>
      </c>
      <c r="S65" s="194">
        <f>'Reg Amorts'!R55</f>
        <v>796640</v>
      </c>
      <c r="T65" s="194">
        <f>'Reg Amorts'!S55</f>
        <v>842795</v>
      </c>
    </row>
    <row r="66" spans="1:21">
      <c r="A66" s="54">
        <v>36</v>
      </c>
      <c r="C66" s="40" t="s">
        <v>55</v>
      </c>
      <c r="F66" s="194">
        <f>'Reg Amorts'!E56</f>
        <v>58402</v>
      </c>
      <c r="G66" s="194">
        <f>'Reg Amorts'!F56</f>
        <v>59846</v>
      </c>
      <c r="H66" s="194">
        <f>'Reg Amorts'!G56</f>
        <v>59771</v>
      </c>
      <c r="I66" s="194">
        <f>'Reg Amorts'!H56</f>
        <v>60444</v>
      </c>
      <c r="J66" s="194">
        <f>'Reg Amorts'!I56</f>
        <v>63155</v>
      </c>
      <c r="K66" s="194">
        <f>'Reg Amorts'!J56</f>
        <v>65299</v>
      </c>
      <c r="L66" s="194">
        <f>'Reg Amorts'!K56</f>
        <v>80110</v>
      </c>
      <c r="M66" s="194">
        <f>'Reg Amorts'!L56</f>
        <v>81368</v>
      </c>
      <c r="N66" s="194">
        <f>'Reg Amorts'!M56</f>
        <v>91205</v>
      </c>
      <c r="O66" s="194">
        <f>'Reg Amorts'!N56</f>
        <v>98727</v>
      </c>
      <c r="P66" s="194">
        <f>'Reg Amorts'!O56</f>
        <v>120996</v>
      </c>
      <c r="Q66" s="194">
        <f>'Reg Amorts'!P56</f>
        <v>140218</v>
      </c>
      <c r="R66" s="194">
        <f>'Reg Amorts'!Q56</f>
        <v>155104</v>
      </c>
      <c r="S66" s="194">
        <f>'Reg Amorts'!R56</f>
        <v>179134</v>
      </c>
      <c r="T66" s="194">
        <f>'Reg Amorts'!S56</f>
        <v>196867</v>
      </c>
    </row>
    <row r="67" spans="1:21">
      <c r="A67" s="54">
        <v>37</v>
      </c>
      <c r="B67" s="40" t="s">
        <v>54</v>
      </c>
      <c r="F67" s="416">
        <f>SUM(F62:F66)</f>
        <v>1109606</v>
      </c>
      <c r="G67" s="416">
        <f t="shared" ref="G67:R67" si="18">SUM(G62:G66)</f>
        <v>1144909</v>
      </c>
      <c r="H67" s="416">
        <f t="shared" si="18"/>
        <v>1242220</v>
      </c>
      <c r="I67" s="416">
        <f t="shared" si="18"/>
        <v>1278396</v>
      </c>
      <c r="J67" s="416">
        <f t="shared" si="18"/>
        <v>1356075</v>
      </c>
      <c r="K67" s="416">
        <f t="shared" si="18"/>
        <v>1408964</v>
      </c>
      <c r="L67" s="416">
        <f t="shared" si="18"/>
        <v>1500806</v>
      </c>
      <c r="M67" s="416">
        <f t="shared" si="18"/>
        <v>1536175</v>
      </c>
      <c r="N67" s="416">
        <f t="shared" si="18"/>
        <v>1622175</v>
      </c>
      <c r="O67" s="416">
        <f t="shared" si="18"/>
        <v>1736780</v>
      </c>
      <c r="P67" s="416">
        <f t="shared" si="18"/>
        <v>1850288</v>
      </c>
      <c r="Q67" s="416">
        <f t="shared" si="18"/>
        <v>1955287</v>
      </c>
      <c r="R67" s="416">
        <f t="shared" si="18"/>
        <v>2043913</v>
      </c>
      <c r="S67" s="416">
        <f t="shared" ref="S67:T67" si="19">SUM(S62:S66)</f>
        <v>2165496</v>
      </c>
      <c r="T67" s="416">
        <f t="shared" si="19"/>
        <v>2260354</v>
      </c>
    </row>
    <row r="68" spans="1:21">
      <c r="A68" s="54"/>
      <c r="B68" s="40" t="s">
        <v>142</v>
      </c>
      <c r="G68" s="41"/>
      <c r="H68" s="41"/>
      <c r="I68" s="41"/>
      <c r="J68" s="41"/>
      <c r="L68" s="41"/>
      <c r="M68" s="41"/>
      <c r="N68" s="41"/>
      <c r="O68" s="41"/>
      <c r="P68" s="41"/>
      <c r="Q68" s="41"/>
      <c r="R68" s="41"/>
    </row>
    <row r="69" spans="1:21">
      <c r="A69" s="54">
        <v>38</v>
      </c>
      <c r="C69" s="40" t="s">
        <v>59</v>
      </c>
      <c r="F69" s="196" t="s">
        <v>278</v>
      </c>
      <c r="G69" s="196" t="s">
        <v>278</v>
      </c>
      <c r="H69" s="196" t="s">
        <v>278</v>
      </c>
      <c r="I69" s="196" t="s">
        <v>278</v>
      </c>
      <c r="J69" s="196" t="s">
        <v>278</v>
      </c>
      <c r="K69" s="196" t="s">
        <v>278</v>
      </c>
      <c r="L69" s="196" t="s">
        <v>278</v>
      </c>
      <c r="M69" s="196" t="s">
        <v>278</v>
      </c>
      <c r="N69" s="196" t="s">
        <v>278</v>
      </c>
      <c r="O69" s="196" t="s">
        <v>278</v>
      </c>
      <c r="P69" s="196" t="s">
        <v>278</v>
      </c>
      <c r="Q69" s="194">
        <f>'Reg Amorts'!P59</f>
        <v>3744</v>
      </c>
      <c r="R69" s="194">
        <f>'Reg Amorts'!Q59</f>
        <v>4369</v>
      </c>
      <c r="S69" s="194">
        <f>'Reg Amorts'!R59</f>
        <v>17667</v>
      </c>
      <c r="T69" s="194">
        <f>'Reg Amorts'!S59</f>
        <v>20242</v>
      </c>
    </row>
    <row r="70" spans="1:21" ht="12.75" customHeight="1">
      <c r="A70" s="54">
        <v>39</v>
      </c>
      <c r="C70" s="40" t="s">
        <v>58</v>
      </c>
      <c r="F70" s="196" t="s">
        <v>278</v>
      </c>
      <c r="G70" s="196" t="s">
        <v>278</v>
      </c>
      <c r="H70" s="196" t="s">
        <v>278</v>
      </c>
      <c r="I70" s="196" t="s">
        <v>278</v>
      </c>
      <c r="J70" s="196" t="s">
        <v>278</v>
      </c>
      <c r="K70" s="196" t="s">
        <v>278</v>
      </c>
      <c r="L70" s="196" t="s">
        <v>278</v>
      </c>
      <c r="M70" s="196" t="s">
        <v>278</v>
      </c>
      <c r="N70" s="196" t="s">
        <v>278</v>
      </c>
      <c r="O70" s="196" t="s">
        <v>278</v>
      </c>
      <c r="P70" s="196" t="s">
        <v>278</v>
      </c>
      <c r="Q70" s="194">
        <f>'Reg Amorts'!P60</f>
        <v>286300</v>
      </c>
      <c r="R70" s="194">
        <f>'Reg Amorts'!Q60</f>
        <v>300170</v>
      </c>
      <c r="S70" s="194">
        <f>'Reg Amorts'!R60</f>
        <v>314599</v>
      </c>
      <c r="T70" s="194">
        <f>'Reg Amorts'!S60</f>
        <v>325531</v>
      </c>
    </row>
    <row r="71" spans="1:21" ht="12.75" customHeight="1">
      <c r="A71" s="54">
        <v>40</v>
      </c>
      <c r="C71" s="40" t="s">
        <v>57</v>
      </c>
      <c r="F71" s="196" t="s">
        <v>278</v>
      </c>
      <c r="G71" s="196" t="s">
        <v>278</v>
      </c>
      <c r="H71" s="196" t="s">
        <v>278</v>
      </c>
      <c r="I71" s="196" t="s">
        <v>278</v>
      </c>
      <c r="J71" s="196" t="s">
        <v>278</v>
      </c>
      <c r="K71" s="196" t="s">
        <v>278</v>
      </c>
      <c r="L71" s="196" t="s">
        <v>278</v>
      </c>
      <c r="M71" s="196" t="s">
        <v>278</v>
      </c>
      <c r="N71" s="196" t="s">
        <v>278</v>
      </c>
      <c r="O71" s="196" t="s">
        <v>278</v>
      </c>
      <c r="P71" s="196" t="s">
        <v>278</v>
      </c>
      <c r="Q71" s="194">
        <f>'Reg Amorts'!P61</f>
        <v>111144</v>
      </c>
      <c r="R71" s="194">
        <f>'Reg Amorts'!Q61</f>
        <v>116316</v>
      </c>
      <c r="S71" s="194">
        <f>'Reg Amorts'!R61</f>
        <v>122308</v>
      </c>
      <c r="T71" s="194">
        <f>'Reg Amorts'!S61</f>
        <v>123869</v>
      </c>
    </row>
    <row r="72" spans="1:21" ht="12.75" customHeight="1">
      <c r="A72" s="54">
        <v>41</v>
      </c>
      <c r="C72" s="40" t="s">
        <v>56</v>
      </c>
      <c r="F72" s="196" t="s">
        <v>278</v>
      </c>
      <c r="G72" s="196" t="s">
        <v>278</v>
      </c>
      <c r="H72" s="196" t="s">
        <v>278</v>
      </c>
      <c r="I72" s="196" t="s">
        <v>278</v>
      </c>
      <c r="J72" s="196" t="s">
        <v>278</v>
      </c>
      <c r="K72" s="196" t="s">
        <v>278</v>
      </c>
      <c r="L72" s="196" t="s">
        <v>278</v>
      </c>
      <c r="M72" s="196" t="s">
        <v>278</v>
      </c>
      <c r="N72" s="196" t="s">
        <v>278</v>
      </c>
      <c r="O72" s="196" t="s">
        <v>278</v>
      </c>
      <c r="P72" s="196" t="s">
        <v>278</v>
      </c>
      <c r="Q72" s="194">
        <f>'Reg Amorts'!P62</f>
        <v>209101</v>
      </c>
      <c r="R72" s="194">
        <f>'Reg Amorts'!Q62</f>
        <v>221408</v>
      </c>
      <c r="S72" s="194">
        <f>'Reg Amorts'!R62</f>
        <v>236201</v>
      </c>
      <c r="T72" s="194">
        <f>'Reg Amorts'!S62</f>
        <v>252722</v>
      </c>
    </row>
    <row r="73" spans="1:21" ht="12.75" customHeight="1">
      <c r="A73" s="54">
        <v>42</v>
      </c>
      <c r="C73" s="40" t="s">
        <v>55</v>
      </c>
      <c r="F73" s="196" t="s">
        <v>278</v>
      </c>
      <c r="G73" s="196" t="s">
        <v>278</v>
      </c>
      <c r="H73" s="196" t="s">
        <v>278</v>
      </c>
      <c r="I73" s="196" t="s">
        <v>278</v>
      </c>
      <c r="J73" s="196" t="s">
        <v>278</v>
      </c>
      <c r="K73" s="196" t="s">
        <v>278</v>
      </c>
      <c r="L73" s="196" t="s">
        <v>278</v>
      </c>
      <c r="M73" s="196" t="s">
        <v>278</v>
      </c>
      <c r="N73" s="196" t="s">
        <v>278</v>
      </c>
      <c r="O73" s="196" t="s">
        <v>278</v>
      </c>
      <c r="P73" s="196" t="s">
        <v>278</v>
      </c>
      <c r="Q73" s="194">
        <f>'Reg Amorts'!P63</f>
        <v>56694</v>
      </c>
      <c r="R73" s="194">
        <f>'Reg Amorts'!Q63</f>
        <v>61871</v>
      </c>
      <c r="S73" s="194">
        <f>'Reg Amorts'!R63</f>
        <v>58357</v>
      </c>
      <c r="T73" s="194">
        <f>'Reg Amorts'!S63</f>
        <v>65720</v>
      </c>
    </row>
    <row r="74" spans="1:21" ht="12.75" customHeight="1">
      <c r="A74" s="54">
        <v>43</v>
      </c>
      <c r="B74" s="40" t="s">
        <v>143</v>
      </c>
      <c r="F74" s="194">
        <f>'Reg Amorts'!E64--'Reg Amorts'!E105</f>
        <v>354682</v>
      </c>
      <c r="G74" s="194">
        <f>'Reg Amorts'!F64--'Reg Amorts'!F105</f>
        <v>373090</v>
      </c>
      <c r="H74" s="194">
        <f>'Reg Amorts'!G64--'Reg Amorts'!G105</f>
        <v>391351</v>
      </c>
      <c r="I74" s="194">
        <f>'Reg Amorts'!H64--'Reg Amorts'!H105</f>
        <v>422390</v>
      </c>
      <c r="J74" s="194">
        <f>'Reg Amorts'!I64--'Reg Amorts'!I105</f>
        <v>447359</v>
      </c>
      <c r="K74" s="194">
        <f>'Reg Amorts'!J64--'Reg Amorts'!J105</f>
        <v>474906</v>
      </c>
      <c r="L74" s="194">
        <f>'Reg Amorts'!K64--'Reg Amorts'!K105</f>
        <v>506599</v>
      </c>
      <c r="M74" s="194">
        <f>'Reg Amorts'!L64--'Reg Amorts'!L105</f>
        <v>526307</v>
      </c>
      <c r="N74" s="194">
        <f>'Reg Amorts'!M64--'Reg Amorts'!M105</f>
        <v>557426</v>
      </c>
      <c r="O74" s="194">
        <f>'Reg Amorts'!N64--'Reg Amorts'!N105</f>
        <v>585821</v>
      </c>
      <c r="P74" s="194">
        <f>'Reg Amorts'!O64--'Reg Amorts'!O105</f>
        <v>629399</v>
      </c>
      <c r="Q74" s="194">
        <f>SUM(Q69:Q73)</f>
        <v>666983</v>
      </c>
      <c r="R74" s="194">
        <f>SUM(R69:R73)</f>
        <v>704134</v>
      </c>
      <c r="S74" s="194">
        <f>SUM(S69:S73)</f>
        <v>749132</v>
      </c>
      <c r="T74" s="194">
        <f>SUM(T69:T73)</f>
        <v>788084</v>
      </c>
    </row>
    <row r="75" spans="1:21" ht="12.75" customHeight="1">
      <c r="A75" s="54">
        <v>44</v>
      </c>
      <c r="B75" s="40" t="s">
        <v>144</v>
      </c>
      <c r="F75" s="415">
        <f t="shared" ref="F75:R75" si="20">F67-F74</f>
        <v>754924</v>
      </c>
      <c r="G75" s="415">
        <f t="shared" si="20"/>
        <v>771819</v>
      </c>
      <c r="H75" s="415">
        <f t="shared" si="20"/>
        <v>850869</v>
      </c>
      <c r="I75" s="415">
        <f t="shared" si="20"/>
        <v>856006</v>
      </c>
      <c r="J75" s="415">
        <f t="shared" si="20"/>
        <v>908716</v>
      </c>
      <c r="K75" s="415">
        <f t="shared" si="20"/>
        <v>934058</v>
      </c>
      <c r="L75" s="415">
        <f t="shared" si="20"/>
        <v>994207</v>
      </c>
      <c r="M75" s="415">
        <f t="shared" si="20"/>
        <v>1009868</v>
      </c>
      <c r="N75" s="415">
        <f t="shared" si="20"/>
        <v>1064749</v>
      </c>
      <c r="O75" s="415">
        <f t="shared" si="20"/>
        <v>1150959</v>
      </c>
      <c r="P75" s="415">
        <f t="shared" si="20"/>
        <v>1220889</v>
      </c>
      <c r="Q75" s="415">
        <f>Q67-Q74</f>
        <v>1288304</v>
      </c>
      <c r="R75" s="415">
        <f t="shared" si="20"/>
        <v>1339779</v>
      </c>
      <c r="S75" s="415">
        <f t="shared" ref="S75:T75" si="21">S67-S74</f>
        <v>1416364</v>
      </c>
      <c r="T75" s="415">
        <f t="shared" si="21"/>
        <v>1472270</v>
      </c>
      <c r="U75" s="40" t="s">
        <v>487</v>
      </c>
    </row>
    <row r="76" spans="1:21">
      <c r="A76" s="54"/>
      <c r="F76" s="194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</row>
    <row r="77" spans="1:21">
      <c r="A77" s="54">
        <v>45</v>
      </c>
      <c r="B77" s="40" t="s">
        <v>52</v>
      </c>
      <c r="F77" s="44">
        <f>'Reg Amorts'!E67-'Reg Amorts'!E106</f>
        <v>-105775</v>
      </c>
      <c r="G77" s="44">
        <f>'Reg Amorts'!F67-'Reg Amorts'!F106</f>
        <v>-109541</v>
      </c>
      <c r="H77" s="44">
        <f>'Reg Amorts'!G67-'Reg Amorts'!G106</f>
        <v>-111367</v>
      </c>
      <c r="I77" s="44">
        <f>'Reg Amorts'!H67-'Reg Amorts'!H106</f>
        <v>-135404</v>
      </c>
      <c r="J77" s="44">
        <f>'Reg Amorts'!I67-'Reg Amorts'!I106</f>
        <v>-150960</v>
      </c>
      <c r="K77" s="44">
        <f>'Reg Amorts'!J67-'Reg Amorts'!J106</f>
        <v>-134967</v>
      </c>
      <c r="L77" s="44">
        <f>'Reg Amorts'!K67-'Reg Amorts'!K106</f>
        <v>-138495</v>
      </c>
      <c r="M77" s="44">
        <f>'Reg Amorts'!L67-'Reg Amorts'!L106</f>
        <v>-139033</v>
      </c>
      <c r="N77" s="44">
        <f>'Reg Amorts'!M67-'Reg Amorts'!M106</f>
        <v>-147502</v>
      </c>
      <c r="O77" s="44">
        <f>'Reg Amorts'!N67-'Reg Amorts'!N106</f>
        <v>-163716</v>
      </c>
      <c r="P77" s="44">
        <f>'Reg Amorts'!O67-'Reg Amorts'!O106</f>
        <v>-184825</v>
      </c>
      <c r="Q77" s="44">
        <f>'Reg Amorts'!P67</f>
        <v>-201163</v>
      </c>
      <c r="R77" s="44">
        <f>'Reg Amorts'!Q67</f>
        <v>-208209</v>
      </c>
      <c r="S77" s="44">
        <f>'Reg Amorts'!R67</f>
        <v>-221354</v>
      </c>
      <c r="T77" s="44">
        <f>'Reg Amorts'!S67</f>
        <v>-257766</v>
      </c>
    </row>
    <row r="78" spans="1:21">
      <c r="A78" s="54">
        <v>46</v>
      </c>
      <c r="C78" s="353" t="s">
        <v>292</v>
      </c>
      <c r="D78" s="353"/>
      <c r="E78" s="353"/>
      <c r="F78" s="418">
        <f t="shared" ref="F78:P78" si="22">F75+F77</f>
        <v>649149</v>
      </c>
      <c r="G78" s="418">
        <f t="shared" si="22"/>
        <v>662278</v>
      </c>
      <c r="H78" s="418">
        <f t="shared" si="22"/>
        <v>739502</v>
      </c>
      <c r="I78" s="418">
        <f t="shared" si="22"/>
        <v>720602</v>
      </c>
      <c r="J78" s="418">
        <f t="shared" si="22"/>
        <v>757756</v>
      </c>
      <c r="K78" s="418">
        <f t="shared" si="22"/>
        <v>799091</v>
      </c>
      <c r="L78" s="418">
        <f t="shared" si="22"/>
        <v>855712</v>
      </c>
      <c r="M78" s="418">
        <f t="shared" si="22"/>
        <v>870835</v>
      </c>
      <c r="N78" s="418">
        <f t="shared" si="22"/>
        <v>917247</v>
      </c>
      <c r="O78" s="418">
        <f t="shared" si="22"/>
        <v>987243</v>
      </c>
      <c r="P78" s="418">
        <f t="shared" si="22"/>
        <v>1036064</v>
      </c>
      <c r="Q78" s="418">
        <f>Q75+Q77</f>
        <v>1087141</v>
      </c>
      <c r="R78" s="418">
        <f>R75+R77</f>
        <v>1131570</v>
      </c>
      <c r="S78" s="418">
        <f>S75+S77</f>
        <v>1195010</v>
      </c>
      <c r="T78" s="418">
        <f>T75+T77</f>
        <v>1214504</v>
      </c>
    </row>
    <row r="79" spans="1:21">
      <c r="A79" s="54">
        <v>47</v>
      </c>
      <c r="B79" s="40" t="s">
        <v>146</v>
      </c>
      <c r="F79" s="194">
        <f>'Reg Amorts'!E102</f>
        <v>-80657</v>
      </c>
      <c r="G79" s="194">
        <f>'Reg Amorts'!F102</f>
        <v>-64763</v>
      </c>
      <c r="H79" s="194">
        <f>'Reg Amorts'!G102</f>
        <v>22356</v>
      </c>
      <c r="I79" s="194">
        <f>'Reg Amorts'!H102</f>
        <v>21841</v>
      </c>
      <c r="J79" s="194">
        <f>'Reg Amorts'!I102</f>
        <v>20255</v>
      </c>
      <c r="K79" s="194">
        <f>'Reg Amorts'!J102</f>
        <v>20751</v>
      </c>
      <c r="L79" s="194">
        <f>'Reg Amorts'!K102</f>
        <v>18799</v>
      </c>
      <c r="M79" s="194">
        <f>'Reg Amorts'!L102</f>
        <v>21020</v>
      </c>
      <c r="N79" s="194">
        <f>'Reg Amorts'!M102</f>
        <v>19593</v>
      </c>
      <c r="O79" s="194">
        <f>'Reg Amorts'!N102</f>
        <v>17776</v>
      </c>
      <c r="P79" s="194">
        <f>'Reg Amorts'!O102</f>
        <v>17776</v>
      </c>
      <c r="Q79" s="194">
        <f>'Reg Amorts'!P102</f>
        <v>18845</v>
      </c>
      <c r="R79" s="194">
        <f>'Reg Amorts'!Q102</f>
        <v>16438</v>
      </c>
      <c r="S79" s="194">
        <f>'Reg Amorts'!R102</f>
        <v>14761</v>
      </c>
      <c r="T79" s="194">
        <f>'Reg Amorts'!S102</f>
        <v>10846</v>
      </c>
    </row>
    <row r="80" spans="1:21">
      <c r="A80" s="54">
        <v>48</v>
      </c>
      <c r="B80" s="40" t="s">
        <v>53</v>
      </c>
      <c r="F80" s="194">
        <f>'Reg Amorts'!E70</f>
        <v>0</v>
      </c>
      <c r="G80" s="194">
        <f>'Reg Amorts'!F70</f>
        <v>0</v>
      </c>
      <c r="H80" s="194">
        <f>'Reg Amorts'!G70</f>
        <v>0</v>
      </c>
      <c r="I80" s="194">
        <f>'Reg Amorts'!H70</f>
        <v>0</v>
      </c>
      <c r="J80" s="194">
        <f>'Reg Amorts'!I70</f>
        <v>0</v>
      </c>
      <c r="K80" s="194">
        <f>'Reg Amorts'!J70</f>
        <v>0</v>
      </c>
      <c r="L80" s="194">
        <f>'Reg Amorts'!K70</f>
        <v>0</v>
      </c>
      <c r="M80" s="194">
        <f>'Reg Amorts'!L70</f>
        <v>0</v>
      </c>
      <c r="N80" s="194">
        <f>'Reg Amorts'!M70</f>
        <v>0</v>
      </c>
      <c r="O80" s="194">
        <f>'Reg Amorts'!N70</f>
        <v>0</v>
      </c>
      <c r="P80" s="194">
        <f>'Reg Amorts'!O70</f>
        <v>18188</v>
      </c>
      <c r="Q80" s="194">
        <f>'Reg Amorts'!P70+'Reg Amorts'!P110</f>
        <v>31877</v>
      </c>
      <c r="R80" s="194">
        <f>'Reg Amorts'!Q70</f>
        <v>10967</v>
      </c>
      <c r="S80" s="194">
        <f>'Reg Amorts'!R70</f>
        <v>16281</v>
      </c>
      <c r="T80" s="194">
        <f>'Reg Amorts'!S70</f>
        <v>47807</v>
      </c>
    </row>
    <row r="81" spans="1:20">
      <c r="A81" s="54"/>
      <c r="G81" s="41"/>
      <c r="H81" s="41"/>
      <c r="I81" s="41"/>
      <c r="J81" s="41"/>
      <c r="L81" s="41"/>
      <c r="M81" s="41"/>
      <c r="N81" s="41"/>
      <c r="O81" s="41"/>
      <c r="P81" s="41"/>
      <c r="Q81" s="194"/>
      <c r="R81" s="194"/>
      <c r="S81" s="194"/>
      <c r="T81" s="194"/>
    </row>
    <row r="82" spans="1:20" ht="12.75" thickBot="1">
      <c r="A82" s="54">
        <v>49</v>
      </c>
      <c r="B82" s="40" t="s">
        <v>51</v>
      </c>
      <c r="F82" s="417">
        <f>'CBR Hist'!F78</f>
        <v>568492</v>
      </c>
      <c r="G82" s="417">
        <f>'CBR Hist'!G78</f>
        <v>597515</v>
      </c>
      <c r="H82" s="417">
        <f>'CBR Hist'!H78</f>
        <v>761858</v>
      </c>
      <c r="I82" s="417">
        <f>'CBR Hist'!I78</f>
        <v>742443</v>
      </c>
      <c r="J82" s="417">
        <f>'CBR Hist'!J78</f>
        <v>778011</v>
      </c>
      <c r="K82" s="417">
        <f>'CBR Hist'!K78</f>
        <v>819842</v>
      </c>
      <c r="L82" s="417">
        <f>'CBR Hist'!L78</f>
        <v>874511</v>
      </c>
      <c r="M82" s="417">
        <f>'CBR Hist'!M78</f>
        <v>891855</v>
      </c>
      <c r="N82" s="417">
        <f>'CBR Hist'!N78</f>
        <v>936840</v>
      </c>
      <c r="O82" s="417">
        <f>'CBR Hist'!O78</f>
        <v>1005019</v>
      </c>
      <c r="P82" s="417">
        <f>'CBR Hist'!P78</f>
        <v>1072028</v>
      </c>
      <c r="Q82" s="417">
        <f>'CBR Hist'!Q78</f>
        <v>1137863</v>
      </c>
      <c r="R82" s="417">
        <f>'CBR Hist'!R78</f>
        <v>1158975</v>
      </c>
      <c r="S82" s="417">
        <f>'CBR Hist'!S78</f>
        <v>1226052</v>
      </c>
      <c r="T82" s="417">
        <f>'CBR Hist'!T78</f>
        <v>1273157</v>
      </c>
    </row>
    <row r="83" spans="1:20" ht="12.75" thickTop="1">
      <c r="A83" s="54"/>
      <c r="F83" s="475">
        <f>F78+F79+F80-F82</f>
        <v>0</v>
      </c>
      <c r="G83" s="475">
        <f t="shared" ref="G83:P83" si="23">G78+G79+G80-G82</f>
        <v>0</v>
      </c>
      <c r="H83" s="475">
        <f t="shared" si="23"/>
        <v>0</v>
      </c>
      <c r="I83" s="475">
        <f t="shared" si="23"/>
        <v>0</v>
      </c>
      <c r="J83" s="475">
        <f t="shared" si="23"/>
        <v>0</v>
      </c>
      <c r="K83" s="475">
        <f t="shared" si="23"/>
        <v>0</v>
      </c>
      <c r="L83" s="475">
        <f t="shared" si="23"/>
        <v>0</v>
      </c>
      <c r="M83" s="475">
        <f t="shared" si="23"/>
        <v>0</v>
      </c>
      <c r="N83" s="475">
        <f t="shared" si="23"/>
        <v>0</v>
      </c>
      <c r="O83" s="475">
        <f t="shared" si="23"/>
        <v>0</v>
      </c>
      <c r="P83" s="475">
        <f t="shared" si="23"/>
        <v>0</v>
      </c>
      <c r="Q83" s="475">
        <f>Q78+Q79+Q80-Q82</f>
        <v>0</v>
      </c>
      <c r="R83" s="475">
        <f t="shared" ref="R83:S83" si="24">R78+R79+R80-R82</f>
        <v>0</v>
      </c>
      <c r="S83" s="475">
        <f t="shared" si="24"/>
        <v>0</v>
      </c>
      <c r="T83" s="475">
        <f t="shared" ref="T83" si="25">T78+T79+T80-T82</f>
        <v>0</v>
      </c>
    </row>
    <row r="84" spans="1:20">
      <c r="A84" s="54"/>
      <c r="C84" s="478" t="s">
        <v>464</v>
      </c>
      <c r="F84" s="475"/>
      <c r="G84" s="475"/>
      <c r="H84" s="475"/>
      <c r="I84" s="475"/>
      <c r="J84" s="475"/>
      <c r="K84" s="475"/>
      <c r="L84" s="475"/>
      <c r="M84" s="475"/>
      <c r="N84" s="475"/>
      <c r="O84" s="475"/>
      <c r="P84" s="475"/>
      <c r="Q84" s="475"/>
      <c r="R84" s="475"/>
      <c r="S84" s="155"/>
      <c r="T84" s="155"/>
    </row>
    <row r="85" spans="1:20">
      <c r="A85" s="488" t="s">
        <v>94</v>
      </c>
      <c r="B85" s="478"/>
      <c r="C85" s="478"/>
      <c r="F85" s="475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155"/>
      <c r="T85" s="155"/>
    </row>
    <row r="86" spans="1:20">
      <c r="A86" s="488" t="s">
        <v>134</v>
      </c>
      <c r="B86" s="478"/>
      <c r="C86" s="478"/>
      <c r="F86" s="475"/>
      <c r="G86" s="475"/>
      <c r="H86" s="475"/>
      <c r="I86" s="475"/>
      <c r="J86" s="475"/>
      <c r="K86" s="475"/>
      <c r="L86" s="475"/>
      <c r="M86" s="475"/>
      <c r="N86" s="475"/>
      <c r="O86" s="475"/>
      <c r="P86" s="475"/>
      <c r="Q86" s="475"/>
      <c r="R86" s="475"/>
      <c r="S86" s="155"/>
      <c r="T86" s="155"/>
    </row>
    <row r="87" spans="1:20" ht="4.5" customHeight="1">
      <c r="A87" s="54"/>
      <c r="C87" s="478"/>
      <c r="F87" s="475"/>
      <c r="G87" s="475"/>
      <c r="H87" s="475"/>
      <c r="I87" s="475"/>
      <c r="J87" s="475"/>
      <c r="K87" s="475"/>
      <c r="L87" s="475"/>
      <c r="M87" s="475"/>
      <c r="N87" s="475"/>
      <c r="O87" s="475"/>
      <c r="P87" s="475"/>
      <c r="Q87" s="475"/>
      <c r="R87" s="475"/>
      <c r="S87" s="155"/>
      <c r="T87" s="155"/>
    </row>
    <row r="88" spans="1:20" ht="15.75">
      <c r="A88" s="489" t="str">
        <f>A58</f>
        <v xml:space="preserve">(000'S OF DOLLARS)  </v>
      </c>
      <c r="E88" s="958" t="s">
        <v>478</v>
      </c>
      <c r="F88" s="958"/>
      <c r="G88" s="958"/>
      <c r="H88" s="958"/>
      <c r="I88" s="958"/>
      <c r="J88" s="958"/>
      <c r="K88" s="958"/>
      <c r="L88" s="958"/>
      <c r="M88" s="958"/>
      <c r="N88" s="958"/>
      <c r="O88" s="958"/>
      <c r="P88" s="958"/>
      <c r="Q88" s="958"/>
      <c r="R88" s="958"/>
      <c r="S88" s="155"/>
      <c r="T88" s="692"/>
    </row>
    <row r="89" spans="1:20" ht="3" customHeight="1">
      <c r="A89" s="54"/>
      <c r="F89" s="468"/>
      <c r="G89" s="468"/>
      <c r="H89" s="468"/>
      <c r="I89" s="468"/>
      <c r="J89" s="468"/>
      <c r="K89" s="468"/>
      <c r="L89" s="468"/>
      <c r="M89" s="468"/>
      <c r="N89" s="468"/>
      <c r="O89" s="468"/>
      <c r="P89" s="468"/>
      <c r="Q89" s="468"/>
      <c r="R89" s="468"/>
      <c r="S89" s="155"/>
      <c r="T89" s="155"/>
    </row>
    <row r="90" spans="1:20" ht="12" customHeight="1">
      <c r="A90" s="54"/>
      <c r="F90" s="192">
        <f>F8</f>
        <v>2000</v>
      </c>
      <c r="G90" s="192">
        <f t="shared" ref="G90:R90" si="26">G8</f>
        <v>2001</v>
      </c>
      <c r="H90" s="192">
        <f t="shared" si="26"/>
        <v>2002</v>
      </c>
      <c r="I90" s="192">
        <f t="shared" si="26"/>
        <v>2003</v>
      </c>
      <c r="J90" s="192">
        <f t="shared" si="26"/>
        <v>2004</v>
      </c>
      <c r="K90" s="192">
        <f t="shared" si="26"/>
        <v>2005</v>
      </c>
      <c r="L90" s="192">
        <f t="shared" si="26"/>
        <v>2006</v>
      </c>
      <c r="M90" s="192">
        <f t="shared" si="26"/>
        <v>2007</v>
      </c>
      <c r="N90" s="192">
        <f t="shared" si="26"/>
        <v>2008</v>
      </c>
      <c r="O90" s="192">
        <f t="shared" si="26"/>
        <v>2009</v>
      </c>
      <c r="P90" s="192">
        <f t="shared" si="26"/>
        <v>2010</v>
      </c>
      <c r="Q90" s="192">
        <f t="shared" si="26"/>
        <v>2011</v>
      </c>
      <c r="R90" s="192">
        <f t="shared" si="26"/>
        <v>2012</v>
      </c>
      <c r="S90" s="192">
        <f t="shared" ref="S90:T90" si="27">S8</f>
        <v>2013</v>
      </c>
      <c r="T90" s="192">
        <f t="shared" si="27"/>
        <v>2014</v>
      </c>
    </row>
    <row r="91" spans="1:20" ht="25.9" customHeight="1">
      <c r="A91" s="512" t="s">
        <v>480</v>
      </c>
      <c r="D91" s="40" t="s">
        <v>462</v>
      </c>
      <c r="F91" s="468"/>
      <c r="G91" s="468"/>
      <c r="H91" s="468"/>
      <c r="I91" s="468"/>
      <c r="J91" s="468"/>
      <c r="K91" s="468"/>
      <c r="L91" s="468"/>
      <c r="M91" s="468"/>
      <c r="N91" s="468"/>
      <c r="O91" s="468"/>
      <c r="P91" s="468"/>
      <c r="Q91" s="468"/>
      <c r="R91" s="468"/>
      <c r="S91" s="518"/>
      <c r="T91" s="659"/>
    </row>
    <row r="92" spans="1:20" ht="12" customHeight="1">
      <c r="A92" s="54">
        <v>1</v>
      </c>
      <c r="B92" s="40" t="s">
        <v>424</v>
      </c>
      <c r="E92" s="344" t="s">
        <v>440</v>
      </c>
      <c r="F92" s="194">
        <f>F19</f>
        <v>78721</v>
      </c>
      <c r="G92" s="194">
        <f t="shared" ref="G92:R92" si="28">G19</f>
        <v>47157</v>
      </c>
      <c r="H92" s="194">
        <f t="shared" si="28"/>
        <v>101475</v>
      </c>
      <c r="I92" s="194">
        <f t="shared" si="28"/>
        <v>132098</v>
      </c>
      <c r="J92" s="194">
        <f t="shared" si="28"/>
        <v>101545</v>
      </c>
      <c r="K92" s="194">
        <f t="shared" si="28"/>
        <v>105374</v>
      </c>
      <c r="L92" s="194">
        <f t="shared" si="28"/>
        <v>104260</v>
      </c>
      <c r="M92" s="194">
        <f t="shared" si="28"/>
        <v>102890</v>
      </c>
      <c r="N92" s="194">
        <f t="shared" si="28"/>
        <v>117123</v>
      </c>
      <c r="O92" s="194">
        <f t="shared" si="28"/>
        <v>87599</v>
      </c>
      <c r="P92" s="194">
        <f t="shared" si="28"/>
        <v>147107</v>
      </c>
      <c r="Q92" s="194">
        <f t="shared" si="28"/>
        <v>145634</v>
      </c>
      <c r="R92" s="194">
        <f t="shared" si="28"/>
        <v>131795</v>
      </c>
      <c r="S92" s="194">
        <f>S19</f>
        <v>143904</v>
      </c>
      <c r="T92" s="194">
        <f>T19</f>
        <v>120307</v>
      </c>
    </row>
    <row r="93" spans="1:20" ht="12" customHeight="1">
      <c r="A93" s="54">
        <v>2</v>
      </c>
      <c r="B93" s="40" t="s">
        <v>425</v>
      </c>
      <c r="E93" s="344" t="s">
        <v>441</v>
      </c>
      <c r="F93" s="194">
        <f>F20</f>
        <v>181189</v>
      </c>
      <c r="G93" s="194">
        <f t="shared" ref="G93:R93" si="29">G20</f>
        <v>132159</v>
      </c>
      <c r="H93" s="194">
        <f t="shared" si="29"/>
        <v>50769</v>
      </c>
      <c r="I93" s="194">
        <f t="shared" si="29"/>
        <v>46591</v>
      </c>
      <c r="J93" s="194">
        <f t="shared" si="29"/>
        <v>51042</v>
      </c>
      <c r="K93" s="194">
        <f t="shared" si="29"/>
        <v>55046</v>
      </c>
      <c r="L93" s="194">
        <f t="shared" si="29"/>
        <v>79146</v>
      </c>
      <c r="M93" s="194">
        <f t="shared" si="29"/>
        <v>65640</v>
      </c>
      <c r="N93" s="194">
        <f t="shared" si="29"/>
        <v>72508</v>
      </c>
      <c r="O93" s="194">
        <f t="shared" si="29"/>
        <v>100437</v>
      </c>
      <c r="P93" s="194">
        <f t="shared" si="29"/>
        <v>142197</v>
      </c>
      <c r="Q93" s="194">
        <f t="shared" si="29"/>
        <v>91142</v>
      </c>
      <c r="R93" s="194">
        <f t="shared" si="29"/>
        <v>101283</v>
      </c>
      <c r="S93" s="194">
        <f t="shared" ref="S93:T93" si="30">S20</f>
        <v>109034</v>
      </c>
      <c r="T93" s="194">
        <f t="shared" si="30"/>
        <v>116643</v>
      </c>
    </row>
    <row r="94" spans="1:20" ht="12" customHeight="1">
      <c r="A94" s="54">
        <v>3</v>
      </c>
      <c r="B94" s="40" t="s">
        <v>426</v>
      </c>
      <c r="E94" s="344" t="s">
        <v>442</v>
      </c>
      <c r="F94" s="194">
        <f>F27</f>
        <v>9418</v>
      </c>
      <c r="G94" s="194">
        <f t="shared" ref="G94:R94" si="31">G27</f>
        <v>10560</v>
      </c>
      <c r="H94" s="194">
        <f t="shared" si="31"/>
        <v>9631</v>
      </c>
      <c r="I94" s="194">
        <f t="shared" si="31"/>
        <v>10171</v>
      </c>
      <c r="J94" s="194">
        <f t="shared" si="31"/>
        <v>12016</v>
      </c>
      <c r="K94" s="194">
        <f t="shared" si="31"/>
        <v>14263</v>
      </c>
      <c r="L94" s="194">
        <f t="shared" si="31"/>
        <v>15485</v>
      </c>
      <c r="M94" s="194">
        <f t="shared" si="31"/>
        <v>14563</v>
      </c>
      <c r="N94" s="194">
        <f t="shared" si="31"/>
        <v>17329</v>
      </c>
      <c r="O94" s="194">
        <f t="shared" si="31"/>
        <v>17267</v>
      </c>
      <c r="P94" s="194">
        <f t="shared" si="31"/>
        <v>18354</v>
      </c>
      <c r="Q94" s="194">
        <f t="shared" si="31"/>
        <v>19081</v>
      </c>
      <c r="R94" s="194">
        <f t="shared" si="31"/>
        <v>21152</v>
      </c>
      <c r="S94" s="194">
        <f t="shared" ref="S94:T94" si="32">S27</f>
        <v>20878</v>
      </c>
      <c r="T94" s="194">
        <f t="shared" si="32"/>
        <v>21299</v>
      </c>
    </row>
    <row r="95" spans="1:20" ht="12" customHeight="1">
      <c r="A95" s="54">
        <v>4</v>
      </c>
      <c r="B95" s="40" t="s">
        <v>427</v>
      </c>
      <c r="E95" s="344" t="s">
        <v>443</v>
      </c>
      <c r="F95" s="194">
        <f>F32</f>
        <v>5768</v>
      </c>
      <c r="G95" s="194">
        <f t="shared" ref="G95:R95" si="33">G32</f>
        <v>6196</v>
      </c>
      <c r="H95" s="194">
        <f t="shared" si="33"/>
        <v>7113</v>
      </c>
      <c r="I95" s="194">
        <f t="shared" si="33"/>
        <v>7129</v>
      </c>
      <c r="J95" s="194">
        <f t="shared" si="33"/>
        <v>7352</v>
      </c>
      <c r="K95" s="194">
        <f t="shared" si="33"/>
        <v>7156</v>
      </c>
      <c r="L95" s="194">
        <f t="shared" si="33"/>
        <v>7097</v>
      </c>
      <c r="M95" s="194">
        <f t="shared" si="33"/>
        <v>7514</v>
      </c>
      <c r="N95" s="194">
        <f t="shared" si="33"/>
        <v>7919</v>
      </c>
      <c r="O95" s="194">
        <f t="shared" si="33"/>
        <v>9646</v>
      </c>
      <c r="P95" s="194">
        <f t="shared" si="33"/>
        <v>9261</v>
      </c>
      <c r="Q95" s="194">
        <f t="shared" si="33"/>
        <v>10274.701588</v>
      </c>
      <c r="R95" s="194">
        <f t="shared" si="33"/>
        <v>10335.791302</v>
      </c>
      <c r="S95" s="194">
        <f t="shared" ref="S95:T95" si="34">S32</f>
        <v>11334</v>
      </c>
      <c r="T95" s="194">
        <f t="shared" si="34"/>
        <v>11166</v>
      </c>
    </row>
    <row r="96" spans="1:20" ht="12" customHeight="1">
      <c r="A96" s="54">
        <v>5</v>
      </c>
      <c r="B96" s="40" t="s">
        <v>428</v>
      </c>
      <c r="E96" s="344" t="s">
        <v>444</v>
      </c>
      <c r="F96" s="194">
        <f>F33</f>
        <v>5704</v>
      </c>
      <c r="G96" s="194">
        <f t="shared" ref="G96:R96" si="35">G33</f>
        <v>5381</v>
      </c>
      <c r="H96" s="194">
        <f t="shared" si="35"/>
        <v>6261</v>
      </c>
      <c r="I96" s="194">
        <f t="shared" si="35"/>
        <v>6620</v>
      </c>
      <c r="J96" s="194">
        <f t="shared" si="35"/>
        <v>266</v>
      </c>
      <c r="K96" s="194">
        <f t="shared" si="35"/>
        <v>7127</v>
      </c>
      <c r="L96" s="194">
        <f t="shared" si="35"/>
        <v>1159</v>
      </c>
      <c r="M96" s="194">
        <f t="shared" si="35"/>
        <v>7472</v>
      </c>
      <c r="N96" s="194">
        <f t="shared" si="35"/>
        <v>12847</v>
      </c>
      <c r="O96" s="194">
        <f t="shared" si="35"/>
        <v>19736</v>
      </c>
      <c r="P96" s="194">
        <f t="shared" si="35"/>
        <v>20832</v>
      </c>
      <c r="Q96" s="194">
        <f t="shared" si="35"/>
        <v>21292</v>
      </c>
      <c r="R96" s="194">
        <f t="shared" si="35"/>
        <v>18487</v>
      </c>
      <c r="S96" s="194">
        <f t="shared" ref="S96:T96" si="36">S33</f>
        <v>1516</v>
      </c>
      <c r="T96" s="194">
        <f t="shared" si="36"/>
        <v>1383</v>
      </c>
    </row>
    <row r="97" spans="1:20" ht="12" customHeight="1">
      <c r="A97" s="54">
        <v>6</v>
      </c>
      <c r="B97" s="40" t="s">
        <v>429</v>
      </c>
      <c r="E97" s="344" t="s">
        <v>445</v>
      </c>
      <c r="F97" s="194">
        <f>F34</f>
        <v>1071</v>
      </c>
      <c r="G97" s="194">
        <f t="shared" ref="G97:R97" si="37">G34</f>
        <v>734</v>
      </c>
      <c r="H97" s="194">
        <f t="shared" si="37"/>
        <v>628</v>
      </c>
      <c r="I97" s="194">
        <f t="shared" si="37"/>
        <v>734</v>
      </c>
      <c r="J97" s="194">
        <f t="shared" si="37"/>
        <v>686</v>
      </c>
      <c r="K97" s="194">
        <f t="shared" si="37"/>
        <v>430</v>
      </c>
      <c r="L97" s="194">
        <f t="shared" si="37"/>
        <v>657</v>
      </c>
      <c r="M97" s="194">
        <f t="shared" si="37"/>
        <v>682</v>
      </c>
      <c r="N97" s="194">
        <f t="shared" si="37"/>
        <v>571</v>
      </c>
      <c r="O97" s="194">
        <f t="shared" si="37"/>
        <v>660</v>
      </c>
      <c r="P97" s="194">
        <f t="shared" si="37"/>
        <v>176</v>
      </c>
      <c r="Q97" s="194">
        <f t="shared" si="37"/>
        <v>4</v>
      </c>
      <c r="R97" s="194">
        <f t="shared" si="37"/>
        <v>5</v>
      </c>
      <c r="S97" s="194">
        <f t="shared" ref="S97:T97" si="38">S34</f>
        <v>5</v>
      </c>
      <c r="T97" s="194">
        <f t="shared" si="38"/>
        <v>0</v>
      </c>
    </row>
    <row r="98" spans="1:20" ht="12" customHeight="1">
      <c r="A98" s="54">
        <v>7</v>
      </c>
      <c r="B98" s="40" t="s">
        <v>430</v>
      </c>
      <c r="E98" s="344" t="s">
        <v>446</v>
      </c>
      <c r="F98" s="194">
        <f>F37</f>
        <v>30350</v>
      </c>
      <c r="G98" s="194">
        <f t="shared" ref="G98:R98" si="39">G37</f>
        <v>25102</v>
      </c>
      <c r="H98" s="194">
        <f t="shared" si="39"/>
        <v>30304</v>
      </c>
      <c r="I98" s="194">
        <f t="shared" si="39"/>
        <v>30153</v>
      </c>
      <c r="J98" s="194">
        <f t="shared" si="39"/>
        <v>31927</v>
      </c>
      <c r="K98" s="194">
        <f t="shared" si="39"/>
        <v>33143</v>
      </c>
      <c r="L98" s="194">
        <f t="shared" si="39"/>
        <v>33148</v>
      </c>
      <c r="M98" s="194">
        <f t="shared" si="39"/>
        <v>35844</v>
      </c>
      <c r="N98" s="194">
        <f t="shared" si="39"/>
        <v>35982</v>
      </c>
      <c r="O98" s="194">
        <f t="shared" si="39"/>
        <v>38461</v>
      </c>
      <c r="P98" s="194">
        <f t="shared" si="39"/>
        <v>44662</v>
      </c>
      <c r="Q98" s="194">
        <f t="shared" si="39"/>
        <v>44779.252</v>
      </c>
      <c r="R98" s="194">
        <f t="shared" si="39"/>
        <v>49333.396000000001</v>
      </c>
      <c r="S98" s="194">
        <f t="shared" ref="S98:T98" si="40">S37</f>
        <v>43310</v>
      </c>
      <c r="T98" s="194">
        <f t="shared" si="40"/>
        <v>46210</v>
      </c>
    </row>
    <row r="99" spans="1:20" ht="12" customHeight="1">
      <c r="A99" s="54">
        <v>8</v>
      </c>
      <c r="B99" s="84" t="s">
        <v>431</v>
      </c>
      <c r="C99" s="54"/>
      <c r="D99" s="54"/>
      <c r="E99" s="54"/>
      <c r="F99" s="415">
        <f>SUM(F92:F98)</f>
        <v>312221</v>
      </c>
      <c r="G99" s="415">
        <f t="shared" ref="G99:R99" si="41">SUM(G92:G98)</f>
        <v>227289</v>
      </c>
      <c r="H99" s="415">
        <f t="shared" si="41"/>
        <v>206181</v>
      </c>
      <c r="I99" s="415">
        <f t="shared" si="41"/>
        <v>233496</v>
      </c>
      <c r="J99" s="415">
        <f t="shared" si="41"/>
        <v>204834</v>
      </c>
      <c r="K99" s="415">
        <f t="shared" si="41"/>
        <v>222539</v>
      </c>
      <c r="L99" s="415">
        <f t="shared" si="41"/>
        <v>240952</v>
      </c>
      <c r="M99" s="415">
        <f t="shared" si="41"/>
        <v>234605</v>
      </c>
      <c r="N99" s="415">
        <f t="shared" si="41"/>
        <v>264279</v>
      </c>
      <c r="O99" s="415">
        <f t="shared" si="41"/>
        <v>273806</v>
      </c>
      <c r="P99" s="415">
        <f t="shared" si="41"/>
        <v>382589</v>
      </c>
      <c r="Q99" s="415">
        <f t="shared" si="41"/>
        <v>332206.95358799997</v>
      </c>
      <c r="R99" s="415">
        <f t="shared" si="41"/>
        <v>332391.18730200001</v>
      </c>
      <c r="S99" s="415">
        <f t="shared" ref="S99:T99" si="42">SUM(S92:S98)</f>
        <v>329981</v>
      </c>
      <c r="T99" s="415">
        <f t="shared" si="42"/>
        <v>317008</v>
      </c>
    </row>
    <row r="100" spans="1:20">
      <c r="A100" s="54">
        <v>9</v>
      </c>
      <c r="B100" s="54"/>
      <c r="C100" s="84" t="s">
        <v>423</v>
      </c>
      <c r="D100" s="54"/>
      <c r="E100" s="54"/>
      <c r="F100" s="194">
        <f>-'PS Consolidated'!E29</f>
        <v>-234785.2591</v>
      </c>
      <c r="G100" s="194">
        <f>-'PS Consolidated'!F29</f>
        <v>-156185</v>
      </c>
      <c r="H100" s="194">
        <f>-'PS Consolidated'!G29</f>
        <v>-124379</v>
      </c>
      <c r="I100" s="194">
        <f>-'PS Consolidated'!H29</f>
        <v>-154282</v>
      </c>
      <c r="J100" s="194">
        <f>-'PS Consolidated'!I29</f>
        <v>-122799</v>
      </c>
      <c r="K100" s="194">
        <f>-'PS Consolidated'!J29</f>
        <v>-133120.12169999999</v>
      </c>
      <c r="L100" s="194">
        <f>-'PS Consolidated'!K29</f>
        <v>-152124</v>
      </c>
      <c r="M100" s="194">
        <f>-'PS Consolidated'!L29</f>
        <v>-135719</v>
      </c>
      <c r="N100" s="194">
        <f>-'PS Consolidated'!M29</f>
        <v>-152984</v>
      </c>
      <c r="O100" s="194">
        <f>-'PS Consolidated'!N29</f>
        <v>-146538.0865</v>
      </c>
      <c r="P100" s="194">
        <f>-'PS Consolidated'!O29</f>
        <v>-249368.62319999994</v>
      </c>
      <c r="Q100" s="194">
        <f>-'PS Consolidated'!P29</f>
        <v>-188583.39639999997</v>
      </c>
      <c r="R100" s="194">
        <f>-'PS Consolidated'!Q29</f>
        <v>-180833.76630000002</v>
      </c>
      <c r="S100" s="194">
        <f>-'PS Consolidated'!R29</f>
        <v>-201471</v>
      </c>
      <c r="T100" s="194">
        <f>-'PS Consolidated'!S29</f>
        <v>-186117</v>
      </c>
    </row>
    <row r="101" spans="1:20">
      <c r="A101" s="54">
        <v>10</v>
      </c>
      <c r="B101" s="54"/>
      <c r="C101" s="84" t="s">
        <v>420</v>
      </c>
      <c r="D101" s="54"/>
      <c r="E101" s="54"/>
      <c r="F101" s="194">
        <f>SUM(DSM!I34:I39)</f>
        <v>-3469.5337473273798</v>
      </c>
      <c r="G101" s="194">
        <f>SUM(DSM!J34:J39)</f>
        <v>-5113.1031757011697</v>
      </c>
      <c r="H101" s="194">
        <f>SUM(DSM!K34:K39)</f>
        <v>-6110.7326877122377</v>
      </c>
      <c r="I101" s="194">
        <f>SUM(DSM!L34:L39)</f>
        <v>-6177.2413218463089</v>
      </c>
      <c r="J101" s="194">
        <v>0</v>
      </c>
      <c r="K101" s="194">
        <f>SUM(DSM!N34:N39)</f>
        <v>-6651.8503863469796</v>
      </c>
      <c r="L101" s="194">
        <v>0</v>
      </c>
      <c r="M101" s="194">
        <f>SUM(DSM!P34:P39)</f>
        <v>-6711.241907653648</v>
      </c>
      <c r="N101" s="194">
        <f>SUM(DSM!Q34:Q39)</f>
        <v>-12172.241960004189</v>
      </c>
      <c r="O101" s="194">
        <f>SUM(DSM!R34:R39)</f>
        <v>-19005.286818134227</v>
      </c>
      <c r="P101" s="194">
        <f>SUM(DSM!S34:S39)</f>
        <v>-19612.288298607476</v>
      </c>
      <c r="Q101" s="194">
        <f>SUM(DSM!T34:T39)</f>
        <v>-20235.39595435033</v>
      </c>
      <c r="R101" s="194">
        <f>SUM(DSM!U34:U39)</f>
        <v>-17018.187444246676</v>
      </c>
      <c r="S101" s="194">
        <f>SUM(DSM!V34:V39)</f>
        <v>0</v>
      </c>
      <c r="T101" s="194">
        <f>SUM(DSM!W34:W39)</f>
        <v>0</v>
      </c>
    </row>
    <row r="102" spans="1:20">
      <c r="A102" s="54">
        <v>11</v>
      </c>
      <c r="B102" s="54"/>
      <c r="C102" s="84" t="s">
        <v>421</v>
      </c>
      <c r="D102" s="54"/>
      <c r="E102" s="54"/>
      <c r="F102" s="194">
        <f>SUM(ResX!I34:I39)</f>
        <v>128.26828071940636</v>
      </c>
      <c r="G102" s="194">
        <f>SUM(ResX!J34:J39)</f>
        <v>10.912514149163629</v>
      </c>
      <c r="H102" s="194">
        <f>SUM(ResX!K34:K39)</f>
        <v>57.891812350647719</v>
      </c>
      <c r="I102" s="194">
        <f>SUM(ResX!L34:L39)</f>
        <v>48.851996604200728</v>
      </c>
      <c r="J102" s="194">
        <v>0</v>
      </c>
      <c r="K102" s="194">
        <f>SUM(ResX!N34:N39)</f>
        <v>62.298339440896243</v>
      </c>
      <c r="L102" s="194">
        <v>0</v>
      </c>
      <c r="M102" s="194">
        <f>SUM(ResX!P34:P39)</f>
        <v>37.041897183540996</v>
      </c>
      <c r="N102" s="194">
        <f>SUM(ResX!Q34:Q39)</f>
        <v>23.730172756779396</v>
      </c>
      <c r="O102" s="194">
        <f>SUM(ResX!R34:R39)</f>
        <v>26.576997173070886</v>
      </c>
      <c r="P102" s="194">
        <f>SUM(ResX!S34:S39)</f>
        <v>41.434898963459318</v>
      </c>
      <c r="Q102" s="194">
        <f>SUM(ResX!T34:T39)</f>
        <v>30.591749555020414</v>
      </c>
      <c r="R102" s="194">
        <f>SUM(ResX!U34:U39)</f>
        <v>55.257591875196319</v>
      </c>
      <c r="S102" s="194">
        <f>SUM(ResX!V34:V39)</f>
        <v>0</v>
      </c>
      <c r="T102" s="194">
        <f>SUM(ResX!W34:W39)</f>
        <v>0</v>
      </c>
    </row>
    <row r="103" spans="1:20" ht="1.5" customHeight="1">
      <c r="A103" s="54"/>
      <c r="B103" s="54"/>
      <c r="C103" s="84"/>
      <c r="D103" s="54"/>
      <c r="E103" s="54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194"/>
      <c r="R103" s="194"/>
      <c r="S103" s="194"/>
      <c r="T103" s="194"/>
    </row>
    <row r="104" spans="1:20" ht="12.75" thickBot="1">
      <c r="A104" s="54">
        <v>12</v>
      </c>
      <c r="B104" s="472" t="s">
        <v>422</v>
      </c>
      <c r="C104" s="54"/>
      <c r="D104" s="54"/>
      <c r="E104" s="54"/>
      <c r="F104" s="470">
        <f>SUM(F99:F102)</f>
        <v>74094.475433392028</v>
      </c>
      <c r="G104" s="470">
        <f t="shared" ref="G104:T104" si="43">SUM(G99:G103)</f>
        <v>66001.809338448002</v>
      </c>
      <c r="H104" s="470">
        <f t="shared" si="43"/>
        <v>75749.159124638405</v>
      </c>
      <c r="I104" s="470">
        <f t="shared" si="43"/>
        <v>73085.610674757903</v>
      </c>
      <c r="J104" s="470">
        <f t="shared" si="43"/>
        <v>82035</v>
      </c>
      <c r="K104" s="470">
        <f t="shared" si="43"/>
        <v>82829.326253093925</v>
      </c>
      <c r="L104" s="470">
        <f t="shared" si="43"/>
        <v>88828</v>
      </c>
      <c r="M104" s="470">
        <f t="shared" si="43"/>
        <v>92211.7999895299</v>
      </c>
      <c r="N104" s="470">
        <f t="shared" si="43"/>
        <v>99146.488212752593</v>
      </c>
      <c r="O104" s="470">
        <f t="shared" si="43"/>
        <v>108289.20367903885</v>
      </c>
      <c r="P104" s="470">
        <f t="shared" si="43"/>
        <v>113649.52340035603</v>
      </c>
      <c r="Q104" s="470">
        <f t="shared" si="43"/>
        <v>123418.7529832047</v>
      </c>
      <c r="R104" s="470">
        <f t="shared" si="43"/>
        <v>134594.49114962851</v>
      </c>
      <c r="S104" s="470">
        <f t="shared" si="43"/>
        <v>128510</v>
      </c>
      <c r="T104" s="470">
        <f t="shared" si="43"/>
        <v>130891</v>
      </c>
    </row>
    <row r="105" spans="1:20" ht="12.75" thickTop="1">
      <c r="A105" s="54"/>
      <c r="B105" s="54"/>
      <c r="C105" s="54"/>
      <c r="D105" s="54"/>
      <c r="E105" s="54"/>
      <c r="F105" s="194"/>
      <c r="G105" s="471"/>
      <c r="H105" s="471"/>
      <c r="I105" s="471"/>
      <c r="J105" s="471"/>
      <c r="K105" s="471"/>
      <c r="L105" s="471">
        <f t="shared" ref="L105:T105" si="44">(L104-K104)/K104</f>
        <v>7.242209997672179E-2</v>
      </c>
      <c r="M105" s="471">
        <f t="shared" si="44"/>
        <v>3.809384416546472E-2</v>
      </c>
      <c r="N105" s="471">
        <f t="shared" si="44"/>
        <v>7.5203913425506114E-2</v>
      </c>
      <c r="O105" s="471">
        <f t="shared" si="44"/>
        <v>9.2214213847569129E-2</v>
      </c>
      <c r="P105" s="471">
        <f t="shared" si="44"/>
        <v>4.9500038223614332E-2</v>
      </c>
      <c r="Q105" s="471">
        <f t="shared" si="44"/>
        <v>8.595926573694776E-2</v>
      </c>
      <c r="R105" s="471">
        <f t="shared" si="44"/>
        <v>9.0551378103331207E-2</v>
      </c>
      <c r="S105" s="471">
        <f t="shared" si="44"/>
        <v>-4.5206093486132248E-2</v>
      </c>
      <c r="T105" s="471">
        <f t="shared" si="44"/>
        <v>1.8527741031826316E-2</v>
      </c>
    </row>
    <row r="106" spans="1:20" ht="5.25" customHeight="1">
      <c r="A106" s="54"/>
      <c r="B106" s="54"/>
      <c r="C106" s="54"/>
      <c r="D106" s="54"/>
      <c r="E106" s="54"/>
      <c r="F106" s="194"/>
      <c r="G106" s="194"/>
      <c r="H106" s="194"/>
      <c r="I106" s="194"/>
      <c r="J106" s="194"/>
      <c r="K106" s="194"/>
      <c r="L106" s="194"/>
      <c r="M106" s="194"/>
      <c r="N106" s="194"/>
      <c r="O106" s="194"/>
      <c r="P106" s="194"/>
      <c r="Q106" s="194"/>
      <c r="R106" s="194"/>
      <c r="S106" s="194"/>
      <c r="T106" s="194"/>
    </row>
    <row r="107" spans="1:20">
      <c r="A107" s="54"/>
      <c r="B107" s="54"/>
      <c r="C107" s="54"/>
      <c r="D107" s="84" t="s">
        <v>139</v>
      </c>
      <c r="E107" s="5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194"/>
      <c r="S107" s="194"/>
      <c r="T107" s="194"/>
    </row>
    <row r="108" spans="1:20">
      <c r="A108" s="54">
        <v>13</v>
      </c>
      <c r="B108" s="84" t="s">
        <v>424</v>
      </c>
      <c r="C108" s="54"/>
      <c r="D108" s="54"/>
      <c r="E108" s="344" t="s">
        <v>447</v>
      </c>
      <c r="F108" s="194">
        <f>F21</f>
        <v>14850</v>
      </c>
      <c r="G108" s="194">
        <f t="shared" ref="G108:R108" si="45">G21</f>
        <v>15202</v>
      </c>
      <c r="H108" s="194">
        <f t="shared" si="45"/>
        <v>20157</v>
      </c>
      <c r="I108" s="194">
        <f t="shared" si="45"/>
        <v>20523</v>
      </c>
      <c r="J108" s="194">
        <f t="shared" si="45"/>
        <v>22312</v>
      </c>
      <c r="K108" s="194">
        <f t="shared" si="45"/>
        <v>22629</v>
      </c>
      <c r="L108" s="194">
        <f t="shared" si="45"/>
        <v>24577</v>
      </c>
      <c r="M108" s="194">
        <f t="shared" si="45"/>
        <v>24877</v>
      </c>
      <c r="N108" s="194">
        <f t="shared" si="45"/>
        <v>23076</v>
      </c>
      <c r="O108" s="194">
        <f t="shared" si="45"/>
        <v>23969</v>
      </c>
      <c r="P108" s="194">
        <f t="shared" si="45"/>
        <v>25008</v>
      </c>
      <c r="Q108" s="194">
        <f t="shared" si="45"/>
        <v>25158</v>
      </c>
      <c r="R108" s="194">
        <f t="shared" si="45"/>
        <v>25680</v>
      </c>
      <c r="S108" s="194">
        <f t="shared" ref="S108:T108" si="46">S21</f>
        <v>23284</v>
      </c>
      <c r="T108" s="194">
        <f t="shared" si="46"/>
        <v>23715</v>
      </c>
    </row>
    <row r="109" spans="1:20">
      <c r="A109" s="54">
        <v>14</v>
      </c>
      <c r="B109" s="84" t="s">
        <v>426</v>
      </c>
      <c r="C109" s="54"/>
      <c r="D109" s="54"/>
      <c r="E109" s="344" t="s">
        <v>448</v>
      </c>
      <c r="F109" s="194">
        <f>F28</f>
        <v>9056</v>
      </c>
      <c r="G109" s="194">
        <f t="shared" ref="G109:R109" si="47">G28</f>
        <v>9178</v>
      </c>
      <c r="H109" s="194">
        <f t="shared" si="47"/>
        <v>9427</v>
      </c>
      <c r="I109" s="194">
        <f t="shared" si="47"/>
        <v>9752</v>
      </c>
      <c r="J109" s="194">
        <f t="shared" si="47"/>
        <v>10067</v>
      </c>
      <c r="K109" s="194">
        <f t="shared" si="47"/>
        <v>10399</v>
      </c>
      <c r="L109" s="194">
        <f t="shared" si="47"/>
        <v>10776</v>
      </c>
      <c r="M109" s="194">
        <f t="shared" si="47"/>
        <v>11333</v>
      </c>
      <c r="N109" s="194">
        <f t="shared" si="47"/>
        <v>15611</v>
      </c>
      <c r="O109" s="194">
        <f t="shared" si="47"/>
        <v>16809</v>
      </c>
      <c r="P109" s="194">
        <f t="shared" si="47"/>
        <v>17985</v>
      </c>
      <c r="Q109" s="194">
        <f t="shared" si="47"/>
        <v>19240</v>
      </c>
      <c r="R109" s="194">
        <f t="shared" si="47"/>
        <v>20749</v>
      </c>
      <c r="S109" s="194">
        <f t="shared" ref="S109:T109" si="48">S28</f>
        <v>22303</v>
      </c>
      <c r="T109" s="194">
        <f t="shared" si="48"/>
        <v>23794</v>
      </c>
    </row>
    <row r="110" spans="1:20">
      <c r="A110" s="54">
        <v>15</v>
      </c>
      <c r="B110" s="40" t="s">
        <v>430</v>
      </c>
      <c r="C110" s="54"/>
      <c r="D110" s="54"/>
      <c r="E110" s="344" t="s">
        <v>449</v>
      </c>
      <c r="F110" s="194">
        <f>F38</f>
        <v>3998</v>
      </c>
      <c r="G110" s="194">
        <f t="shared" ref="G110:R110" si="49">G38</f>
        <v>4414</v>
      </c>
      <c r="H110" s="194">
        <f t="shared" si="49"/>
        <v>6606</v>
      </c>
      <c r="I110" s="194">
        <f t="shared" si="49"/>
        <v>6659</v>
      </c>
      <c r="J110" s="194">
        <f t="shared" si="49"/>
        <v>6072</v>
      </c>
      <c r="K110" s="194">
        <f t="shared" si="49"/>
        <v>6537</v>
      </c>
      <c r="L110" s="194">
        <f t="shared" si="49"/>
        <v>6459</v>
      </c>
      <c r="M110" s="194">
        <f t="shared" si="49"/>
        <v>6739</v>
      </c>
      <c r="N110" s="194">
        <f t="shared" si="49"/>
        <v>7187</v>
      </c>
      <c r="O110" s="194">
        <f t="shared" si="49"/>
        <v>7688</v>
      </c>
      <c r="P110" s="194">
        <f t="shared" si="49"/>
        <v>9277</v>
      </c>
      <c r="Q110" s="194">
        <f t="shared" si="49"/>
        <v>10906</v>
      </c>
      <c r="R110" s="194">
        <f t="shared" si="49"/>
        <v>12517</v>
      </c>
      <c r="S110" s="194">
        <f t="shared" ref="S110:T110" si="50">S38</f>
        <v>14721</v>
      </c>
      <c r="T110" s="194">
        <f t="shared" si="50"/>
        <v>16947</v>
      </c>
    </row>
    <row r="111" spans="1:20" ht="12.75" thickBot="1">
      <c r="A111" s="54">
        <v>16</v>
      </c>
      <c r="B111" s="472" t="s">
        <v>432</v>
      </c>
      <c r="C111" s="54"/>
      <c r="D111" s="54"/>
      <c r="E111" s="54"/>
      <c r="F111" s="470">
        <f>SUM(F108:F110)</f>
        <v>27904</v>
      </c>
      <c r="G111" s="470">
        <f t="shared" ref="G111:R111" si="51">SUM(G108:G110)</f>
        <v>28794</v>
      </c>
      <c r="H111" s="470">
        <f t="shared" si="51"/>
        <v>36190</v>
      </c>
      <c r="I111" s="470">
        <f t="shared" si="51"/>
        <v>36934</v>
      </c>
      <c r="J111" s="470">
        <f t="shared" si="51"/>
        <v>38451</v>
      </c>
      <c r="K111" s="470">
        <f t="shared" si="51"/>
        <v>39565</v>
      </c>
      <c r="L111" s="470">
        <f t="shared" si="51"/>
        <v>41812</v>
      </c>
      <c r="M111" s="470">
        <f t="shared" si="51"/>
        <v>42949</v>
      </c>
      <c r="N111" s="470">
        <f t="shared" si="51"/>
        <v>45874</v>
      </c>
      <c r="O111" s="470">
        <f t="shared" si="51"/>
        <v>48466</v>
      </c>
      <c r="P111" s="470">
        <f t="shared" si="51"/>
        <v>52270</v>
      </c>
      <c r="Q111" s="470">
        <f t="shared" si="51"/>
        <v>55304</v>
      </c>
      <c r="R111" s="470">
        <f t="shared" si="51"/>
        <v>58946</v>
      </c>
      <c r="S111" s="470">
        <f t="shared" ref="S111:T111" si="52">SUM(S108:S110)</f>
        <v>60308</v>
      </c>
      <c r="T111" s="470">
        <f t="shared" si="52"/>
        <v>64456</v>
      </c>
    </row>
    <row r="112" spans="1:20" ht="12.75" thickTop="1">
      <c r="A112" s="54"/>
      <c r="B112" s="54"/>
      <c r="C112" s="54"/>
      <c r="D112" s="54"/>
      <c r="E112" s="54"/>
      <c r="F112" s="194"/>
      <c r="G112" s="471">
        <f>(G111-F111)/F111</f>
        <v>3.1895068807339451E-2</v>
      </c>
      <c r="H112" s="471">
        <f t="shared" ref="H112:T112" si="53">(H111-G111)/G111</f>
        <v>0.25685906786135998</v>
      </c>
      <c r="I112" s="471">
        <f t="shared" si="53"/>
        <v>2.0558165239016303E-2</v>
      </c>
      <c r="J112" s="471">
        <f t="shared" si="53"/>
        <v>4.1073265825526617E-2</v>
      </c>
      <c r="K112" s="471">
        <f t="shared" si="53"/>
        <v>2.8971938311097241E-2</v>
      </c>
      <c r="L112" s="471">
        <f t="shared" si="53"/>
        <v>5.6792619739668898E-2</v>
      </c>
      <c r="M112" s="471">
        <f t="shared" si="53"/>
        <v>2.7193150291782264E-2</v>
      </c>
      <c r="N112" s="471">
        <f t="shared" si="53"/>
        <v>6.8104030361591655E-2</v>
      </c>
      <c r="O112" s="471">
        <f t="shared" si="53"/>
        <v>5.6502594061995905E-2</v>
      </c>
      <c r="P112" s="471">
        <f t="shared" si="53"/>
        <v>7.8488012214748479E-2</v>
      </c>
      <c r="Q112" s="471">
        <f t="shared" si="53"/>
        <v>5.8044767553089724E-2</v>
      </c>
      <c r="R112" s="471">
        <f t="shared" si="53"/>
        <v>6.5854187762187183E-2</v>
      </c>
      <c r="S112" s="471">
        <f t="shared" si="53"/>
        <v>2.3105893529671226E-2</v>
      </c>
      <c r="T112" s="471">
        <f t="shared" si="53"/>
        <v>6.8780261325197323E-2</v>
      </c>
    </row>
    <row r="113" spans="1:20">
      <c r="A113" s="54"/>
      <c r="B113" s="54"/>
      <c r="C113" s="54"/>
      <c r="D113" s="54"/>
      <c r="E113" s="54"/>
      <c r="F113" s="194"/>
      <c r="G113" s="194"/>
      <c r="H113" s="194"/>
      <c r="I113" s="194"/>
      <c r="J113" s="194"/>
      <c r="K113" s="194"/>
      <c r="L113" s="194"/>
      <c r="M113" s="194"/>
      <c r="N113" s="194"/>
      <c r="O113" s="194"/>
      <c r="P113" s="194"/>
      <c r="Q113" s="194"/>
      <c r="R113" s="194"/>
      <c r="S113" s="194"/>
      <c r="T113" s="194"/>
    </row>
    <row r="114" spans="1:20">
      <c r="A114" s="54"/>
      <c r="B114" s="54"/>
      <c r="C114" s="54"/>
      <c r="D114" s="84" t="s">
        <v>463</v>
      </c>
      <c r="E114" s="54"/>
      <c r="F114" s="194"/>
      <c r="G114" s="194"/>
      <c r="H114" s="194"/>
      <c r="I114" s="194"/>
      <c r="J114" s="194"/>
      <c r="K114" s="194"/>
      <c r="L114" s="194"/>
      <c r="M114" s="194"/>
      <c r="N114" s="194"/>
      <c r="O114" s="194"/>
      <c r="P114" s="194"/>
      <c r="Q114" s="194"/>
      <c r="R114" s="194"/>
      <c r="S114" s="194"/>
      <c r="T114" s="194"/>
    </row>
    <row r="115" spans="1:20">
      <c r="A115" s="54">
        <v>17</v>
      </c>
      <c r="B115" s="84" t="s">
        <v>328</v>
      </c>
      <c r="C115" s="54"/>
      <c r="D115" s="54"/>
      <c r="E115" s="344" t="s">
        <v>450</v>
      </c>
      <c r="F115" s="194">
        <f>F22</f>
        <v>-17964</v>
      </c>
      <c r="G115" s="194">
        <f t="shared" ref="G115:R115" si="54">G22</f>
        <v>-6050</v>
      </c>
      <c r="H115" s="194">
        <f t="shared" si="54"/>
        <v>-6349</v>
      </c>
      <c r="I115" s="194">
        <f t="shared" si="54"/>
        <v>-5608</v>
      </c>
      <c r="J115" s="194">
        <f t="shared" si="54"/>
        <v>567</v>
      </c>
      <c r="K115" s="194">
        <f t="shared" si="54"/>
        <v>-8817</v>
      </c>
      <c r="L115" s="194">
        <f t="shared" si="54"/>
        <v>1168</v>
      </c>
      <c r="M115" s="194">
        <f t="shared" si="54"/>
        <v>-3082</v>
      </c>
      <c r="N115" s="194">
        <f t="shared" si="54"/>
        <v>-1076</v>
      </c>
      <c r="O115" s="194">
        <f t="shared" si="54"/>
        <v>-1703</v>
      </c>
      <c r="P115" s="194">
        <f t="shared" si="54"/>
        <v>-2879</v>
      </c>
      <c r="Q115" s="194">
        <f t="shared" si="54"/>
        <v>403</v>
      </c>
      <c r="R115" s="194">
        <f t="shared" si="54"/>
        <v>-7744</v>
      </c>
      <c r="S115" s="194">
        <f t="shared" ref="S115:T115" si="55">S22</f>
        <v>8629</v>
      </c>
      <c r="T115" s="194">
        <f t="shared" si="55"/>
        <v>8101</v>
      </c>
    </row>
    <row r="116" spans="1:20">
      <c r="A116" s="54">
        <v>18</v>
      </c>
      <c r="B116" s="54"/>
      <c r="C116" s="84" t="s">
        <v>466</v>
      </c>
      <c r="D116" s="54"/>
      <c r="E116" s="54"/>
      <c r="F116" s="194">
        <f>ResX!I24</f>
        <v>16644</v>
      </c>
      <c r="G116" s="194">
        <f>ResX!J24</f>
        <v>1416</v>
      </c>
      <c r="H116" s="194">
        <f>ResX!K24</f>
        <v>7512</v>
      </c>
      <c r="I116" s="194">
        <f>ResX!L24</f>
        <v>6339</v>
      </c>
      <c r="J116" s="194">
        <v>0</v>
      </c>
      <c r="K116" s="194">
        <f>ResX!N24</f>
        <v>9388</v>
      </c>
      <c r="L116" s="194">
        <v>0</v>
      </c>
      <c r="M116" s="194">
        <f>ResX!P24</f>
        <v>5582</v>
      </c>
      <c r="N116" s="194">
        <f>ResX!Q24</f>
        <v>3576</v>
      </c>
      <c r="O116" s="194">
        <f>ResX!R24</f>
        <v>4005</v>
      </c>
      <c r="P116" s="194">
        <f>ResX!S24</f>
        <v>6244</v>
      </c>
      <c r="Q116" s="194">
        <f>ResX!T24</f>
        <v>4610</v>
      </c>
      <c r="R116" s="194">
        <f>ResX!U24</f>
        <v>8327</v>
      </c>
      <c r="S116" s="194">
        <f>ResX!V24</f>
        <v>0</v>
      </c>
      <c r="T116" s="194">
        <f>ResX!W24</f>
        <v>0</v>
      </c>
    </row>
    <row r="117" spans="1:20" ht="12.75" thickBot="1">
      <c r="A117" s="54">
        <v>19</v>
      </c>
      <c r="B117" s="472" t="s">
        <v>329</v>
      </c>
      <c r="C117" s="54"/>
      <c r="D117" s="54"/>
      <c r="E117" s="54"/>
      <c r="F117" s="470">
        <f>SUM(F115:F116)</f>
        <v>-1320</v>
      </c>
      <c r="G117" s="470">
        <f t="shared" ref="G117:R117" si="56">SUM(G115:G116)</f>
        <v>-4634</v>
      </c>
      <c r="H117" s="470">
        <f t="shared" si="56"/>
        <v>1163</v>
      </c>
      <c r="I117" s="470">
        <f t="shared" si="56"/>
        <v>731</v>
      </c>
      <c r="J117" s="470">
        <f t="shared" si="56"/>
        <v>567</v>
      </c>
      <c r="K117" s="470">
        <f t="shared" si="56"/>
        <v>571</v>
      </c>
      <c r="L117" s="470">
        <f t="shared" si="56"/>
        <v>1168</v>
      </c>
      <c r="M117" s="470">
        <f t="shared" si="56"/>
        <v>2500</v>
      </c>
      <c r="N117" s="470">
        <f t="shared" si="56"/>
        <v>2500</v>
      </c>
      <c r="O117" s="470">
        <f t="shared" si="56"/>
        <v>2302</v>
      </c>
      <c r="P117" s="470">
        <f t="shared" si="56"/>
        <v>3365</v>
      </c>
      <c r="Q117" s="470">
        <f t="shared" si="56"/>
        <v>5013</v>
      </c>
      <c r="R117" s="470">
        <f t="shared" si="56"/>
        <v>583</v>
      </c>
      <c r="S117" s="470">
        <f t="shared" ref="S117:T117" si="57">SUM(S115:S116)</f>
        <v>8629</v>
      </c>
      <c r="T117" s="470">
        <f t="shared" si="57"/>
        <v>8101</v>
      </c>
    </row>
    <row r="118" spans="1:20" ht="6" customHeight="1" thickTop="1">
      <c r="A118" s="54"/>
      <c r="B118" s="54"/>
      <c r="C118" s="54"/>
      <c r="D118" s="54"/>
      <c r="E118" s="54"/>
      <c r="F118" s="194"/>
      <c r="G118" s="471"/>
      <c r="H118" s="471"/>
      <c r="I118" s="471"/>
      <c r="J118" s="471"/>
      <c r="K118" s="471"/>
      <c r="L118" s="471"/>
      <c r="M118" s="471"/>
      <c r="N118" s="471"/>
      <c r="O118" s="471"/>
      <c r="P118" s="471"/>
      <c r="Q118" s="471"/>
      <c r="R118" s="471"/>
      <c r="S118" s="471"/>
      <c r="T118" s="471"/>
    </row>
    <row r="119" spans="1:20" ht="5.25" customHeight="1">
      <c r="A119" s="54"/>
      <c r="B119" s="54"/>
      <c r="C119" s="54"/>
      <c r="D119" s="54"/>
      <c r="E119" s="54"/>
      <c r="F119" s="194"/>
      <c r="G119" s="194"/>
      <c r="H119" s="194"/>
      <c r="I119" s="194"/>
      <c r="J119" s="194"/>
      <c r="K119" s="194"/>
      <c r="L119" s="194"/>
      <c r="M119" s="194"/>
      <c r="N119" s="194"/>
      <c r="O119" s="194"/>
      <c r="P119" s="194"/>
      <c r="Q119" s="194"/>
      <c r="R119" s="194"/>
      <c r="S119" s="194"/>
      <c r="T119" s="194"/>
    </row>
    <row r="120" spans="1:20">
      <c r="A120" s="54"/>
      <c r="B120" s="84"/>
      <c r="C120" s="54"/>
      <c r="D120" s="84" t="s">
        <v>481</v>
      </c>
      <c r="E120" s="54"/>
      <c r="F120" s="194"/>
      <c r="G120" s="194"/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</row>
    <row r="121" spans="1:20">
      <c r="A121" s="54">
        <v>20</v>
      </c>
      <c r="B121" s="84" t="s">
        <v>424</v>
      </c>
      <c r="C121" s="54"/>
      <c r="D121" s="54"/>
      <c r="E121" s="344" t="s">
        <v>451</v>
      </c>
      <c r="F121" s="194">
        <f>F23</f>
        <v>9346</v>
      </c>
      <c r="G121" s="194">
        <f t="shared" ref="G121:M121" si="58">G23</f>
        <v>5139</v>
      </c>
      <c r="H121" s="194">
        <f t="shared" si="58"/>
        <v>7164</v>
      </c>
      <c r="I121" s="194">
        <f t="shared" si="58"/>
        <v>6722</v>
      </c>
      <c r="J121" s="194">
        <f t="shared" si="58"/>
        <v>7283</v>
      </c>
      <c r="K121" s="194">
        <f t="shared" si="58"/>
        <v>9900</v>
      </c>
      <c r="L121" s="194">
        <f t="shared" si="58"/>
        <v>9115</v>
      </c>
      <c r="M121" s="194">
        <f t="shared" si="58"/>
        <v>8319</v>
      </c>
      <c r="N121" s="194">
        <f>N23</f>
        <v>8146</v>
      </c>
      <c r="O121" s="194">
        <f t="shared" ref="O121:R121" si="59">O23</f>
        <v>9014</v>
      </c>
      <c r="P121" s="194">
        <f t="shared" si="59"/>
        <v>9955</v>
      </c>
      <c r="Q121" s="194">
        <f t="shared" si="59"/>
        <v>10846</v>
      </c>
      <c r="R121" s="194">
        <f t="shared" si="59"/>
        <v>11456</v>
      </c>
      <c r="S121" s="194">
        <f t="shared" ref="S121" si="60">S23</f>
        <v>12913</v>
      </c>
      <c r="T121" s="194">
        <f>T23</f>
        <v>12828</v>
      </c>
    </row>
    <row r="122" spans="1:20">
      <c r="A122" s="54">
        <v>21</v>
      </c>
      <c r="B122" s="84" t="s">
        <v>426</v>
      </c>
      <c r="C122" s="54"/>
      <c r="D122" s="54"/>
      <c r="E122" s="344" t="s">
        <v>452</v>
      </c>
      <c r="F122" s="194">
        <f>F29</f>
        <v>11693</v>
      </c>
      <c r="G122" s="194">
        <f t="shared" ref="G122:M122" si="61">G29</f>
        <v>15462</v>
      </c>
      <c r="H122" s="194">
        <f t="shared" si="61"/>
        <v>16996</v>
      </c>
      <c r="I122" s="194">
        <f t="shared" si="61"/>
        <v>17286</v>
      </c>
      <c r="J122" s="194">
        <f t="shared" si="61"/>
        <v>17401</v>
      </c>
      <c r="K122" s="194">
        <f t="shared" si="61"/>
        <v>14988</v>
      </c>
      <c r="L122" s="194">
        <f t="shared" si="61"/>
        <v>16307</v>
      </c>
      <c r="M122" s="194">
        <f t="shared" si="61"/>
        <v>16156</v>
      </c>
      <c r="N122" s="194">
        <f>N29</f>
        <v>17416</v>
      </c>
      <c r="O122" s="194">
        <f t="shared" ref="O122:R122" si="62">O29</f>
        <v>18207</v>
      </c>
      <c r="P122" s="194">
        <f t="shared" si="62"/>
        <v>19990</v>
      </c>
      <c r="Q122" s="194">
        <f t="shared" si="62"/>
        <v>22393.453812</v>
      </c>
      <c r="R122" s="194">
        <f t="shared" si="62"/>
        <v>22594.925350000001</v>
      </c>
      <c r="S122" s="194">
        <f t="shared" ref="S122:T122" si="63">S29</f>
        <v>23288</v>
      </c>
      <c r="T122" s="194">
        <f t="shared" si="63"/>
        <v>25575</v>
      </c>
    </row>
    <row r="123" spans="1:20">
      <c r="A123" s="54">
        <v>22</v>
      </c>
      <c r="B123" s="40" t="s">
        <v>430</v>
      </c>
      <c r="C123" s="54"/>
      <c r="D123" s="54"/>
      <c r="E123" s="344" t="s">
        <v>453</v>
      </c>
      <c r="F123" s="194">
        <f>F39</f>
        <v>5</v>
      </c>
      <c r="G123" s="194">
        <f t="shared" ref="G123:M123" si="64">G39</f>
        <v>2</v>
      </c>
      <c r="H123" s="194">
        <f t="shared" si="64"/>
        <v>1</v>
      </c>
      <c r="I123" s="194">
        <f t="shared" si="64"/>
        <v>2</v>
      </c>
      <c r="J123" s="194">
        <f t="shared" si="64"/>
        <v>3</v>
      </c>
      <c r="K123" s="194">
        <f t="shared" si="64"/>
        <v>-4</v>
      </c>
      <c r="L123" s="194">
        <f t="shared" si="64"/>
        <v>0</v>
      </c>
      <c r="M123" s="194">
        <f t="shared" si="64"/>
        <v>-9</v>
      </c>
      <c r="N123" s="194">
        <f>N39</f>
        <v>-3</v>
      </c>
      <c r="O123" s="194">
        <f t="shared" ref="O123:R123" si="65">O39</f>
        <v>-3</v>
      </c>
      <c r="P123" s="194">
        <f t="shared" si="65"/>
        <v>2</v>
      </c>
      <c r="Q123" s="194">
        <f t="shared" si="65"/>
        <v>0</v>
      </c>
      <c r="R123" s="194">
        <f t="shared" si="65"/>
        <v>-4</v>
      </c>
      <c r="S123" s="194">
        <f t="shared" ref="S123:T123" si="66">S39</f>
        <v>0</v>
      </c>
      <c r="T123" s="194">
        <f t="shared" si="66"/>
        <v>0</v>
      </c>
    </row>
    <row r="124" spans="1:20">
      <c r="A124" s="54">
        <v>23</v>
      </c>
      <c r="B124" s="84" t="s">
        <v>433</v>
      </c>
      <c r="C124" s="54"/>
      <c r="D124" s="54"/>
      <c r="E124" s="54"/>
      <c r="F124" s="415">
        <f>SUM(F121:F123)</f>
        <v>21044</v>
      </c>
      <c r="G124" s="415">
        <f t="shared" ref="G124:M124" si="67">SUM(G121:G123)</f>
        <v>20603</v>
      </c>
      <c r="H124" s="415">
        <f t="shared" si="67"/>
        <v>24161</v>
      </c>
      <c r="I124" s="415">
        <f t="shared" si="67"/>
        <v>24010</v>
      </c>
      <c r="J124" s="415">
        <f t="shared" si="67"/>
        <v>24687</v>
      </c>
      <c r="K124" s="415">
        <f t="shared" si="67"/>
        <v>24884</v>
      </c>
      <c r="L124" s="415">
        <f t="shared" si="67"/>
        <v>25422</v>
      </c>
      <c r="M124" s="415">
        <f t="shared" si="67"/>
        <v>24466</v>
      </c>
      <c r="N124" s="415">
        <f>SUM(N121:N123)</f>
        <v>25559</v>
      </c>
      <c r="O124" s="415">
        <f t="shared" ref="O124" si="68">SUM(O121:O123)</f>
        <v>27218</v>
      </c>
      <c r="P124" s="415">
        <f t="shared" ref="P124" si="69">SUM(P121:P123)</f>
        <v>29947</v>
      </c>
      <c r="Q124" s="415">
        <f t="shared" ref="Q124" si="70">SUM(Q121:Q123)</f>
        <v>33239.453812</v>
      </c>
      <c r="R124" s="415">
        <f t="shared" ref="R124:S124" si="71">SUM(R121:R123)</f>
        <v>34046.925350000005</v>
      </c>
      <c r="S124" s="415">
        <f t="shared" si="71"/>
        <v>36201</v>
      </c>
      <c r="T124" s="415">
        <f t="shared" ref="T124" si="72">SUM(T121:T123)</f>
        <v>38403</v>
      </c>
    </row>
    <row r="125" spans="1:20">
      <c r="A125" s="54">
        <v>24</v>
      </c>
      <c r="B125" s="54"/>
      <c r="C125" s="84" t="s">
        <v>434</v>
      </c>
      <c r="D125" s="54"/>
      <c r="E125" s="54"/>
      <c r="F125" s="194">
        <f>DSM!I31</f>
        <v>-139.02702071018319</v>
      </c>
      <c r="G125" s="194">
        <f>DSM!J31</f>
        <v>-204.8861757430931</v>
      </c>
      <c r="H125" s="194">
        <f>DSM!K31</f>
        <v>-244.86199639458349</v>
      </c>
      <c r="I125" s="194">
        <f>DSM!L31</f>
        <v>-247.52705110468284</v>
      </c>
      <c r="J125" s="194">
        <v>0</v>
      </c>
      <c r="K125" s="194">
        <f>DSM!N31</f>
        <v>-266.79687571981992</v>
      </c>
      <c r="L125" s="194">
        <v>0</v>
      </c>
      <c r="M125" s="194">
        <f>DSM!P31</f>
        <v>-269.17899068160403</v>
      </c>
      <c r="N125" s="194">
        <f>DSM!Q31</f>
        <v>-488.21244267615958</v>
      </c>
      <c r="O125" s="194">
        <f>DSM!R31</f>
        <v>-762.2767877709141</v>
      </c>
      <c r="P125" s="194">
        <f>DSM!S31</f>
        <v>-786.62281017694488</v>
      </c>
      <c r="Q125" s="194">
        <f>DSM!T31</f>
        <v>-811.61482986074759</v>
      </c>
      <c r="R125" s="194">
        <f>DSM!U31</f>
        <v>-682.57687362579838</v>
      </c>
      <c r="S125" s="194">
        <f>DSM!V31</f>
        <v>0</v>
      </c>
      <c r="T125" s="194">
        <f>DSM!W31</f>
        <v>0</v>
      </c>
    </row>
    <row r="126" spans="1:20">
      <c r="A126" s="54">
        <v>25</v>
      </c>
      <c r="B126" s="54"/>
      <c r="C126" s="84" t="s">
        <v>435</v>
      </c>
      <c r="D126" s="54"/>
      <c r="E126" s="54"/>
      <c r="F126" s="194">
        <f>ResX!I31</f>
        <v>672.07834234687459</v>
      </c>
      <c r="G126" s="194">
        <f>ResX!J31</f>
        <v>57.177537416677147</v>
      </c>
      <c r="H126" s="194">
        <f>ResX!K31</f>
        <v>303.33168154949061</v>
      </c>
      <c r="I126" s="194">
        <f>ResX!L31</f>
        <v>255.96639101999747</v>
      </c>
      <c r="J126" s="194">
        <v>0</v>
      </c>
      <c r="K126" s="194">
        <f>ResX!N31</f>
        <v>379.03890273269815</v>
      </c>
      <c r="L126" s="194">
        <v>0</v>
      </c>
      <c r="M126" s="194">
        <f>ResX!P31</f>
        <v>225.37230028269292</v>
      </c>
      <c r="N126" s="194">
        <f>ResX!Q31</f>
        <v>144.3803915820333</v>
      </c>
      <c r="O126" s="194">
        <f>ResX!R31</f>
        <v>161.701193592294</v>
      </c>
      <c r="P126" s="194">
        <f>ResX!S31</f>
        <v>252.10043765050779</v>
      </c>
      <c r="Q126" s="194">
        <f>ResX!T31</f>
        <v>186.12796565804626</v>
      </c>
      <c r="R126" s="194">
        <f>ResX!U31</f>
        <v>336.20120825044501</v>
      </c>
      <c r="S126" s="194">
        <f>ResX!V31</f>
        <v>0</v>
      </c>
      <c r="T126" s="194">
        <f>ResX!W31</f>
        <v>0</v>
      </c>
    </row>
    <row r="127" spans="1:20" ht="12.75" thickBot="1">
      <c r="A127" s="54">
        <v>26</v>
      </c>
      <c r="B127" s="472" t="s">
        <v>436</v>
      </c>
      <c r="C127" s="54"/>
      <c r="D127" s="54"/>
      <c r="E127" s="54"/>
      <c r="F127" s="470">
        <f>SUM(F124:F126)</f>
        <v>21577.051321636693</v>
      </c>
      <c r="G127" s="470">
        <f t="shared" ref="G127:R127" si="73">SUM(G124:G126)</f>
        <v>20455.291361673582</v>
      </c>
      <c r="H127" s="470">
        <f t="shared" si="73"/>
        <v>24219.469685154909</v>
      </c>
      <c r="I127" s="470">
        <f t="shared" si="73"/>
        <v>24018.439339915312</v>
      </c>
      <c r="J127" s="470">
        <f t="shared" si="73"/>
        <v>24687</v>
      </c>
      <c r="K127" s="470">
        <f t="shared" si="73"/>
        <v>24996.242027012875</v>
      </c>
      <c r="L127" s="470">
        <f t="shared" si="73"/>
        <v>25422</v>
      </c>
      <c r="M127" s="470">
        <f t="shared" si="73"/>
        <v>24422.193309601087</v>
      </c>
      <c r="N127" s="470">
        <f t="shared" si="73"/>
        <v>25215.167948905873</v>
      </c>
      <c r="O127" s="470">
        <f t="shared" si="73"/>
        <v>26617.424405821377</v>
      </c>
      <c r="P127" s="470">
        <f t="shared" si="73"/>
        <v>29412.477627473563</v>
      </c>
      <c r="Q127" s="470">
        <f t="shared" si="73"/>
        <v>32613.966947797297</v>
      </c>
      <c r="R127" s="470">
        <f t="shared" si="73"/>
        <v>33700.549684624653</v>
      </c>
      <c r="S127" s="470">
        <f t="shared" ref="S127:T127" si="74">SUM(S124:S126)</f>
        <v>36201</v>
      </c>
      <c r="T127" s="470">
        <f t="shared" si="74"/>
        <v>38403</v>
      </c>
    </row>
    <row r="128" spans="1:20" ht="12.75" thickTop="1">
      <c r="A128" s="54"/>
      <c r="B128" s="54"/>
      <c r="C128" s="54"/>
      <c r="D128" s="54"/>
      <c r="E128" s="54"/>
      <c r="F128" s="194"/>
      <c r="G128" s="471">
        <f>(G127-F127)/F127</f>
        <v>-5.1988566150289947E-2</v>
      </c>
      <c r="H128" s="471">
        <f t="shared" ref="H128:T128" si="75">(H127-G127)/G127</f>
        <v>0.18401978524413226</v>
      </c>
      <c r="I128" s="471">
        <f t="shared" si="75"/>
        <v>-8.3003611496421867E-3</v>
      </c>
      <c r="J128" s="471">
        <f t="shared" si="75"/>
        <v>2.7835308140676428E-2</v>
      </c>
      <c r="K128" s="471">
        <f t="shared" si="75"/>
        <v>1.2526513023570099E-2</v>
      </c>
      <c r="L128" s="471">
        <f t="shared" si="75"/>
        <v>1.7032879283494611E-2</v>
      </c>
      <c r="M128" s="471">
        <f t="shared" si="75"/>
        <v>-3.9328404153839702E-2</v>
      </c>
      <c r="N128" s="471">
        <f t="shared" si="75"/>
        <v>3.2469427673928221E-2</v>
      </c>
      <c r="O128" s="471">
        <f t="shared" si="75"/>
        <v>5.5611624707673224E-2</v>
      </c>
      <c r="P128" s="471">
        <f t="shared" si="75"/>
        <v>0.10500840273038936</v>
      </c>
      <c r="Q128" s="471">
        <f t="shared" si="75"/>
        <v>0.10884799848800535</v>
      </c>
      <c r="R128" s="471">
        <f t="shared" si="75"/>
        <v>3.3316484884116281E-2</v>
      </c>
      <c r="S128" s="471">
        <f t="shared" si="75"/>
        <v>7.4196128513480536E-2</v>
      </c>
      <c r="T128" s="471">
        <f t="shared" si="75"/>
        <v>6.0827048976547608E-2</v>
      </c>
    </row>
    <row r="129" spans="1:20" ht="5.25" customHeight="1">
      <c r="A129" s="54"/>
      <c r="B129" s="84"/>
      <c r="C129" s="54"/>
      <c r="D129" s="54"/>
      <c r="E129" s="54"/>
      <c r="F129" s="194"/>
      <c r="G129" s="194"/>
      <c r="H129" s="194"/>
      <c r="I129" s="194"/>
      <c r="J129" s="194"/>
      <c r="K129" s="194"/>
      <c r="L129" s="194"/>
      <c r="M129" s="194"/>
      <c r="N129" s="194"/>
      <c r="O129" s="194"/>
      <c r="P129" s="194"/>
      <c r="Q129" s="194"/>
      <c r="R129" s="194"/>
      <c r="S129" s="194"/>
      <c r="T129" s="194"/>
    </row>
    <row r="130" spans="1:20" ht="12.75" thickBot="1">
      <c r="A130" s="54">
        <v>27</v>
      </c>
      <c r="B130" s="472" t="s">
        <v>437</v>
      </c>
      <c r="C130" s="54"/>
      <c r="D130" s="54"/>
      <c r="E130" s="344" t="s">
        <v>454</v>
      </c>
      <c r="F130" s="470">
        <f>F78</f>
        <v>649149</v>
      </c>
      <c r="G130" s="470">
        <f t="shared" ref="G130:R130" si="76">G78</f>
        <v>662278</v>
      </c>
      <c r="H130" s="470">
        <f t="shared" si="76"/>
        <v>739502</v>
      </c>
      <c r="I130" s="470">
        <f t="shared" si="76"/>
        <v>720602</v>
      </c>
      <c r="J130" s="470">
        <f t="shared" si="76"/>
        <v>757756</v>
      </c>
      <c r="K130" s="470">
        <f t="shared" si="76"/>
        <v>799091</v>
      </c>
      <c r="L130" s="470">
        <f t="shared" si="76"/>
        <v>855712</v>
      </c>
      <c r="M130" s="470">
        <f t="shared" si="76"/>
        <v>870835</v>
      </c>
      <c r="N130" s="470">
        <f t="shared" si="76"/>
        <v>917247</v>
      </c>
      <c r="O130" s="470">
        <f t="shared" si="76"/>
        <v>987243</v>
      </c>
      <c r="P130" s="470">
        <f t="shared" si="76"/>
        <v>1036064</v>
      </c>
      <c r="Q130" s="470">
        <f t="shared" si="76"/>
        <v>1087141</v>
      </c>
      <c r="R130" s="470">
        <f t="shared" si="76"/>
        <v>1131570</v>
      </c>
      <c r="S130" s="470">
        <f t="shared" ref="S130:T130" si="77">S78</f>
        <v>1195010</v>
      </c>
      <c r="T130" s="470">
        <f t="shared" si="77"/>
        <v>1214504</v>
      </c>
    </row>
    <row r="131" spans="1:20" ht="12.75" thickTop="1">
      <c r="A131" s="54"/>
      <c r="B131" s="54"/>
      <c r="C131" s="54"/>
      <c r="D131" s="54"/>
      <c r="E131" s="54"/>
      <c r="F131" s="194"/>
      <c r="G131" s="471">
        <f>(G130-F130)/F130</f>
        <v>2.0224940653070404E-2</v>
      </c>
      <c r="H131" s="471">
        <f t="shared" ref="H131:T131" si="78">(H130-G130)/G130</f>
        <v>0.11660360150873199</v>
      </c>
      <c r="I131" s="471">
        <f t="shared" si="78"/>
        <v>-2.5557740208951428E-2</v>
      </c>
      <c r="J131" s="471">
        <f t="shared" si="78"/>
        <v>5.1559668166338703E-2</v>
      </c>
      <c r="K131" s="471">
        <f t="shared" si="78"/>
        <v>5.4549221649185228E-2</v>
      </c>
      <c r="L131" s="471">
        <f t="shared" si="78"/>
        <v>7.0856760994680204E-2</v>
      </c>
      <c r="M131" s="471">
        <f t="shared" si="78"/>
        <v>1.7673002131558282E-2</v>
      </c>
      <c r="N131" s="471">
        <f t="shared" si="78"/>
        <v>5.3295974553158751E-2</v>
      </c>
      <c r="O131" s="471">
        <f t="shared" si="78"/>
        <v>7.6310960951630258E-2</v>
      </c>
      <c r="P131" s="471">
        <f t="shared" si="78"/>
        <v>4.9451857344139184E-2</v>
      </c>
      <c r="Q131" s="471">
        <f t="shared" si="78"/>
        <v>4.9299078049232482E-2</v>
      </c>
      <c r="R131" s="471">
        <f t="shared" si="78"/>
        <v>4.0867743926500798E-2</v>
      </c>
      <c r="S131" s="471">
        <f t="shared" si="78"/>
        <v>5.6063699108318529E-2</v>
      </c>
      <c r="T131" s="471">
        <f t="shared" si="78"/>
        <v>1.631283420222425E-2</v>
      </c>
    </row>
    <row r="132" spans="1:20" ht="4.5" customHeight="1">
      <c r="A132" s="54"/>
      <c r="B132" s="472"/>
      <c r="C132" s="54"/>
      <c r="D132" s="54"/>
      <c r="E132" s="344"/>
      <c r="F132" s="194"/>
      <c r="G132" s="194"/>
      <c r="H132" s="194"/>
      <c r="I132" s="194"/>
      <c r="J132" s="194"/>
      <c r="K132" s="194"/>
      <c r="L132" s="194"/>
      <c r="M132" s="194"/>
      <c r="N132" s="194"/>
      <c r="O132" s="194"/>
      <c r="P132" s="194"/>
      <c r="Q132" s="194"/>
      <c r="R132" s="194"/>
      <c r="S132" s="194"/>
      <c r="T132" s="194"/>
    </row>
    <row r="133" spans="1:20" ht="12.75" thickBot="1">
      <c r="A133" s="54">
        <v>28</v>
      </c>
      <c r="B133" s="472" t="s">
        <v>438</v>
      </c>
      <c r="C133" s="54"/>
      <c r="D133" s="54"/>
      <c r="E133" s="344" t="s">
        <v>455</v>
      </c>
      <c r="F133" s="470">
        <f>F82</f>
        <v>568492</v>
      </c>
      <c r="G133" s="470">
        <f t="shared" ref="G133:R133" si="79">G82</f>
        <v>597515</v>
      </c>
      <c r="H133" s="470">
        <f t="shared" si="79"/>
        <v>761858</v>
      </c>
      <c r="I133" s="470">
        <f t="shared" si="79"/>
        <v>742443</v>
      </c>
      <c r="J133" s="470">
        <f t="shared" si="79"/>
        <v>778011</v>
      </c>
      <c r="K133" s="470">
        <f t="shared" si="79"/>
        <v>819842</v>
      </c>
      <c r="L133" s="470">
        <f t="shared" si="79"/>
        <v>874511</v>
      </c>
      <c r="M133" s="470">
        <f t="shared" si="79"/>
        <v>891855</v>
      </c>
      <c r="N133" s="470">
        <f t="shared" si="79"/>
        <v>936840</v>
      </c>
      <c r="O133" s="470">
        <f t="shared" si="79"/>
        <v>1005019</v>
      </c>
      <c r="P133" s="470">
        <f t="shared" si="79"/>
        <v>1072028</v>
      </c>
      <c r="Q133" s="470">
        <f t="shared" si="79"/>
        <v>1137863</v>
      </c>
      <c r="R133" s="470">
        <f t="shared" si="79"/>
        <v>1158975</v>
      </c>
      <c r="S133" s="470">
        <f t="shared" ref="S133:T133" si="80">S82</f>
        <v>1226052</v>
      </c>
      <c r="T133" s="470">
        <f t="shared" si="80"/>
        <v>1273157</v>
      </c>
    </row>
    <row r="134" spans="1:20" ht="12.75" thickTop="1">
      <c r="A134" s="54"/>
      <c r="B134" s="54"/>
      <c r="C134" s="54"/>
      <c r="D134" s="54"/>
      <c r="E134" s="54"/>
      <c r="F134" s="194"/>
      <c r="G134" s="471">
        <f>(G133-F133)/F133</f>
        <v>5.1052609359498465E-2</v>
      </c>
      <c r="H134" s="471">
        <f t="shared" ref="H134:T134" si="81">(H133-G133)/G133</f>
        <v>0.27504414115126818</v>
      </c>
      <c r="I134" s="471">
        <f t="shared" si="81"/>
        <v>-2.5483751565252316E-2</v>
      </c>
      <c r="J134" s="471">
        <f t="shared" si="81"/>
        <v>4.7906707989704263E-2</v>
      </c>
      <c r="K134" s="471">
        <f t="shared" si="81"/>
        <v>5.3766591989059281E-2</v>
      </c>
      <c r="L134" s="471">
        <f t="shared" si="81"/>
        <v>6.6682360747558678E-2</v>
      </c>
      <c r="M134" s="471">
        <f t="shared" si="81"/>
        <v>1.9832797986531901E-2</v>
      </c>
      <c r="N134" s="471">
        <f t="shared" si="81"/>
        <v>5.0439813646837209E-2</v>
      </c>
      <c r="O134" s="471">
        <f t="shared" si="81"/>
        <v>7.2775500619102512E-2</v>
      </c>
      <c r="P134" s="471">
        <f t="shared" si="81"/>
        <v>6.6674361380232611E-2</v>
      </c>
      <c r="Q134" s="471">
        <f t="shared" si="81"/>
        <v>6.1411642233225254E-2</v>
      </c>
      <c r="R134" s="471">
        <f t="shared" si="81"/>
        <v>1.855407900599633E-2</v>
      </c>
      <c r="S134" s="471">
        <f t="shared" si="81"/>
        <v>5.7876140555231992E-2</v>
      </c>
      <c r="T134" s="471">
        <f t="shared" si="81"/>
        <v>3.8420067011839629E-2</v>
      </c>
    </row>
    <row r="135" spans="1:20" ht="4.5" customHeight="1">
      <c r="A135" s="54"/>
      <c r="B135" s="54"/>
      <c r="C135" s="54"/>
      <c r="D135" s="54"/>
      <c r="E135" s="54"/>
      <c r="F135" s="194"/>
      <c r="G135" s="194"/>
      <c r="H135" s="194"/>
      <c r="I135" s="194"/>
      <c r="J135" s="194"/>
      <c r="K135" s="194"/>
      <c r="L135" s="194"/>
      <c r="M135" s="194"/>
      <c r="N135" s="194"/>
      <c r="O135" s="194"/>
      <c r="P135" s="194"/>
      <c r="Q135" s="194"/>
      <c r="R135" s="194"/>
      <c r="S135" s="194"/>
      <c r="T135" s="194"/>
    </row>
    <row r="136" spans="1:20">
      <c r="A136" s="54"/>
      <c r="B136" s="84" t="s">
        <v>439</v>
      </c>
      <c r="C136" s="54"/>
      <c r="D136" s="54"/>
      <c r="E136" s="54"/>
      <c r="F136" s="194"/>
      <c r="G136" s="194"/>
      <c r="H136" s="194"/>
      <c r="I136" s="194"/>
      <c r="J136" s="194"/>
      <c r="K136" s="194"/>
      <c r="L136" s="194"/>
      <c r="M136" s="194"/>
      <c r="N136" s="194"/>
      <c r="O136" s="194"/>
      <c r="P136" s="194"/>
      <c r="Q136" s="194"/>
      <c r="R136" s="194"/>
      <c r="S136" s="194"/>
      <c r="T136" s="194"/>
    </row>
    <row r="137" spans="1:20">
      <c r="A137" s="54">
        <v>29</v>
      </c>
      <c r="B137" s="84" t="s">
        <v>456</v>
      </c>
      <c r="C137" s="54"/>
      <c r="D137" s="54"/>
      <c r="E137" s="344" t="s">
        <v>457</v>
      </c>
      <c r="F137" s="194">
        <f>F14</f>
        <v>13062</v>
      </c>
      <c r="G137" s="194">
        <f t="shared" ref="G137:R137" si="82">G14</f>
        <v>14305</v>
      </c>
      <c r="H137" s="194">
        <f t="shared" si="82"/>
        <v>34274</v>
      </c>
      <c r="I137" s="194">
        <f t="shared" si="82"/>
        <v>57244</v>
      </c>
      <c r="J137" s="194">
        <f t="shared" si="82"/>
        <v>8587</v>
      </c>
      <c r="K137" s="194">
        <f t="shared" si="82"/>
        <v>10259</v>
      </c>
      <c r="L137" s="194">
        <f t="shared" si="82"/>
        <v>10178</v>
      </c>
      <c r="M137" s="194">
        <f t="shared" si="82"/>
        <v>10170</v>
      </c>
      <c r="N137" s="194">
        <f t="shared" si="82"/>
        <v>10927</v>
      </c>
      <c r="O137" s="194">
        <f t="shared" si="82"/>
        <v>9395</v>
      </c>
      <c r="P137" s="194">
        <f t="shared" si="82"/>
        <v>11786</v>
      </c>
      <c r="Q137" s="194">
        <f t="shared" si="82"/>
        <v>13666</v>
      </c>
      <c r="R137" s="194">
        <f t="shared" si="82"/>
        <v>13089</v>
      </c>
      <c r="S137" s="194">
        <f t="shared" ref="S137:T137" si="83">S14</f>
        <v>13408</v>
      </c>
      <c r="T137" s="194">
        <f t="shared" si="83"/>
        <v>17163</v>
      </c>
    </row>
    <row r="138" spans="1:20">
      <c r="A138" s="54">
        <v>30</v>
      </c>
      <c r="B138" s="84"/>
      <c r="C138" s="84" t="s">
        <v>458</v>
      </c>
      <c r="D138" s="54"/>
      <c r="E138" s="54"/>
      <c r="F138" s="194">
        <f>-'Other Rev'!E16</f>
        <v>-7824</v>
      </c>
      <c r="G138" s="194">
        <f>-'Other Rev'!F19</f>
        <v>-2251</v>
      </c>
      <c r="H138" s="194">
        <f>-'Other Rev'!G19</f>
        <v>-25293</v>
      </c>
      <c r="I138" s="194">
        <f>-'Other Rev'!H19</f>
        <v>-47139</v>
      </c>
      <c r="J138" s="194">
        <f>-'Other Rev'!I19</f>
        <v>-285</v>
      </c>
      <c r="K138" s="194">
        <f>-'Other Rev'!J19</f>
        <v>-179.11379999999997</v>
      </c>
      <c r="L138" s="194">
        <f>-'Other Rev'!K19</f>
        <v>-198</v>
      </c>
      <c r="M138" s="194">
        <f>-'Other Rev'!L19</f>
        <v>-221</v>
      </c>
      <c r="N138" s="194">
        <f>-'Other Rev'!M19</f>
        <v>-1839</v>
      </c>
      <c r="O138" s="194">
        <f>-'Other Rev'!N19</f>
        <v>-448.37979999999999</v>
      </c>
      <c r="P138" s="194">
        <f>-'Other Rev'!O19</f>
        <v>-639.87119999999993</v>
      </c>
      <c r="Q138" s="194">
        <f>-'Other Rev'!P19</f>
        <v>-1751.694</v>
      </c>
      <c r="R138" s="194">
        <f>-'Other Rev'!Q19</f>
        <v>-1489.3194000000001</v>
      </c>
      <c r="S138" s="194">
        <f>-'Other Rev'!R19</f>
        <v>-282</v>
      </c>
      <c r="T138" s="194">
        <f>-'Other Rev'!S19</f>
        <v>-3062.3724999999999</v>
      </c>
    </row>
    <row r="139" spans="1:20">
      <c r="A139" s="54">
        <v>31</v>
      </c>
      <c r="B139" s="84"/>
      <c r="C139" s="84" t="s">
        <v>459</v>
      </c>
      <c r="D139" s="54"/>
      <c r="E139" s="54"/>
      <c r="F139" s="194">
        <f>-'Other Rev'!E19</f>
        <v>-3487.7256000000007</v>
      </c>
      <c r="G139" s="194">
        <f>-'Other Rev'!F16</f>
        <v>-9892</v>
      </c>
      <c r="H139" s="194">
        <f>-'Other Rev'!G16</f>
        <v>-7115</v>
      </c>
      <c r="I139" s="194">
        <f>-'Other Rev'!H16</f>
        <v>-7569</v>
      </c>
      <c r="J139" s="194">
        <f>-'Other Rev'!I16</f>
        <v>-5523</v>
      </c>
      <c r="K139" s="194">
        <f>-'Other Rev'!J16</f>
        <v>-6637</v>
      </c>
      <c r="L139" s="194">
        <f>-'Other Rev'!K16</f>
        <v>-7024</v>
      </c>
      <c r="M139" s="194">
        <f>-'Other Rev'!L16</f>
        <v>-6876</v>
      </c>
      <c r="N139" s="194">
        <f>-'Other Rev'!M16</f>
        <v>-6213</v>
      </c>
      <c r="O139" s="194">
        <f>-'Other Rev'!N16</f>
        <v>-6133</v>
      </c>
      <c r="P139" s="194">
        <f>-'Other Rev'!O16</f>
        <v>-8333</v>
      </c>
      <c r="Q139" s="194">
        <f>-'Other Rev'!P16</f>
        <v>-9102</v>
      </c>
      <c r="R139" s="194">
        <f>-'Other Rev'!Q16</f>
        <v>-8285</v>
      </c>
      <c r="S139" s="194">
        <f>-'Other Rev'!R16</f>
        <v>-9662</v>
      </c>
      <c r="T139" s="194">
        <f>-'Other Rev'!S16</f>
        <v>-10622.4344</v>
      </c>
    </row>
    <row r="140" spans="1:20" ht="12.75" thickBot="1">
      <c r="A140" s="54">
        <v>32</v>
      </c>
      <c r="B140" s="472" t="s">
        <v>376</v>
      </c>
      <c r="C140" s="84"/>
      <c r="D140" s="54"/>
      <c r="E140" s="54"/>
      <c r="F140" s="470">
        <f>SUM(F137:F139)</f>
        <v>1750.2743999999993</v>
      </c>
      <c r="G140" s="470">
        <f t="shared" ref="G140:R140" si="84">SUM(G137:G139)</f>
        <v>2162</v>
      </c>
      <c r="H140" s="470">
        <f t="shared" si="84"/>
        <v>1866</v>
      </c>
      <c r="I140" s="470">
        <f t="shared" si="84"/>
        <v>2536</v>
      </c>
      <c r="J140" s="470">
        <f t="shared" si="84"/>
        <v>2779</v>
      </c>
      <c r="K140" s="470">
        <f t="shared" si="84"/>
        <v>3442.8862000000008</v>
      </c>
      <c r="L140" s="470">
        <f t="shared" si="84"/>
        <v>2956</v>
      </c>
      <c r="M140" s="470">
        <f t="shared" si="84"/>
        <v>3073</v>
      </c>
      <c r="N140" s="470">
        <f t="shared" si="84"/>
        <v>2875</v>
      </c>
      <c r="O140" s="470">
        <f t="shared" si="84"/>
        <v>2813.6201999999994</v>
      </c>
      <c r="P140" s="470">
        <f t="shared" si="84"/>
        <v>2813.1288000000004</v>
      </c>
      <c r="Q140" s="470">
        <f t="shared" si="84"/>
        <v>2812.3060000000005</v>
      </c>
      <c r="R140" s="470">
        <f t="shared" si="84"/>
        <v>3314.6805999999997</v>
      </c>
      <c r="S140" s="470">
        <f t="shared" ref="S140:T140" si="85">SUM(S137:S139)</f>
        <v>3464</v>
      </c>
      <c r="T140" s="470">
        <f t="shared" si="85"/>
        <v>3478.1931000000004</v>
      </c>
    </row>
    <row r="141" spans="1:20" ht="12.75" thickTop="1">
      <c r="A141" s="54"/>
      <c r="F141" s="71"/>
      <c r="G141" s="471">
        <f>(G140-F140)/F140</f>
        <v>0.23523488659835329</v>
      </c>
      <c r="H141" s="471">
        <f t="shared" ref="H141:T141" si="86">(H140-G140)/G140</f>
        <v>-0.13691026827012026</v>
      </c>
      <c r="I141" s="471">
        <f t="shared" si="86"/>
        <v>0.35905680600214362</v>
      </c>
      <c r="J141" s="471">
        <f t="shared" si="86"/>
        <v>9.5820189274447951E-2</v>
      </c>
      <c r="K141" s="471">
        <f t="shared" si="86"/>
        <v>0.23889391867578294</v>
      </c>
      <c r="L141" s="471">
        <f t="shared" si="86"/>
        <v>-0.14141803467102709</v>
      </c>
      <c r="M141" s="471">
        <f t="shared" si="86"/>
        <v>3.9580514208389712E-2</v>
      </c>
      <c r="N141" s="471">
        <f t="shared" si="86"/>
        <v>-6.4432150992515452E-2</v>
      </c>
      <c r="O141" s="471">
        <f t="shared" si="86"/>
        <v>-2.1349495652174127E-2</v>
      </c>
      <c r="P141" s="471">
        <f t="shared" si="86"/>
        <v>-1.7465043789455863E-4</v>
      </c>
      <c r="Q141" s="471">
        <f t="shared" si="86"/>
        <v>-2.9248571910390862E-4</v>
      </c>
      <c r="R141" s="471">
        <f t="shared" si="86"/>
        <v>0.17863440180407078</v>
      </c>
      <c r="S141" s="471">
        <f t="shared" si="86"/>
        <v>4.5047899939439209E-2</v>
      </c>
      <c r="T141" s="471">
        <f t="shared" si="86"/>
        <v>4.0973152424943456E-3</v>
      </c>
    </row>
    <row r="142" spans="1:20" ht="4.5" hidden="1" customHeight="1">
      <c r="A142" s="54"/>
      <c r="F142" s="71"/>
      <c r="G142" s="471"/>
      <c r="H142" s="471"/>
      <c r="I142" s="471"/>
      <c r="J142" s="471"/>
      <c r="K142" s="471"/>
      <c r="L142" s="471"/>
      <c r="M142" s="471"/>
      <c r="N142" s="471"/>
      <c r="O142" s="471"/>
      <c r="P142" s="471"/>
      <c r="Q142" s="471"/>
      <c r="R142" s="471"/>
      <c r="S142" s="155"/>
      <c r="T142" s="155"/>
    </row>
    <row r="143" spans="1:20" ht="4.9000000000000004" customHeight="1">
      <c r="A143" s="54"/>
      <c r="F143" s="71"/>
      <c r="G143" s="471"/>
      <c r="H143" s="471"/>
      <c r="I143" s="471"/>
      <c r="J143" s="471"/>
      <c r="K143" s="471"/>
      <c r="L143" s="471"/>
      <c r="M143" s="471"/>
      <c r="N143" s="471"/>
      <c r="O143" s="471"/>
      <c r="P143" s="471"/>
      <c r="Q143" s="471"/>
      <c r="R143" s="471"/>
      <c r="S143" s="155"/>
      <c r="T143" s="155"/>
    </row>
    <row r="144" spans="1:20">
      <c r="A144" s="511" t="s">
        <v>117</v>
      </c>
      <c r="F144" s="71"/>
      <c r="G144" s="471"/>
      <c r="H144" s="471"/>
      <c r="I144" s="471"/>
      <c r="J144" s="471"/>
      <c r="K144" s="471"/>
      <c r="L144" s="471"/>
      <c r="M144" s="471"/>
      <c r="N144" s="471"/>
      <c r="O144" s="471"/>
      <c r="P144" s="471"/>
      <c r="Q144" s="471"/>
      <c r="R144" s="471"/>
      <c r="S144" s="155"/>
      <c r="T144" s="155"/>
    </row>
    <row r="145" spans="1:20">
      <c r="A145" s="511" t="s">
        <v>468</v>
      </c>
      <c r="F145" s="71"/>
      <c r="G145" s="471"/>
      <c r="H145" s="471"/>
      <c r="I145" s="471"/>
      <c r="J145" s="471"/>
      <c r="K145" s="471"/>
      <c r="L145" s="471"/>
      <c r="M145" s="471"/>
      <c r="N145" s="471"/>
      <c r="O145" s="471"/>
      <c r="P145" s="471"/>
      <c r="Q145" s="471"/>
      <c r="R145" s="471"/>
      <c r="S145" s="155"/>
      <c r="T145" s="155"/>
    </row>
    <row r="146" spans="1:20">
      <c r="A146" s="511" t="s">
        <v>467</v>
      </c>
      <c r="F146" s="71"/>
      <c r="G146" s="471"/>
      <c r="H146" s="471"/>
      <c r="I146" s="471"/>
      <c r="J146" s="471"/>
      <c r="K146" s="471"/>
      <c r="L146" s="471"/>
      <c r="M146" s="471"/>
      <c r="N146" s="471"/>
      <c r="O146" s="471"/>
      <c r="P146" s="471"/>
      <c r="Q146" s="471"/>
      <c r="R146" s="471"/>
      <c r="S146" s="155"/>
    </row>
    <row r="147" spans="1:20" ht="0.6" customHeight="1">
      <c r="A147" s="54"/>
      <c r="G147" s="41"/>
      <c r="H147" s="41"/>
      <c r="I147" s="41"/>
      <c r="J147" s="41"/>
      <c r="L147" s="41"/>
      <c r="M147" s="41"/>
      <c r="N147" s="41"/>
      <c r="O147" s="41"/>
      <c r="P147" s="41"/>
      <c r="Q147" s="41"/>
      <c r="R147" s="41"/>
    </row>
    <row r="148" spans="1:20" ht="15.75">
      <c r="A148" s="382" t="s">
        <v>3</v>
      </c>
      <c r="E148" s="958" t="s">
        <v>475</v>
      </c>
      <c r="F148" s="958"/>
      <c r="G148" s="958"/>
      <c r="H148" s="958"/>
      <c r="I148" s="958"/>
      <c r="J148" s="958"/>
      <c r="K148" s="958"/>
      <c r="L148" s="958"/>
      <c r="M148" s="958"/>
      <c r="N148" s="958"/>
      <c r="O148" s="958"/>
      <c r="P148" s="958"/>
      <c r="Q148" s="958"/>
      <c r="R148" s="958"/>
      <c r="T148" s="155"/>
    </row>
    <row r="149" spans="1:20" ht="12.75">
      <c r="A149" s="384" t="s">
        <v>90</v>
      </c>
      <c r="B149" s="385" t="s">
        <v>363</v>
      </c>
      <c r="C149" s="385"/>
      <c r="D149" s="386"/>
      <c r="E149" s="387"/>
      <c r="F149" s="387"/>
      <c r="G149" s="513"/>
      <c r="H149" s="513" t="s">
        <v>364</v>
      </c>
      <c r="I149" s="513" t="s">
        <v>365</v>
      </c>
      <c r="J149" s="513" t="s">
        <v>366</v>
      </c>
      <c r="K149" s="513" t="s">
        <v>367</v>
      </c>
      <c r="L149" s="513" t="s">
        <v>368</v>
      </c>
      <c r="M149" s="513" t="s">
        <v>369</v>
      </c>
      <c r="N149" s="513" t="s">
        <v>370</v>
      </c>
      <c r="O149" s="513" t="s">
        <v>371</v>
      </c>
      <c r="P149" s="513" t="s">
        <v>372</v>
      </c>
      <c r="Q149" s="513" t="s">
        <v>373</v>
      </c>
      <c r="R149" s="513" t="s">
        <v>374</v>
      </c>
      <c r="S149" s="513" t="s">
        <v>488</v>
      </c>
      <c r="T149" s="700" t="s">
        <v>606</v>
      </c>
    </row>
    <row r="150" spans="1:20" ht="12.75">
      <c r="A150" s="388"/>
      <c r="B150"/>
      <c r="C150"/>
      <c r="D150"/>
      <c r="E150"/>
      <c r="F150"/>
      <c r="G150" s="481"/>
      <c r="H150" s="481"/>
      <c r="I150" s="481"/>
      <c r="J150" s="481"/>
      <c r="K150" s="481"/>
      <c r="L150" s="481"/>
      <c r="M150" s="481"/>
      <c r="N150" s="481"/>
      <c r="O150" s="481"/>
      <c r="P150" s="383"/>
      <c r="Q150" s="383"/>
      <c r="R150" s="383"/>
      <c r="S150" s="383"/>
      <c r="T150" s="701"/>
    </row>
    <row r="151" spans="1:20" ht="12.75">
      <c r="A151" s="388">
        <v>1</v>
      </c>
      <c r="B151" s="657" t="s">
        <v>422</v>
      </c>
      <c r="C151"/>
      <c r="D151"/>
      <c r="E151"/>
      <c r="F151"/>
      <c r="G151" s="482"/>
      <c r="H151" s="482">
        <f t="shared" ref="H151:Q151" si="87">(H104-G104)/G104</f>
        <v>0.14768306935658937</v>
      </c>
      <c r="I151" s="482">
        <f t="shared" si="87"/>
        <v>-3.516274610385936E-2</v>
      </c>
      <c r="J151" s="482">
        <f t="shared" si="87"/>
        <v>0.12245077030372288</v>
      </c>
      <c r="K151" s="482">
        <f t="shared" si="87"/>
        <v>9.6827726347769195E-3</v>
      </c>
      <c r="L151" s="482">
        <f t="shared" si="87"/>
        <v>7.242209997672179E-2</v>
      </c>
      <c r="M151" s="482">
        <f t="shared" si="87"/>
        <v>3.809384416546472E-2</v>
      </c>
      <c r="N151" s="482">
        <f t="shared" si="87"/>
        <v>7.5203913425506114E-2</v>
      </c>
      <c r="O151" s="702">
        <f t="shared" si="87"/>
        <v>9.2214213847569129E-2</v>
      </c>
      <c r="P151" s="702">
        <f t="shared" si="87"/>
        <v>4.9500038223614332E-2</v>
      </c>
      <c r="Q151" s="482">
        <f t="shared" si="87"/>
        <v>8.595926573694776E-2</v>
      </c>
      <c r="R151" s="482">
        <f>(R104-Q104)/Q104</f>
        <v>9.0551378103331207E-2</v>
      </c>
      <c r="S151" s="482">
        <f>(S104-R104)/R104</f>
        <v>-4.5206093486132248E-2</v>
      </c>
      <c r="T151" s="702">
        <f>(T104-S104)/S104</f>
        <v>1.8527741031826316E-2</v>
      </c>
    </row>
    <row r="152" spans="1:20" ht="12.75">
      <c r="A152" s="388"/>
      <c r="B152" s="610"/>
      <c r="C152"/>
      <c r="D152"/>
      <c r="E152"/>
      <c r="F152"/>
      <c r="G152" s="481"/>
      <c r="H152" s="481"/>
      <c r="I152" s="481"/>
      <c r="J152" s="481"/>
      <c r="K152" s="481"/>
      <c r="L152" s="481"/>
      <c r="M152" s="481"/>
      <c r="N152" s="481"/>
      <c r="O152" s="481"/>
      <c r="P152" s="481"/>
      <c r="Q152" s="481"/>
      <c r="R152" s="481"/>
      <c r="S152" s="481"/>
      <c r="T152" s="703"/>
    </row>
    <row r="153" spans="1:20" ht="12.75">
      <c r="A153" s="388">
        <v>2</v>
      </c>
      <c r="B153" s="657" t="s">
        <v>432</v>
      </c>
      <c r="C153"/>
      <c r="D153"/>
      <c r="E153"/>
      <c r="F153"/>
      <c r="G153" s="482"/>
      <c r="H153" s="482">
        <f t="shared" ref="H153:R153" si="88">(H111-G111)/G111</f>
        <v>0.25685906786135998</v>
      </c>
      <c r="I153" s="482">
        <f t="shared" si="88"/>
        <v>2.0558165239016303E-2</v>
      </c>
      <c r="J153" s="482">
        <f t="shared" si="88"/>
        <v>4.1073265825526617E-2</v>
      </c>
      <c r="K153" s="482">
        <f t="shared" si="88"/>
        <v>2.8971938311097241E-2</v>
      </c>
      <c r="L153" s="482">
        <f t="shared" si="88"/>
        <v>5.6792619739668898E-2</v>
      </c>
      <c r="M153" s="482">
        <f t="shared" si="88"/>
        <v>2.7193150291782264E-2</v>
      </c>
      <c r="N153" s="482">
        <f t="shared" si="88"/>
        <v>6.8104030361591655E-2</v>
      </c>
      <c r="O153" s="482">
        <f t="shared" si="88"/>
        <v>5.6502594061995905E-2</v>
      </c>
      <c r="P153" s="482">
        <f t="shared" si="88"/>
        <v>7.8488012214748479E-2</v>
      </c>
      <c r="Q153" s="482">
        <f t="shared" si="88"/>
        <v>5.8044767553089724E-2</v>
      </c>
      <c r="R153" s="482">
        <f t="shared" si="88"/>
        <v>6.5854187762187183E-2</v>
      </c>
      <c r="S153" s="482">
        <f>(S111-R111)/R111</f>
        <v>2.3105893529671226E-2</v>
      </c>
      <c r="T153" s="702">
        <f>(T111-S111)/S111</f>
        <v>6.8780261325197323E-2</v>
      </c>
    </row>
    <row r="154" spans="1:20" ht="12.75">
      <c r="A154" s="388"/>
      <c r="B154" s="610"/>
      <c r="C154"/>
      <c r="D154"/>
      <c r="E154"/>
      <c r="F154"/>
      <c r="G154" s="481"/>
      <c r="H154" s="481"/>
      <c r="I154" s="481"/>
      <c r="J154" s="481"/>
      <c r="K154" s="481"/>
      <c r="L154" s="481"/>
      <c r="M154" s="481"/>
      <c r="N154" s="481"/>
      <c r="O154" s="481"/>
      <c r="P154" s="383"/>
      <c r="Q154" s="383"/>
      <c r="R154" s="383"/>
      <c r="S154" s="383"/>
      <c r="T154" s="701"/>
    </row>
    <row r="155" spans="1:20" ht="12.75">
      <c r="A155" s="388">
        <v>3</v>
      </c>
      <c r="B155" s="392" t="s">
        <v>578</v>
      </c>
      <c r="C155"/>
      <c r="D155"/>
      <c r="E155"/>
      <c r="F155"/>
      <c r="G155" s="482"/>
      <c r="H155" s="482">
        <f t="shared" ref="H155:T155" si="89">(H127-G127)/G127</f>
        <v>0.18401978524413226</v>
      </c>
      <c r="I155" s="482">
        <f t="shared" si="89"/>
        <v>-8.3003611496421867E-3</v>
      </c>
      <c r="J155" s="482">
        <f t="shared" si="89"/>
        <v>2.7835308140676428E-2</v>
      </c>
      <c r="K155" s="482">
        <f t="shared" si="89"/>
        <v>1.2526513023570099E-2</v>
      </c>
      <c r="L155" s="482">
        <f>(L127-K127)/K127</f>
        <v>1.7032879283494611E-2</v>
      </c>
      <c r="M155" s="482">
        <f t="shared" si="89"/>
        <v>-3.9328404153839702E-2</v>
      </c>
      <c r="N155" s="482">
        <f t="shared" si="89"/>
        <v>3.2469427673928221E-2</v>
      </c>
      <c r="O155" s="482">
        <f t="shared" si="89"/>
        <v>5.5611624707673224E-2</v>
      </c>
      <c r="P155" s="482">
        <f t="shared" si="89"/>
        <v>0.10500840273038936</v>
      </c>
      <c r="Q155" s="482">
        <f t="shared" si="89"/>
        <v>0.10884799848800535</v>
      </c>
      <c r="R155" s="482">
        <f t="shared" si="89"/>
        <v>3.3316484884116281E-2</v>
      </c>
      <c r="S155" s="482">
        <f t="shared" si="89"/>
        <v>7.4196128513480536E-2</v>
      </c>
      <c r="T155" s="702">
        <f t="shared" si="89"/>
        <v>6.0827048976547608E-2</v>
      </c>
    </row>
    <row r="156" spans="1:20" ht="12.75">
      <c r="A156" s="388"/>
      <c r="B156" s="610"/>
      <c r="C156"/>
      <c r="D156"/>
      <c r="E156"/>
      <c r="F156"/>
      <c r="G156" s="481"/>
      <c r="H156" s="481"/>
      <c r="I156" s="481"/>
      <c r="J156" s="481"/>
      <c r="K156" s="481"/>
      <c r="L156" s="481"/>
      <c r="M156" s="481"/>
      <c r="N156" s="481"/>
      <c r="O156" s="481"/>
      <c r="P156" s="383"/>
      <c r="Q156" s="383"/>
      <c r="R156" s="383"/>
      <c r="S156" s="383"/>
      <c r="T156" s="701"/>
    </row>
    <row r="157" spans="1:20" ht="12.75">
      <c r="A157" s="388">
        <v>4</v>
      </c>
      <c r="B157" s="481" t="s">
        <v>292</v>
      </c>
      <c r="C157"/>
      <c r="D157"/>
      <c r="E157"/>
      <c r="F157"/>
      <c r="G157" s="482"/>
      <c r="H157" s="482">
        <f t="shared" ref="H157:T157" si="90">(H130-G130)/G130</f>
        <v>0.11660360150873199</v>
      </c>
      <c r="I157" s="482">
        <f t="shared" si="90"/>
        <v>-2.5557740208951428E-2</v>
      </c>
      <c r="J157" s="482">
        <f t="shared" si="90"/>
        <v>5.1559668166338703E-2</v>
      </c>
      <c r="K157" s="482">
        <f t="shared" si="90"/>
        <v>5.4549221649185228E-2</v>
      </c>
      <c r="L157" s="482">
        <f t="shared" si="90"/>
        <v>7.0856760994680204E-2</v>
      </c>
      <c r="M157" s="482">
        <f t="shared" si="90"/>
        <v>1.7673002131558282E-2</v>
      </c>
      <c r="N157" s="482">
        <f t="shared" si="90"/>
        <v>5.3295974553158751E-2</v>
      </c>
      <c r="O157" s="482">
        <f t="shared" si="90"/>
        <v>7.6310960951630258E-2</v>
      </c>
      <c r="P157" s="482">
        <f t="shared" si="90"/>
        <v>4.9451857344139184E-2</v>
      </c>
      <c r="Q157" s="482">
        <f t="shared" si="90"/>
        <v>4.9299078049232482E-2</v>
      </c>
      <c r="R157" s="482">
        <f t="shared" si="90"/>
        <v>4.0867743926500798E-2</v>
      </c>
      <c r="S157" s="482">
        <f t="shared" si="90"/>
        <v>5.6063699108318529E-2</v>
      </c>
      <c r="T157" s="702">
        <f t="shared" si="90"/>
        <v>1.631283420222425E-2</v>
      </c>
    </row>
    <row r="158" spans="1:20" ht="12.75">
      <c r="A158" s="388"/>
      <c r="B158" s="610"/>
      <c r="C158"/>
      <c r="D158"/>
      <c r="E158"/>
      <c r="F158"/>
      <c r="G158" s="481"/>
      <c r="H158" s="481"/>
      <c r="I158" s="481"/>
      <c r="J158" s="481"/>
      <c r="K158" s="481"/>
      <c r="L158" s="481"/>
      <c r="M158" s="481"/>
      <c r="N158" s="481"/>
      <c r="O158" s="481"/>
      <c r="P158" s="481"/>
      <c r="Q158" s="481"/>
      <c r="R158" s="481"/>
      <c r="S158" s="481"/>
      <c r="T158" s="703"/>
    </row>
    <row r="159" spans="1:20" ht="12.75">
      <c r="A159" s="388">
        <v>5</v>
      </c>
      <c r="B159" s="481" t="s">
        <v>438</v>
      </c>
      <c r="C159"/>
      <c r="D159"/>
      <c r="E159"/>
      <c r="F159"/>
      <c r="G159" s="482"/>
      <c r="H159" s="482">
        <f t="shared" ref="H159:T159" si="91">(H133-G133)/G133</f>
        <v>0.27504414115126818</v>
      </c>
      <c r="I159" s="482">
        <f t="shared" si="91"/>
        <v>-2.5483751565252316E-2</v>
      </c>
      <c r="J159" s="482">
        <f t="shared" si="91"/>
        <v>4.7906707989704263E-2</v>
      </c>
      <c r="K159" s="482">
        <f t="shared" si="91"/>
        <v>5.3766591989059281E-2</v>
      </c>
      <c r="L159" s="482">
        <f t="shared" si="91"/>
        <v>6.6682360747558678E-2</v>
      </c>
      <c r="M159" s="482">
        <f t="shared" si="91"/>
        <v>1.9832797986531901E-2</v>
      </c>
      <c r="N159" s="482">
        <f t="shared" si="91"/>
        <v>5.0439813646837209E-2</v>
      </c>
      <c r="O159" s="482">
        <f t="shared" si="91"/>
        <v>7.2775500619102512E-2</v>
      </c>
      <c r="P159" s="482">
        <f t="shared" si="91"/>
        <v>6.6674361380232611E-2</v>
      </c>
      <c r="Q159" s="482">
        <f t="shared" si="91"/>
        <v>6.1411642233225254E-2</v>
      </c>
      <c r="R159" s="482">
        <f t="shared" si="91"/>
        <v>1.855407900599633E-2</v>
      </c>
      <c r="S159" s="482">
        <f t="shared" si="91"/>
        <v>5.7876140555231992E-2</v>
      </c>
      <c r="T159" s="702">
        <f t="shared" si="91"/>
        <v>3.8420067011839629E-2</v>
      </c>
    </row>
    <row r="160" spans="1:20" ht="12.75">
      <c r="A160" s="388"/>
      <c r="B160" s="481"/>
      <c r="C160"/>
      <c r="D160"/>
      <c r="E160"/>
      <c r="F160"/>
      <c r="G160" s="482"/>
      <c r="H160" s="482"/>
      <c r="I160" s="482"/>
      <c r="J160" s="482"/>
      <c r="K160" s="482"/>
      <c r="L160" s="482"/>
      <c r="M160" s="482"/>
      <c r="N160" s="482"/>
      <c r="O160" s="482"/>
      <c r="P160" s="482"/>
      <c r="Q160" s="482"/>
      <c r="R160" s="482"/>
      <c r="S160" s="482"/>
      <c r="T160" s="702"/>
    </row>
    <row r="161" spans="1:24" ht="12.75">
      <c r="A161" s="388">
        <v>6</v>
      </c>
      <c r="B161" s="481" t="s">
        <v>376</v>
      </c>
      <c r="C161"/>
      <c r="D161"/>
      <c r="E161"/>
      <c r="F161"/>
      <c r="G161" s="482"/>
      <c r="H161" s="482">
        <f t="shared" ref="H161:T161" si="92">(H140-G140)/G140</f>
        <v>-0.13691026827012026</v>
      </c>
      <c r="I161" s="482">
        <f t="shared" si="92"/>
        <v>0.35905680600214362</v>
      </c>
      <c r="J161" s="482">
        <f t="shared" si="92"/>
        <v>9.5820189274447951E-2</v>
      </c>
      <c r="K161" s="482">
        <f t="shared" si="92"/>
        <v>0.23889391867578294</v>
      </c>
      <c r="L161" s="482">
        <f t="shared" si="92"/>
        <v>-0.14141803467102709</v>
      </c>
      <c r="M161" s="482">
        <f t="shared" si="92"/>
        <v>3.9580514208389712E-2</v>
      </c>
      <c r="N161" s="482">
        <f t="shared" si="92"/>
        <v>-6.4432150992515452E-2</v>
      </c>
      <c r="O161" s="482">
        <f t="shared" si="92"/>
        <v>-2.1349495652174127E-2</v>
      </c>
      <c r="P161" s="482">
        <f t="shared" si="92"/>
        <v>-1.7465043789455863E-4</v>
      </c>
      <c r="Q161" s="482">
        <f t="shared" si="92"/>
        <v>-2.9248571910390862E-4</v>
      </c>
      <c r="R161" s="482">
        <f t="shared" si="92"/>
        <v>0.17863440180407078</v>
      </c>
      <c r="S161" s="482">
        <f t="shared" si="92"/>
        <v>4.5047899939439209E-2</v>
      </c>
      <c r="T161" s="702">
        <f t="shared" si="92"/>
        <v>4.0973152424943456E-3</v>
      </c>
    </row>
    <row r="162" spans="1:24" ht="12.75">
      <c r="A162" s="388"/>
      <c r="B162"/>
      <c r="C162"/>
      <c r="D162"/>
      <c r="E162"/>
      <c r="F162"/>
      <c r="G162"/>
      <c r="H162"/>
      <c r="I162"/>
      <c r="J162"/>
      <c r="K162"/>
      <c r="L162" s="474"/>
      <c r="M162"/>
      <c r="N162" s="474"/>
      <c r="O162"/>
      <c r="P162" s="474"/>
      <c r="Q162" s="383"/>
      <c r="R162" s="383"/>
      <c r="S162" s="40"/>
      <c r="T162" s="40"/>
    </row>
    <row r="163" spans="1:24" ht="12.75">
      <c r="A163" s="388"/>
      <c r="B163" s="385" t="s">
        <v>703</v>
      </c>
      <c r="C163" s="385"/>
      <c r="D163" s="386"/>
      <c r="E163" s="387"/>
      <c r="F163" s="387"/>
      <c r="G163" s="513"/>
      <c r="H163" s="513" t="s">
        <v>607</v>
      </c>
      <c r="I163" s="513" t="s">
        <v>618</v>
      </c>
      <c r="J163" s="513" t="s">
        <v>608</v>
      </c>
      <c r="K163" s="513" t="s">
        <v>609</v>
      </c>
      <c r="L163" s="513" t="s">
        <v>610</v>
      </c>
      <c r="M163" s="513" t="s">
        <v>611</v>
      </c>
      <c r="N163" s="513" t="s">
        <v>612</v>
      </c>
      <c r="O163" s="513" t="s">
        <v>613</v>
      </c>
      <c r="P163" s="513" t="s">
        <v>614</v>
      </c>
      <c r="Q163" s="513" t="s">
        <v>615</v>
      </c>
      <c r="R163" s="513" t="s">
        <v>616</v>
      </c>
      <c r="S163" s="513" t="s">
        <v>617</v>
      </c>
      <c r="T163" s="700" t="s">
        <v>606</v>
      </c>
      <c r="V163" s="48"/>
      <c r="W163" s="41"/>
      <c r="X163" s="41"/>
    </row>
    <row r="164" spans="1:24" ht="13.5" thickBot="1">
      <c r="A164" s="388"/>
      <c r="B164"/>
      <c r="C164"/>
      <c r="D164"/>
      <c r="E164"/>
      <c r="F164"/>
      <c r="G164" s="483"/>
      <c r="H164" s="483"/>
      <c r="I164" s="483"/>
      <c r="J164" s="483"/>
      <c r="K164" s="483"/>
      <c r="L164" s="483"/>
      <c r="M164" s="483"/>
      <c r="N164" s="650"/>
      <c r="O164" s="483"/>
      <c r="P164" s="383"/>
      <c r="Q164" s="383"/>
      <c r="R164" s="383"/>
      <c r="S164" s="54"/>
      <c r="T164" s="54"/>
      <c r="V164" s="640"/>
      <c r="W164" s="640"/>
      <c r="X164" s="41"/>
    </row>
    <row r="165" spans="1:24" ht="12.75">
      <c r="A165" s="388">
        <v>7</v>
      </c>
      <c r="B165" s="657" t="s">
        <v>422</v>
      </c>
      <c r="C165"/>
      <c r="D165"/>
      <c r="E165"/>
      <c r="F165"/>
      <c r="G165" s="484"/>
      <c r="H165" s="484">
        <f>RATE(13,,-G104,$T104)</f>
        <v>5.4079532032045394E-2</v>
      </c>
      <c r="I165" s="484">
        <f>RATE(12,,-H104,$T104)</f>
        <v>4.6632775894920944E-2</v>
      </c>
      <c r="J165" s="484">
        <f>RATE(11,,-I104,$T104)</f>
        <v>5.4404091114978043E-2</v>
      </c>
      <c r="K165" s="484">
        <f>RATE(10,,-J104,$T104)</f>
        <v>4.7830559573585583E-2</v>
      </c>
      <c r="L165" s="484">
        <f>RATE(9,,-K104,$T104)</f>
        <v>5.2157192986189232E-2</v>
      </c>
      <c r="M165" s="484">
        <f>RATE(8,,-L104,$T104)</f>
        <v>4.965115435583739E-2</v>
      </c>
      <c r="N165" s="804">
        <f>RATE(7,,-M104,$T104)</f>
        <v>5.131266909343251E-2</v>
      </c>
      <c r="O165" s="643">
        <f>RATE(6,,-N104,$T104)</f>
        <v>4.7382729073762501E-2</v>
      </c>
      <c r="P165" s="643">
        <f>RATE(5,,-O104,$T104)</f>
        <v>3.8639715498140159E-2</v>
      </c>
      <c r="Q165" s="643">
        <f>RATE(4,,-P104,$T104)</f>
        <v>3.5942240391659691E-2</v>
      </c>
      <c r="R165" s="643">
        <f>RATE(3,,-Q104,$T104)</f>
        <v>1.9787170271239638E-2</v>
      </c>
      <c r="S165" s="643">
        <f>RATE(2,,-R104,$T104)</f>
        <v>-1.385392524610095E-2</v>
      </c>
      <c r="T165" s="643">
        <f>RATE(1,,-S104,$T104)</f>
        <v>1.8527741031826372E-2</v>
      </c>
      <c r="U165" s="45"/>
    </row>
    <row r="166" spans="1:24" ht="9" customHeight="1">
      <c r="A166" s="388"/>
      <c r="B166" s="657"/>
      <c r="C166"/>
      <c r="D166"/>
      <c r="E166"/>
      <c r="F166"/>
      <c r="G166" s="484"/>
      <c r="H166" s="484"/>
      <c r="I166" s="484"/>
      <c r="J166" s="484"/>
      <c r="K166" s="484"/>
      <c r="L166" s="484"/>
      <c r="M166" s="484"/>
      <c r="N166" s="541"/>
      <c r="O166" s="484"/>
      <c r="P166" s="484"/>
      <c r="Q166" s="484"/>
      <c r="R166" s="484"/>
      <c r="S166" s="484"/>
      <c r="T166" s="643"/>
      <c r="U166" s="45"/>
    </row>
    <row r="167" spans="1:24" ht="12.75">
      <c r="A167" s="382" t="s">
        <v>476</v>
      </c>
      <c r="B167" s="657"/>
      <c r="C167"/>
      <c r="D167"/>
      <c r="E167"/>
      <c r="F167"/>
      <c r="G167" s="484"/>
      <c r="H167" s="484"/>
      <c r="I167" s="484"/>
      <c r="J167" s="484"/>
      <c r="K167" s="484"/>
      <c r="L167" s="484"/>
      <c r="M167" s="484"/>
      <c r="N167" s="780"/>
      <c r="O167" s="484"/>
      <c r="P167" s="484"/>
      <c r="Q167" s="484"/>
      <c r="R167" s="484"/>
      <c r="S167" s="484"/>
      <c r="T167" s="643"/>
      <c r="U167" s="45"/>
    </row>
    <row r="168" spans="1:24" ht="8.25" customHeight="1">
      <c r="A168" s="382"/>
      <c r="B168" s="657"/>
      <c r="C168"/>
      <c r="D168"/>
      <c r="E168"/>
      <c r="F168"/>
      <c r="G168" s="484"/>
      <c r="H168" s="484"/>
      <c r="I168" s="484"/>
      <c r="J168" s="484"/>
      <c r="K168" s="484"/>
      <c r="L168" s="484"/>
      <c r="M168" s="484"/>
      <c r="N168" s="541"/>
      <c r="O168" s="484"/>
      <c r="P168" s="484"/>
      <c r="Q168" s="484"/>
      <c r="R168" s="484"/>
      <c r="S168" s="484"/>
      <c r="T168" s="643"/>
      <c r="U168" s="45"/>
    </row>
    <row r="169" spans="1:24" ht="12.75">
      <c r="A169" s="382">
        <v>8</v>
      </c>
      <c r="B169" s="657" t="s">
        <v>432</v>
      </c>
      <c r="C169"/>
      <c r="D169"/>
      <c r="E169"/>
      <c r="F169"/>
      <c r="G169" s="484"/>
      <c r="H169" s="484">
        <f>RATE(13,,-G111,$T111)</f>
        <v>6.394726835508166E-2</v>
      </c>
      <c r="I169" s="484">
        <f t="shared" ref="I169" si="93">RATE(12,,-H111,$T111)</f>
        <v>4.9275576140767163E-2</v>
      </c>
      <c r="J169" s="484">
        <f>RATE(11,,-I111,$T111)</f>
        <v>5.1925982638870098E-2</v>
      </c>
      <c r="K169" s="484">
        <f>RATE(10,,-J111,$T111)</f>
        <v>5.3017457362145651E-2</v>
      </c>
      <c r="L169" s="484">
        <f>RATE(9,,-K111,$T111)</f>
        <v>5.5723629797216304E-2</v>
      </c>
      <c r="M169" s="484">
        <f>RATE(8,,-L111,$T111)</f>
        <v>5.5590082107730233E-2</v>
      </c>
      <c r="N169" s="541">
        <f>RATE(7,,-M111,$T111)</f>
        <v>5.971037160911416E-2</v>
      </c>
      <c r="O169" s="484">
        <f>RATE(6,,-N111,$T111)</f>
        <v>5.8317855435061468E-2</v>
      </c>
      <c r="P169" s="484">
        <f>RATE(5,,-O111,$T111)</f>
        <v>5.8681281811738033E-2</v>
      </c>
      <c r="Q169" s="484">
        <f>RATE(4,,-P111,$T111)</f>
        <v>5.3786699172580985E-2</v>
      </c>
      <c r="R169" s="484">
        <f>RATE(3,,-Q111,$T111)</f>
        <v>5.2371154560321452E-2</v>
      </c>
      <c r="S169" s="484">
        <f>RATE(2,,-R111,$T111)</f>
        <v>4.5693733485477332E-2</v>
      </c>
      <c r="T169" s="643">
        <f>RATE(1,,-S111,$T111)</f>
        <v>6.8780261325197378E-2</v>
      </c>
      <c r="U169" s="45"/>
    </row>
    <row r="170" spans="1:24" ht="9.75" customHeight="1">
      <c r="A170" s="382"/>
      <c r="B170" s="657"/>
      <c r="C170"/>
      <c r="D170" s="12"/>
      <c r="E170"/>
      <c r="F170"/>
      <c r="G170" s="391"/>
      <c r="H170" s="391"/>
      <c r="I170" s="391"/>
      <c r="J170" s="391"/>
      <c r="K170" s="391"/>
      <c r="L170" s="391"/>
      <c r="M170" s="391"/>
      <c r="N170" s="541"/>
      <c r="O170" s="391"/>
      <c r="P170" s="391"/>
      <c r="Q170" s="391"/>
      <c r="R170" s="391"/>
      <c r="S170" s="391"/>
      <c r="T170" s="704"/>
    </row>
    <row r="171" spans="1:24" ht="12.75">
      <c r="A171" s="382">
        <v>9</v>
      </c>
      <c r="B171" s="392"/>
      <c r="C171"/>
      <c r="D171"/>
      <c r="E171"/>
      <c r="F171"/>
      <c r="G171" s="484"/>
      <c r="H171" s="484">
        <f>RATE(13,,-G127,$T127)</f>
        <v>4.9646439895592559E-2</v>
      </c>
      <c r="I171" s="484">
        <f>RATE(12,,-H127,$T127)</f>
        <v>3.916228663606372E-2</v>
      </c>
      <c r="J171" s="484">
        <f>RATE(11,,-I127,$T127)</f>
        <v>4.358811472317773E-2</v>
      </c>
      <c r="K171" s="484">
        <f>RATE(10,,-J127,$T127)</f>
        <v>4.5176613452509444E-2</v>
      </c>
      <c r="L171" s="484">
        <f>RATE(9,,-K127,$T127)</f>
        <v>4.8868780891212514E-2</v>
      </c>
      <c r="M171" s="484">
        <f>RATE(8,,-L127,$T127)</f>
        <v>5.2917708034977591E-2</v>
      </c>
      <c r="N171" s="541">
        <f>RATE(7,,-M127,$T127)</f>
        <v>6.6799803022223256E-2</v>
      </c>
      <c r="O171" s="484">
        <f>RATE(6,,-N127,$T127)</f>
        <v>7.2631502717645791E-2</v>
      </c>
      <c r="P171" s="484">
        <f>RATE(5,,-O127,$T127)</f>
        <v>7.606826762107971E-2</v>
      </c>
      <c r="Q171" s="484">
        <f>RATE(4,,-P127,$T127)</f>
        <v>6.8952446583131599E-2</v>
      </c>
      <c r="R171" s="484">
        <f>RATE(3,,-Q127,$T127)</f>
        <v>5.5975499354969351E-2</v>
      </c>
      <c r="S171" s="484">
        <f>RATE(2,,-R127,$T127)</f>
        <v>6.749065992775849E-2</v>
      </c>
      <c r="T171" s="643">
        <f>RATE(1,,-S127,$T127)</f>
        <v>6.0827048976547587E-2</v>
      </c>
      <c r="U171" s="45"/>
    </row>
    <row r="172" spans="1:24" ht="9" customHeight="1">
      <c r="A172" s="382"/>
      <c r="B172" s="610"/>
      <c r="C172"/>
      <c r="D172" s="12"/>
      <c r="E172"/>
      <c r="F172"/>
      <c r="G172" s="391"/>
      <c r="H172" s="391"/>
      <c r="I172" s="391"/>
      <c r="J172" s="391"/>
      <c r="K172" s="391"/>
      <c r="L172" s="391"/>
      <c r="M172" s="391"/>
      <c r="N172" s="541"/>
      <c r="O172" s="391"/>
      <c r="P172" s="391"/>
      <c r="Q172" s="391"/>
      <c r="R172" s="391"/>
      <c r="S172" s="391"/>
      <c r="T172" s="704"/>
    </row>
    <row r="173" spans="1:24" ht="12.75">
      <c r="A173" s="382">
        <v>10</v>
      </c>
      <c r="B173" s="481" t="s">
        <v>292</v>
      </c>
      <c r="C173"/>
      <c r="D173"/>
      <c r="E173" s="383"/>
      <c r="F173" s="383"/>
      <c r="G173" s="485"/>
      <c r="H173" s="485">
        <f>RATE(13,,-G130,$T130)</f>
        <v>4.7751654874845346E-2</v>
      </c>
      <c r="I173" s="485">
        <f>RATE(12,,-H130,$T130)</f>
        <v>4.2209353212042514E-2</v>
      </c>
      <c r="J173" s="485">
        <f>RATE(11,,-I130,$T130)</f>
        <v>4.8598924277941435E-2</v>
      </c>
      <c r="K173" s="485">
        <f>RATE(10,,-J130,$T130)</f>
        <v>4.830330876750677E-2</v>
      </c>
      <c r="L173" s="485">
        <f>RATE(9,,-K130,$T130)</f>
        <v>4.7611606013095532E-2</v>
      </c>
      <c r="M173" s="485">
        <f>RATE(8,,-L130,$T130)</f>
        <v>4.4741667143021031E-2</v>
      </c>
      <c r="N173" s="541">
        <f>RATE(7,,-M130,$T130)</f>
        <v>4.866695261094222E-2</v>
      </c>
      <c r="O173" s="485">
        <f>RATE(6,,-N130,$T130)</f>
        <v>4.7897429224418503E-2</v>
      </c>
      <c r="P173" s="485">
        <f>RATE(5,,-O130,$T130)</f>
        <v>4.2305374825289573E-2</v>
      </c>
      <c r="Q173" s="485">
        <f>RATE(4,,-P130,$T130)</f>
        <v>4.0526371180795211E-2</v>
      </c>
      <c r="R173" s="485">
        <f>RATE(3,,-Q130,$T130)</f>
        <v>3.7618464737937111E-2</v>
      </c>
      <c r="S173" s="485">
        <f>RATE(2,,-R130,$T130)</f>
        <v>3.599763085581429E-2</v>
      </c>
      <c r="T173" s="705">
        <f>RATE(1,,-S130,$T130)</f>
        <v>1.6312834202224444E-2</v>
      </c>
    </row>
    <row r="174" spans="1:24" ht="8.25" customHeight="1">
      <c r="A174" s="382"/>
      <c r="B174" s="481"/>
      <c r="C174" s="604"/>
      <c r="D174" s="604"/>
      <c r="E174" s="383"/>
      <c r="F174" s="383"/>
      <c r="G174" s="485"/>
      <c r="H174" s="485"/>
      <c r="I174" s="485"/>
      <c r="J174" s="485"/>
      <c r="K174" s="485"/>
      <c r="L174" s="485"/>
      <c r="M174" s="485"/>
      <c r="N174" s="541"/>
      <c r="O174" s="485"/>
      <c r="P174" s="485"/>
      <c r="Q174" s="485"/>
      <c r="R174" s="485"/>
      <c r="S174" s="485"/>
      <c r="T174" s="705"/>
    </row>
    <row r="175" spans="1:24" ht="12.75">
      <c r="A175" s="382">
        <v>11</v>
      </c>
      <c r="B175" s="481" t="s">
        <v>375</v>
      </c>
      <c r="C175"/>
      <c r="D175"/>
      <c r="E175"/>
      <c r="F175"/>
      <c r="G175" s="485"/>
      <c r="H175" s="485">
        <f>RATE(13,,-G133,$T133)</f>
        <v>5.9916811852193413E-2</v>
      </c>
      <c r="I175" s="485">
        <f>RATE(12,,-H133,$T133)</f>
        <v>4.3719972514857285E-2</v>
      </c>
      <c r="J175" s="485">
        <f>RATE(11,,-I133,$T133)</f>
        <v>5.0249835767023479E-2</v>
      </c>
      <c r="K175" s="485">
        <f>RATE(10,,-J133,$T133)</f>
        <v>5.0484436510544822E-2</v>
      </c>
      <c r="L175" s="485">
        <f>RATE(9,,-K133,$T133)</f>
        <v>5.01203841945803E-2</v>
      </c>
      <c r="M175" s="485">
        <f>RATE(8,,-L133,$T133)</f>
        <v>4.8068300579560262E-2</v>
      </c>
      <c r="N175" s="541">
        <f>RATE(7,,-M133,$T133)</f>
        <v>5.2165260860669999E-2</v>
      </c>
      <c r="O175" s="485">
        <f>RATE(6,,-N133,$T133)</f>
        <v>5.2453110818970111E-2</v>
      </c>
      <c r="P175" s="485">
        <f>RATE(5,,-O133,$T133)</f>
        <v>4.8435066116128689E-2</v>
      </c>
      <c r="Q175" s="485">
        <f>RATE(4,,-P133,$T133)</f>
        <v>4.3924183070881924E-2</v>
      </c>
      <c r="R175" s="485">
        <f>RATE(3,,-Q133,$T133)</f>
        <v>3.8159292158925127E-2</v>
      </c>
      <c r="S175" s="485">
        <f>RATE(2,,-R133,$T133)</f>
        <v>4.8102959048198828E-2</v>
      </c>
      <c r="T175" s="705">
        <f>RATE(1,,-S133,$T133)</f>
        <v>3.8420067011839663E-2</v>
      </c>
      <c r="U175" s="45"/>
    </row>
    <row r="176" spans="1:24" ht="12.75">
      <c r="A176" s="382"/>
      <c r="B176" s="392"/>
      <c r="C176" s="392"/>
      <c r="D176" s="12"/>
      <c r="E176" s="383"/>
      <c r="F176" s="383"/>
      <c r="G176" s="391"/>
      <c r="H176" s="391"/>
      <c r="I176" s="391"/>
      <c r="J176" s="391"/>
      <c r="K176" s="391"/>
      <c r="L176" s="391"/>
      <c r="M176" s="391"/>
      <c r="N176" s="541"/>
      <c r="O176" s="391"/>
      <c r="P176" s="391"/>
      <c r="Q176" s="391"/>
      <c r="R176" s="391"/>
      <c r="S176" s="391"/>
      <c r="T176" s="704"/>
    </row>
    <row r="177" spans="1:25" ht="13.5" thickBot="1">
      <c r="A177" s="382">
        <v>12</v>
      </c>
      <c r="B177" s="481"/>
      <c r="C177"/>
      <c r="D177"/>
      <c r="E177" s="383"/>
      <c r="F177" s="383"/>
      <c r="G177" s="485"/>
      <c r="H177" s="485">
        <f>RATE(13,,-G140,$T140)</f>
        <v>3.7252431363684092E-2</v>
      </c>
      <c r="I177" s="485">
        <f>RATE(12,,-H140,$T140)</f>
        <v>5.326302262640506E-2</v>
      </c>
      <c r="J177" s="485">
        <f>RATE(11,,-I140,$T140)</f>
        <v>2.913685420849425E-2</v>
      </c>
      <c r="K177" s="485">
        <f>RATE(10,,-J140,$T140)</f>
        <v>2.2695898547999329E-2</v>
      </c>
      <c r="L177" s="485">
        <f>RATE(9,,-K140,$T140)</f>
        <v>1.1342876587779784E-3</v>
      </c>
      <c r="M177" s="485">
        <f>RATE(8,,-L140,$T140)</f>
        <v>2.0542645746224081E-2</v>
      </c>
      <c r="N177" s="664">
        <f>RATE(7,,-M140,$T140)</f>
        <v>1.7851560938176823E-2</v>
      </c>
      <c r="O177" s="485">
        <f>RATE(6,,-N140,$T140)</f>
        <v>3.2252571312358196E-2</v>
      </c>
      <c r="P177" s="485">
        <f>RATE(5,,-O140,$T140)</f>
        <v>4.3320265418828434E-2</v>
      </c>
      <c r="Q177" s="485">
        <f>RATE(4,,-P140,$T140)</f>
        <v>5.4486485399241037E-2</v>
      </c>
      <c r="R177" s="485">
        <f>RATE(3,,-Q140,$T140)</f>
        <v>7.3405225735358168E-2</v>
      </c>
      <c r="S177" s="485">
        <f>RATE(2,,-R140,$T140)</f>
        <v>2.4367995707108125E-2</v>
      </c>
      <c r="T177" s="705">
        <f>RATE(1,,-S140,$T140)</f>
        <v>4.0973152424944653E-3</v>
      </c>
      <c r="U177" s="45"/>
    </row>
    <row r="178" spans="1:25" ht="12.75" thickBot="1">
      <c r="A178" s="388"/>
      <c r="B178" s="392"/>
      <c r="C178" s="392"/>
      <c r="D178" s="392"/>
      <c r="E178" s="393"/>
      <c r="F178" s="393"/>
      <c r="G178" s="383"/>
      <c r="H178" s="383"/>
      <c r="I178" s="383"/>
      <c r="J178" s="383"/>
      <c r="K178" s="383"/>
      <c r="L178" s="383"/>
      <c r="M178" s="383"/>
      <c r="N178" s="474"/>
      <c r="O178" s="383"/>
      <c r="P178" s="383"/>
      <c r="Q178" s="383"/>
      <c r="R178" s="392"/>
      <c r="S178" s="40"/>
      <c r="T178" s="40"/>
      <c r="V178" s="641"/>
      <c r="W178" s="642"/>
      <c r="X178" s="43"/>
      <c r="Y178" s="43"/>
    </row>
    <row r="179" spans="1:25" ht="12.75">
      <c r="A179" s="388"/>
      <c r="B179" s="385" t="s">
        <v>701</v>
      </c>
      <c r="C179" s="385"/>
      <c r="D179" s="386"/>
      <c r="E179" s="387"/>
      <c r="F179" s="387"/>
      <c r="G179" s="513"/>
      <c r="H179" s="513" t="s">
        <v>607</v>
      </c>
      <c r="I179" s="513" t="s">
        <v>618</v>
      </c>
      <c r="J179" s="513" t="s">
        <v>608</v>
      </c>
      <c r="K179" s="513" t="s">
        <v>609</v>
      </c>
      <c r="L179" s="513" t="s">
        <v>610</v>
      </c>
      <c r="M179" s="513" t="s">
        <v>611</v>
      </c>
      <c r="N179" s="770" t="s">
        <v>612</v>
      </c>
      <c r="O179" s="513" t="s">
        <v>613</v>
      </c>
      <c r="P179" s="513" t="s">
        <v>614</v>
      </c>
      <c r="Q179" s="513" t="s">
        <v>615</v>
      </c>
      <c r="R179" s="513" t="s">
        <v>616</v>
      </c>
      <c r="S179" s="513" t="s">
        <v>617</v>
      </c>
      <c r="T179" s="700" t="s">
        <v>606</v>
      </c>
      <c r="V179" s="41"/>
      <c r="W179" s="41"/>
      <c r="X179" s="41"/>
      <c r="Y179" s="41"/>
    </row>
    <row r="180" spans="1:25" ht="6.75" customHeight="1">
      <c r="A180" s="388"/>
      <c r="B180" s="392"/>
      <c r="C180" s="392"/>
      <c r="D180" s="392"/>
      <c r="E180" s="393"/>
      <c r="F180" s="393"/>
      <c r="G180" s="486"/>
      <c r="H180" s="486"/>
      <c r="I180" s="486"/>
      <c r="J180" s="486"/>
      <c r="K180" s="486"/>
      <c r="L180" s="486"/>
      <c r="M180" s="486"/>
      <c r="N180" s="771"/>
      <c r="O180" s="486"/>
      <c r="P180" s="486"/>
      <c r="Q180" s="486"/>
      <c r="R180" s="392"/>
      <c r="S180" s="54"/>
      <c r="T180" s="54"/>
      <c r="V180" s="41"/>
      <c r="W180" s="643"/>
      <c r="X180" s="41"/>
      <c r="Y180" s="41"/>
    </row>
    <row r="181" spans="1:25">
      <c r="A181" s="388">
        <v>13</v>
      </c>
      <c r="B181" s="657" t="s">
        <v>422</v>
      </c>
      <c r="C181" s="392"/>
      <c r="D181" s="392"/>
      <c r="G181" s="393" t="s">
        <v>619</v>
      </c>
      <c r="H181" s="487">
        <f>2*H165</f>
        <v>0.10815906406409079</v>
      </c>
      <c r="I181" s="487">
        <f t="shared" ref="I181:T181" si="94">2*I165</f>
        <v>9.3265551789841888E-2</v>
      </c>
      <c r="J181" s="487">
        <f t="shared" si="94"/>
        <v>0.10880818222995609</v>
      </c>
      <c r="K181" s="487">
        <f t="shared" si="94"/>
        <v>9.5661119147171167E-2</v>
      </c>
      <c r="L181" s="487">
        <f t="shared" si="94"/>
        <v>0.10431438597237846</v>
      </c>
      <c r="M181" s="487">
        <f t="shared" si="94"/>
        <v>9.930230871167478E-2</v>
      </c>
      <c r="N181" s="805">
        <f t="shared" si="94"/>
        <v>0.10262533818686502</v>
      </c>
      <c r="O181" s="487">
        <f t="shared" si="94"/>
        <v>9.4765458147525003E-2</v>
      </c>
      <c r="P181" s="487">
        <f t="shared" si="94"/>
        <v>7.7279430996280318E-2</v>
      </c>
      <c r="Q181" s="487">
        <f t="shared" si="94"/>
        <v>7.1884480783319382E-2</v>
      </c>
      <c r="R181" s="487">
        <f t="shared" si="94"/>
        <v>3.9574340542479276E-2</v>
      </c>
      <c r="S181" s="487">
        <f t="shared" si="94"/>
        <v>-2.77078504922019E-2</v>
      </c>
      <c r="T181" s="487">
        <f t="shared" si="94"/>
        <v>3.7055482063652743E-2</v>
      </c>
      <c r="U181" s="45"/>
      <c r="V181" s="41"/>
      <c r="W181" s="41"/>
      <c r="X181" s="41"/>
      <c r="Y181" s="41"/>
    </row>
    <row r="182" spans="1:25">
      <c r="A182" s="388"/>
      <c r="B182" s="657"/>
      <c r="C182" s="392"/>
      <c r="D182" s="392"/>
      <c r="G182" s="393"/>
      <c r="H182" s="487"/>
      <c r="I182" s="487"/>
      <c r="J182" s="487"/>
      <c r="K182" s="487"/>
      <c r="L182" s="487"/>
      <c r="M182" s="487"/>
      <c r="N182" s="772"/>
      <c r="O182" s="487"/>
      <c r="P182" s="487"/>
      <c r="Q182" s="487"/>
      <c r="R182" s="487"/>
      <c r="S182" s="487"/>
      <c r="T182" s="487"/>
      <c r="U182" s="629"/>
      <c r="V182" s="41"/>
      <c r="W182" s="41"/>
      <c r="X182" s="41"/>
      <c r="Y182" s="41"/>
    </row>
    <row r="183" spans="1:25">
      <c r="A183" s="388" t="s">
        <v>477</v>
      </c>
      <c r="B183" s="657" t="s">
        <v>702</v>
      </c>
      <c r="C183" s="392"/>
      <c r="D183" s="392"/>
      <c r="G183" s="393" t="s">
        <v>619</v>
      </c>
      <c r="H183" s="487"/>
      <c r="I183" s="487"/>
      <c r="J183" s="487"/>
      <c r="K183" s="487"/>
      <c r="L183" s="487"/>
      <c r="M183" s="487"/>
      <c r="N183" s="772">
        <f>2*N167</f>
        <v>0</v>
      </c>
      <c r="O183" s="487"/>
      <c r="P183" s="487"/>
      <c r="Q183" s="487"/>
      <c r="R183" s="487"/>
      <c r="S183" s="487"/>
      <c r="T183" s="487"/>
      <c r="U183" s="629"/>
      <c r="V183" s="41"/>
      <c r="W183" s="41"/>
      <c r="X183" s="41"/>
      <c r="Y183" s="41"/>
    </row>
    <row r="184" spans="1:25">
      <c r="A184" s="388"/>
      <c r="B184" s="389"/>
      <c r="C184" s="392"/>
      <c r="D184" s="392"/>
      <c r="G184" s="393"/>
      <c r="H184" s="487"/>
      <c r="I184" s="487"/>
      <c r="J184" s="487"/>
      <c r="K184" s="487"/>
      <c r="L184" s="487"/>
      <c r="M184" s="487"/>
      <c r="N184" s="541"/>
      <c r="O184" s="487"/>
      <c r="P184" s="487"/>
      <c r="Q184" s="487"/>
      <c r="R184" s="487"/>
      <c r="S184" s="45"/>
      <c r="T184" s="629"/>
      <c r="U184" s="45"/>
    </row>
    <row r="185" spans="1:25">
      <c r="A185" s="388">
        <v>14</v>
      </c>
      <c r="B185" s="657" t="s">
        <v>577</v>
      </c>
      <c r="C185" s="392"/>
      <c r="D185" s="392"/>
      <c r="G185" s="736" t="s">
        <v>619</v>
      </c>
      <c r="H185" s="487">
        <f>2*H169</f>
        <v>0.12789453671016332</v>
      </c>
      <c r="I185" s="487">
        <f t="shared" ref="I185:T185" si="95">2*I169</f>
        <v>9.8551152281534327E-2</v>
      </c>
      <c r="J185" s="487">
        <f t="shared" si="95"/>
        <v>0.1038519652777402</v>
      </c>
      <c r="K185" s="487">
        <f t="shared" si="95"/>
        <v>0.1060349147242913</v>
      </c>
      <c r="L185" s="487">
        <f t="shared" si="95"/>
        <v>0.11144725959443261</v>
      </c>
      <c r="M185" s="487">
        <f t="shared" si="95"/>
        <v>0.11118016421546047</v>
      </c>
      <c r="N185" s="772">
        <f t="shared" si="95"/>
        <v>0.11942074321822832</v>
      </c>
      <c r="O185" s="487">
        <f t="shared" si="95"/>
        <v>0.11663571087012294</v>
      </c>
      <c r="P185" s="487">
        <f t="shared" si="95"/>
        <v>0.11736256362347607</v>
      </c>
      <c r="Q185" s="487">
        <f t="shared" si="95"/>
        <v>0.10757339834516197</v>
      </c>
      <c r="R185" s="487">
        <f t="shared" si="95"/>
        <v>0.1047423091206429</v>
      </c>
      <c r="S185" s="487">
        <f t="shared" si="95"/>
        <v>9.1387466970954664E-2</v>
      </c>
      <c r="T185" s="487">
        <f t="shared" si="95"/>
        <v>0.13756052265039476</v>
      </c>
      <c r="U185" s="45"/>
    </row>
    <row r="186" spans="1:25">
      <c r="A186" s="388"/>
      <c r="B186" s="389"/>
      <c r="C186" s="392"/>
      <c r="D186" s="392"/>
      <c r="G186" s="393"/>
      <c r="H186" s="487"/>
      <c r="I186" s="487"/>
      <c r="J186" s="487"/>
      <c r="K186" s="487"/>
      <c r="L186" s="487"/>
      <c r="M186" s="487"/>
      <c r="N186" s="541"/>
      <c r="O186" s="487"/>
      <c r="P186" s="487"/>
      <c r="Q186" s="487"/>
      <c r="R186" s="487"/>
      <c r="S186" s="487"/>
      <c r="T186" s="706"/>
      <c r="U186" s="629"/>
    </row>
    <row r="187" spans="1:25">
      <c r="A187" s="382">
        <v>15</v>
      </c>
      <c r="B187" s="657" t="s">
        <v>578</v>
      </c>
      <c r="C187" s="392"/>
      <c r="D187" s="392"/>
      <c r="G187" s="736" t="s">
        <v>619</v>
      </c>
      <c r="H187" s="487">
        <f>2*H171</f>
        <v>9.9292879791185118E-2</v>
      </c>
      <c r="I187" s="487">
        <f t="shared" ref="I187:T187" si="96">2*I171</f>
        <v>7.832457327212744E-2</v>
      </c>
      <c r="J187" s="487">
        <f t="shared" si="96"/>
        <v>8.717622944635546E-2</v>
      </c>
      <c r="K187" s="487">
        <f t="shared" si="96"/>
        <v>9.0353226905018888E-2</v>
      </c>
      <c r="L187" s="487">
        <f t="shared" si="96"/>
        <v>9.7737561782425028E-2</v>
      </c>
      <c r="M187" s="487">
        <f t="shared" si="96"/>
        <v>0.10583541606995518</v>
      </c>
      <c r="N187" s="772">
        <f t="shared" si="96"/>
        <v>0.13359960604444651</v>
      </c>
      <c r="O187" s="487">
        <f t="shared" si="96"/>
        <v>0.14526300543529158</v>
      </c>
      <c r="P187" s="487">
        <f t="shared" si="96"/>
        <v>0.15213653524215942</v>
      </c>
      <c r="Q187" s="487">
        <f t="shared" si="96"/>
        <v>0.1379048931662632</v>
      </c>
      <c r="R187" s="487">
        <f t="shared" si="96"/>
        <v>0.1119509987099387</v>
      </c>
      <c r="S187" s="487">
        <f t="shared" si="96"/>
        <v>0.13498131985551698</v>
      </c>
      <c r="T187" s="487">
        <f t="shared" si="96"/>
        <v>0.12165409795309517</v>
      </c>
      <c r="U187" s="45"/>
    </row>
    <row r="188" spans="1:25" ht="12.75">
      <c r="A188" s="388"/>
      <c r="B188"/>
      <c r="C188" s="392"/>
      <c r="D188" s="392"/>
      <c r="G188" s="393"/>
      <c r="H188" s="486"/>
      <c r="I188" s="486"/>
      <c r="J188" s="486"/>
      <c r="K188" s="486"/>
      <c r="L188" s="486"/>
      <c r="M188" s="486"/>
      <c r="N188" s="542"/>
      <c r="O188" s="486"/>
      <c r="P188" s="486"/>
      <c r="Q188" s="486"/>
      <c r="R188" s="486"/>
      <c r="S188" s="486"/>
      <c r="T188" s="707"/>
    </row>
    <row r="189" spans="1:25">
      <c r="A189" s="388">
        <v>16</v>
      </c>
      <c r="B189" s="481" t="s">
        <v>292</v>
      </c>
      <c r="C189" s="392"/>
      <c r="D189" s="392"/>
      <c r="G189" s="736" t="s">
        <v>619</v>
      </c>
      <c r="H189" s="487">
        <f>2*H173</f>
        <v>9.5503309749690693E-2</v>
      </c>
      <c r="I189" s="487">
        <f t="shared" ref="I189:T189" si="97">2*I173</f>
        <v>8.4418706424085027E-2</v>
      </c>
      <c r="J189" s="487">
        <f t="shared" si="97"/>
        <v>9.7197848555882871E-2</v>
      </c>
      <c r="K189" s="487">
        <f t="shared" si="97"/>
        <v>9.6606617535013539E-2</v>
      </c>
      <c r="L189" s="487">
        <f t="shared" si="97"/>
        <v>9.5223212026191065E-2</v>
      </c>
      <c r="M189" s="487">
        <f t="shared" si="97"/>
        <v>8.9483334286042063E-2</v>
      </c>
      <c r="N189" s="772">
        <f t="shared" si="97"/>
        <v>9.733390522188444E-2</v>
      </c>
      <c r="O189" s="487">
        <f t="shared" si="97"/>
        <v>9.5794858448837006E-2</v>
      </c>
      <c r="P189" s="487">
        <f t="shared" si="97"/>
        <v>8.4610749650579145E-2</v>
      </c>
      <c r="Q189" s="487">
        <f t="shared" si="97"/>
        <v>8.1052742361590421E-2</v>
      </c>
      <c r="R189" s="487">
        <f t="shared" si="97"/>
        <v>7.5236929475874223E-2</v>
      </c>
      <c r="S189" s="487">
        <f t="shared" si="97"/>
        <v>7.199526171162858E-2</v>
      </c>
      <c r="T189" s="487">
        <f t="shared" si="97"/>
        <v>3.2625668404448888E-2</v>
      </c>
      <c r="U189" s="45"/>
    </row>
    <row r="190" spans="1:25">
      <c r="A190" s="388"/>
      <c r="B190" s="390"/>
      <c r="C190" s="392"/>
      <c r="D190" s="392"/>
      <c r="G190" s="393"/>
      <c r="H190" s="487"/>
      <c r="I190" s="487"/>
      <c r="J190" s="487"/>
      <c r="K190" s="487"/>
      <c r="L190" s="487"/>
      <c r="M190" s="487"/>
      <c r="N190" s="541"/>
      <c r="O190" s="487"/>
      <c r="P190" s="487"/>
      <c r="Q190" s="487"/>
      <c r="R190" s="487"/>
      <c r="S190" s="487"/>
      <c r="T190" s="706"/>
      <c r="U190" s="629"/>
    </row>
    <row r="191" spans="1:25">
      <c r="A191" s="388">
        <v>17</v>
      </c>
      <c r="B191" s="481" t="s">
        <v>375</v>
      </c>
      <c r="G191" s="736" t="s">
        <v>619</v>
      </c>
      <c r="H191" s="487">
        <f>2*H175</f>
        <v>0.11983362370438683</v>
      </c>
      <c r="I191" s="487">
        <f t="shared" ref="I191:T191" si="98">2*I175</f>
        <v>8.7439945029714569E-2</v>
      </c>
      <c r="J191" s="487">
        <f t="shared" si="98"/>
        <v>0.10049967153404696</v>
      </c>
      <c r="K191" s="487">
        <f t="shared" si="98"/>
        <v>0.10096887302108964</v>
      </c>
      <c r="L191" s="487">
        <f t="shared" si="98"/>
        <v>0.1002407683891606</v>
      </c>
      <c r="M191" s="487">
        <f t="shared" si="98"/>
        <v>9.6136601159120524E-2</v>
      </c>
      <c r="N191" s="772">
        <f t="shared" si="98"/>
        <v>0.10433052172134</v>
      </c>
      <c r="O191" s="487">
        <f t="shared" si="98"/>
        <v>0.10490622163794022</v>
      </c>
      <c r="P191" s="487">
        <f t="shared" si="98"/>
        <v>9.6870132232257378E-2</v>
      </c>
      <c r="Q191" s="487">
        <f t="shared" si="98"/>
        <v>8.7848366141763848E-2</v>
      </c>
      <c r="R191" s="487">
        <f t="shared" si="98"/>
        <v>7.6318584317850255E-2</v>
      </c>
      <c r="S191" s="487">
        <f t="shared" si="98"/>
        <v>9.6205918096397655E-2</v>
      </c>
      <c r="T191" s="487">
        <f t="shared" si="98"/>
        <v>7.6840134023679327E-2</v>
      </c>
      <c r="U191" s="45"/>
    </row>
    <row r="192" spans="1:25" ht="12.75">
      <c r="A192" s="388"/>
      <c r="B192"/>
      <c r="G192" s="41"/>
      <c r="H192" s="40"/>
      <c r="I192" s="40"/>
      <c r="J192" s="40"/>
      <c r="K192" s="40"/>
      <c r="L192" s="40"/>
      <c r="M192" s="40"/>
      <c r="N192" s="542"/>
      <c r="O192" s="40"/>
      <c r="P192" s="40"/>
      <c r="Q192" s="40"/>
      <c r="S192" s="40"/>
      <c r="T192" s="40"/>
    </row>
    <row r="193" spans="1:21" ht="12.75" thickBot="1">
      <c r="A193" s="382">
        <v>18</v>
      </c>
      <c r="B193" s="481" t="s">
        <v>376</v>
      </c>
      <c r="G193" s="736" t="s">
        <v>619</v>
      </c>
      <c r="H193" s="487">
        <f t="shared" ref="H193:T193" si="99">(1+H177)^2-1</f>
        <v>7.5892606369874382E-2</v>
      </c>
      <c r="I193" s="487">
        <f t="shared" si="99"/>
        <v>0.10936299483211109</v>
      </c>
      <c r="J193" s="487">
        <f t="shared" si="99"/>
        <v>5.912266469015548E-2</v>
      </c>
      <c r="K193" s="487">
        <f t="shared" si="99"/>
        <v>4.5906900906899528E-2</v>
      </c>
      <c r="L193" s="487">
        <f t="shared" si="99"/>
        <v>2.2698619260486108E-3</v>
      </c>
      <c r="M193" s="487">
        <f t="shared" si="99"/>
        <v>4.1507291786702982E-2</v>
      </c>
      <c r="N193" s="769">
        <f t="shared" si="99"/>
        <v>3.602180010428313E-2</v>
      </c>
      <c r="O193" s="487">
        <f t="shared" si="99"/>
        <v>6.5545370980975237E-2</v>
      </c>
      <c r="P193" s="487">
        <f t="shared" si="99"/>
        <v>8.8517176233614769E-2</v>
      </c>
      <c r="Q193" s="487">
        <f t="shared" si="99"/>
        <v>0.11194174788964384</v>
      </c>
      <c r="R193" s="487">
        <f t="shared" si="99"/>
        <v>0.15219877863597508</v>
      </c>
      <c r="S193" s="487">
        <f t="shared" si="99"/>
        <v>4.9329790628997783E-2</v>
      </c>
      <c r="T193" s="706">
        <f t="shared" si="99"/>
        <v>8.2114184771855392E-3</v>
      </c>
      <c r="U193" s="45"/>
    </row>
    <row r="194" spans="1:21"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</row>
    <row r="195" spans="1:21"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</row>
    <row r="196" spans="1:21"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</row>
    <row r="197" spans="1:21"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</row>
    <row r="198" spans="1:21"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</row>
    <row r="199" spans="1:21"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</row>
    <row r="200" spans="1:21"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</row>
    <row r="201" spans="1:21"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</row>
    <row r="202" spans="1:21"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</row>
    <row r="203" spans="1:21"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</row>
    <row r="204" spans="1:21"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</row>
    <row r="205" spans="1:21"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</row>
    <row r="206" spans="1:21"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</row>
    <row r="207" spans="1:21"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</row>
    <row r="208" spans="1:21"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</row>
    <row r="209" spans="7:17"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</row>
    <row r="210" spans="7:17"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</row>
    <row r="211" spans="7:17"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</row>
    <row r="212" spans="7:17"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</row>
    <row r="213" spans="7:17"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</row>
    <row r="214" spans="7:17"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</row>
    <row r="215" spans="7:17"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</row>
    <row r="216" spans="7:17"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</row>
    <row r="217" spans="7:17"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</row>
    <row r="218" spans="7:17"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</row>
    <row r="219" spans="7:17"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</row>
    <row r="220" spans="7:17"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</row>
    <row r="221" spans="7:17"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</row>
    <row r="222" spans="7:17"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</row>
    <row r="223" spans="7:17"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</row>
    <row r="224" spans="7:17"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</row>
    <row r="225" spans="7:17"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</row>
    <row r="226" spans="7:17"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</row>
    <row r="227" spans="7:17"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</row>
    <row r="228" spans="7:17"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</row>
    <row r="229" spans="7:17"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</row>
    <row r="230" spans="7:17"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</row>
    <row r="231" spans="7:17"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</row>
    <row r="232" spans="7:17"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</row>
    <row r="233" spans="7:17"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</row>
    <row r="234" spans="7:17"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</row>
    <row r="235" spans="7:17"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</row>
    <row r="236" spans="7:17"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</row>
    <row r="237" spans="7:17"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</row>
    <row r="238" spans="7:17"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</row>
    <row r="239" spans="7:17"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</row>
    <row r="240" spans="7:17"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</row>
    <row r="241" spans="7:17"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</row>
    <row r="242" spans="7:17"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</row>
    <row r="243" spans="7:17"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</row>
    <row r="244" spans="7:17"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</row>
    <row r="245" spans="7:17"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</row>
    <row r="246" spans="7:17"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</row>
    <row r="247" spans="7:17"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</row>
    <row r="248" spans="7:17"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</row>
    <row r="249" spans="7:17"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</row>
    <row r="250" spans="7:17"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</row>
    <row r="251" spans="7:17"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</row>
    <row r="252" spans="7:17"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</row>
    <row r="253" spans="7:17"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</row>
    <row r="254" spans="7:17"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</row>
    <row r="255" spans="7:17"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</row>
    <row r="256" spans="7:17"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</row>
    <row r="257" spans="7:17"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</row>
    <row r="258" spans="7:17"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</row>
    <row r="259" spans="7:17"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</row>
    <row r="260" spans="7:17"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</row>
    <row r="261" spans="7:17"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</row>
    <row r="262" spans="7:17"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</row>
    <row r="263" spans="7:17"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</row>
    <row r="264" spans="7:17"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</row>
    <row r="265" spans="7:17"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</row>
    <row r="266" spans="7:17"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</row>
    <row r="267" spans="7:17"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</row>
    <row r="268" spans="7:17"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</row>
    <row r="269" spans="7:17"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</row>
    <row r="270" spans="7:17"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</row>
    <row r="271" spans="7:17"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</row>
    <row r="272" spans="7:17"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</row>
    <row r="273" spans="7:17"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</row>
    <row r="274" spans="7:17"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</row>
    <row r="275" spans="7:17"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</row>
    <row r="276" spans="7:17"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</row>
    <row r="277" spans="7:17"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</row>
    <row r="278" spans="7:17"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</row>
    <row r="279" spans="7:17"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</row>
    <row r="280" spans="7:17"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</row>
    <row r="281" spans="7:17"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</row>
    <row r="282" spans="7:17"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</row>
    <row r="283" spans="7:17"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</row>
    <row r="284" spans="7:17"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</row>
    <row r="285" spans="7:17"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</row>
    <row r="286" spans="7:17"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</row>
    <row r="287" spans="7:17"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</row>
    <row r="288" spans="7:17"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</row>
    <row r="289" spans="7:17"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</row>
    <row r="290" spans="7:17"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</row>
    <row r="291" spans="7:17"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</row>
    <row r="292" spans="7:17"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</row>
    <row r="293" spans="7:17"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</row>
    <row r="294" spans="7:17"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</row>
    <row r="295" spans="7:17"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</row>
    <row r="296" spans="7:17"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</row>
    <row r="297" spans="7:17"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</row>
    <row r="298" spans="7:17"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</row>
    <row r="299" spans="7:17"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</row>
    <row r="300" spans="7:17"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</row>
    <row r="301" spans="7:17"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</row>
    <row r="302" spans="7:17"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</row>
    <row r="303" spans="7:17"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</row>
    <row r="304" spans="7:17"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</row>
    <row r="305" spans="7:17"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</row>
    <row r="306" spans="7:17"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</row>
    <row r="307" spans="7:17"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</row>
    <row r="308" spans="7:17"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</row>
    <row r="309" spans="7:17"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</row>
    <row r="310" spans="7:17"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</row>
    <row r="311" spans="7:17"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</row>
    <row r="312" spans="7:17"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</row>
    <row r="313" spans="7:17"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</row>
    <row r="314" spans="7:17"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</row>
    <row r="315" spans="7:17"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</row>
    <row r="316" spans="7:17"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</row>
    <row r="317" spans="7:17"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</row>
    <row r="318" spans="7:17"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</row>
    <row r="319" spans="7:17"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</row>
    <row r="320" spans="7:17"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</row>
    <row r="321" spans="7:17"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</row>
    <row r="322" spans="7:17"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</row>
    <row r="323" spans="7:17"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</row>
    <row r="324" spans="7:17"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</row>
    <row r="325" spans="7:17"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</row>
    <row r="326" spans="7:17"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</row>
    <row r="327" spans="7:17"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</row>
    <row r="328" spans="7:17"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</row>
    <row r="329" spans="7:17"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</row>
    <row r="330" spans="7:17"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</row>
    <row r="331" spans="7:17"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</row>
    <row r="332" spans="7:17"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</row>
    <row r="333" spans="7:17"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</row>
    <row r="334" spans="7:17"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</row>
    <row r="335" spans="7:17"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</row>
    <row r="336" spans="7:17"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</row>
    <row r="337" spans="7:17"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</row>
    <row r="338" spans="7:17"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</row>
    <row r="339" spans="7:17"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</row>
    <row r="340" spans="7:17"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</row>
    <row r="341" spans="7:17"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</row>
    <row r="342" spans="7:17"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</row>
    <row r="343" spans="7:17"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</row>
    <row r="344" spans="7:17"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</row>
    <row r="345" spans="7:17"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</row>
    <row r="346" spans="7:17"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</row>
    <row r="347" spans="7:17"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</row>
    <row r="348" spans="7:17"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</row>
    <row r="349" spans="7:17"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</row>
    <row r="350" spans="7:17"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</row>
    <row r="351" spans="7:17"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</row>
    <row r="352" spans="7:17"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</row>
    <row r="353" spans="7:17"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</row>
    <row r="354" spans="7:17"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</row>
    <row r="355" spans="7:17"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</row>
    <row r="356" spans="7:17"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</row>
    <row r="357" spans="7:17"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</row>
    <row r="358" spans="7:17"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</row>
    <row r="359" spans="7:17"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</row>
    <row r="360" spans="7:17"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</row>
    <row r="361" spans="7:17"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</row>
    <row r="362" spans="7:17"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</row>
    <row r="363" spans="7:17"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</row>
    <row r="364" spans="7:17"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</row>
    <row r="365" spans="7:17"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</row>
    <row r="366" spans="7:17"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</row>
    <row r="367" spans="7:17"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</row>
    <row r="368" spans="7:17"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</row>
    <row r="369" spans="7:17"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</row>
    <row r="370" spans="7:17"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</row>
    <row r="371" spans="7:17"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</row>
    <row r="372" spans="7:17"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</row>
    <row r="373" spans="7:17"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</row>
    <row r="374" spans="7:17"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</row>
    <row r="375" spans="7:17"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</row>
    <row r="376" spans="7:17"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</row>
    <row r="377" spans="7:17"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</row>
    <row r="378" spans="7:17"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</row>
    <row r="379" spans="7:17"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</row>
    <row r="380" spans="7:17"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</row>
    <row r="381" spans="7:17"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</row>
    <row r="382" spans="7:17"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</row>
    <row r="383" spans="7:17"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</row>
    <row r="384" spans="7:17"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</row>
    <row r="385" spans="7:17"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</row>
    <row r="386" spans="7:17"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</row>
    <row r="387" spans="7:17"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</row>
    <row r="388" spans="7:17"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</row>
    <row r="389" spans="7:17"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</row>
    <row r="390" spans="7:17"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</row>
    <row r="391" spans="7:17"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</row>
    <row r="392" spans="7:17"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</row>
    <row r="393" spans="7:17"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</row>
    <row r="394" spans="7:17"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</row>
    <row r="395" spans="7:17"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</row>
    <row r="396" spans="7:17"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</row>
    <row r="397" spans="7:17"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</row>
    <row r="398" spans="7:17"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</row>
    <row r="399" spans="7:17"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</row>
    <row r="400" spans="7:17"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</row>
    <row r="401" spans="7:17"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</row>
    <row r="402" spans="7:17"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</row>
    <row r="403" spans="7:17"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</row>
    <row r="404" spans="7:17"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</row>
    <row r="405" spans="7:17"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</row>
    <row r="406" spans="7:17"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</row>
    <row r="407" spans="7:17"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</row>
    <row r="408" spans="7:17"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</row>
    <row r="409" spans="7:17"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</row>
    <row r="410" spans="7:17"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</row>
    <row r="411" spans="7:17"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</row>
    <row r="412" spans="7:17"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</row>
    <row r="413" spans="7:17"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</row>
    <row r="414" spans="7:17"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</row>
    <row r="415" spans="7:17"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</row>
    <row r="416" spans="7:17"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</row>
    <row r="417" spans="7:17"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</row>
    <row r="418" spans="7:17"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</row>
    <row r="419" spans="7:17"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</row>
    <row r="420" spans="7:17"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</row>
    <row r="421" spans="7:17"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</row>
    <row r="422" spans="7:17"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</row>
    <row r="423" spans="7:17"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</row>
    <row r="424" spans="7:17"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</row>
    <row r="425" spans="7:17"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</row>
    <row r="426" spans="7:17"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</row>
    <row r="427" spans="7:17"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</row>
    <row r="428" spans="7:17"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</row>
    <row r="429" spans="7:17"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</row>
    <row r="430" spans="7:17"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</row>
    <row r="431" spans="7:17"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</row>
    <row r="432" spans="7:17"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</row>
    <row r="433" spans="7:17"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</row>
    <row r="434" spans="7:17"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</row>
    <row r="435" spans="7:17"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</row>
    <row r="436" spans="7:17"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</row>
    <row r="437" spans="7:17"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</row>
    <row r="438" spans="7:17"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</row>
    <row r="439" spans="7:17"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</row>
    <row r="440" spans="7:17"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</row>
    <row r="441" spans="7:17"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</row>
    <row r="442" spans="7:17"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</row>
    <row r="443" spans="7:17"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</row>
    <row r="444" spans="7:17"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</row>
    <row r="445" spans="7:17"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</row>
    <row r="446" spans="7:17"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</row>
    <row r="447" spans="7:17"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</row>
    <row r="448" spans="7:17"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</row>
    <row r="449" spans="7:17"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</row>
    <row r="450" spans="7:17"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</row>
    <row r="451" spans="7:17"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</row>
    <row r="452" spans="7:17"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</row>
    <row r="453" spans="7:17"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</row>
    <row r="454" spans="7:17"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</row>
    <row r="455" spans="7:17"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</row>
    <row r="456" spans="7:17"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</row>
    <row r="457" spans="7:17"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</row>
    <row r="458" spans="7:17"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</row>
    <row r="459" spans="7:17"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</row>
    <row r="460" spans="7:17"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</row>
    <row r="461" spans="7:17"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</row>
    <row r="462" spans="7:17"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</row>
    <row r="463" spans="7:17"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</row>
    <row r="464" spans="7:17"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</row>
    <row r="465" spans="7:17"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</row>
    <row r="466" spans="7:17"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</row>
    <row r="467" spans="7:17"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</row>
    <row r="468" spans="7:17"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</row>
    <row r="469" spans="7:17"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</row>
    <row r="470" spans="7:17"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</row>
    <row r="471" spans="7:17"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</row>
    <row r="472" spans="7:17"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</row>
    <row r="473" spans="7:17"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</row>
    <row r="474" spans="7:17"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</row>
    <row r="475" spans="7:17"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</row>
    <row r="476" spans="7:17"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</row>
    <row r="477" spans="7:17"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</row>
    <row r="478" spans="7:17"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</row>
    <row r="479" spans="7:17"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</row>
    <row r="480" spans="7:17"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</row>
    <row r="481" spans="7:17"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</row>
    <row r="482" spans="7:17"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</row>
    <row r="483" spans="7:17"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</row>
    <row r="484" spans="7:17"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</row>
    <row r="485" spans="7:17"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</row>
    <row r="486" spans="7:17"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</row>
    <row r="487" spans="7:17"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</row>
    <row r="488" spans="7:17"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</row>
    <row r="489" spans="7:17"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</row>
    <row r="490" spans="7:17"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</row>
    <row r="491" spans="7:17"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</row>
    <row r="492" spans="7:17"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</row>
    <row r="493" spans="7:17"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</row>
    <row r="494" spans="7:17"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</row>
    <row r="495" spans="7:17"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</row>
    <row r="496" spans="7:17"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</row>
    <row r="497" spans="7:17"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</row>
    <row r="498" spans="7:17"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</row>
    <row r="499" spans="7:17"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</row>
    <row r="500" spans="7:17"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</row>
    <row r="501" spans="7:17"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</row>
    <row r="502" spans="7:17"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</row>
    <row r="503" spans="7:17"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</row>
    <row r="504" spans="7:17"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</row>
    <row r="505" spans="7:17"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</row>
    <row r="506" spans="7:17"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</row>
    <row r="507" spans="7:17"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</row>
    <row r="508" spans="7:17"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</row>
    <row r="509" spans="7:17"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</row>
    <row r="510" spans="7:17"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</row>
    <row r="511" spans="7:17"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</row>
    <row r="512" spans="7:17"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</row>
    <row r="513" spans="7:17"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</row>
    <row r="514" spans="7:17"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</row>
    <row r="515" spans="7:17"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</row>
    <row r="516" spans="7:17"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</row>
    <row r="517" spans="7:17"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</row>
    <row r="518" spans="7:17"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</row>
    <row r="519" spans="7:17"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</row>
    <row r="520" spans="7:17"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</row>
    <row r="521" spans="7:17"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</row>
    <row r="522" spans="7:17"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</row>
    <row r="523" spans="7:17"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</row>
    <row r="524" spans="7:17"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</row>
    <row r="525" spans="7:17"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</row>
    <row r="526" spans="7:17"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</row>
    <row r="527" spans="7:17"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</row>
    <row r="528" spans="7:17"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</row>
    <row r="529" spans="7:17"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</row>
    <row r="530" spans="7:17"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</row>
    <row r="531" spans="7:17"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</row>
    <row r="532" spans="7:17"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</row>
    <row r="533" spans="7:17"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</row>
    <row r="534" spans="7:17"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</row>
    <row r="535" spans="7:17"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</row>
    <row r="536" spans="7:17"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</row>
    <row r="537" spans="7:17"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</row>
    <row r="538" spans="7:17"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</row>
    <row r="539" spans="7:17"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</row>
    <row r="540" spans="7:17"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</row>
    <row r="541" spans="7:17"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</row>
    <row r="542" spans="7:17"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</row>
    <row r="543" spans="7:17"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</row>
    <row r="544" spans="7:17"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</row>
    <row r="545" spans="7:17"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</row>
    <row r="546" spans="7:17"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</row>
    <row r="547" spans="7:17"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</row>
    <row r="548" spans="7:17"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</row>
    <row r="549" spans="7:17"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</row>
    <row r="550" spans="7:17"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</row>
    <row r="551" spans="7:17"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</row>
    <row r="552" spans="7:17"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</row>
    <row r="553" spans="7:17"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</row>
    <row r="554" spans="7:17"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</row>
    <row r="555" spans="7:17"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</row>
    <row r="556" spans="7:17"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</row>
    <row r="557" spans="7:17"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</row>
    <row r="558" spans="7:17"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</row>
    <row r="559" spans="7:17"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</row>
    <row r="560" spans="7:17"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</row>
    <row r="561" spans="7:17"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</row>
    <row r="562" spans="7:17"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</row>
    <row r="563" spans="7:17"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</row>
    <row r="564" spans="7:17"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</row>
    <row r="565" spans="7:17"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</row>
    <row r="566" spans="7:17"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</row>
    <row r="567" spans="7:17"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</row>
    <row r="568" spans="7:17"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</row>
    <row r="569" spans="7:17"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</row>
    <row r="570" spans="7:17"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</row>
    <row r="571" spans="7:17"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</row>
    <row r="572" spans="7:17"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</row>
    <row r="573" spans="7:17"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</row>
    <row r="574" spans="7:17"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</row>
    <row r="575" spans="7:17"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</row>
    <row r="576" spans="7:17"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</row>
    <row r="577" spans="7:17"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</row>
    <row r="578" spans="7:17"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</row>
    <row r="579" spans="7:17"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</row>
    <row r="580" spans="7:17"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</row>
    <row r="581" spans="7:17"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</row>
    <row r="582" spans="7:17"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</row>
    <row r="583" spans="7:17"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</row>
    <row r="584" spans="7:17"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</row>
    <row r="585" spans="7:17"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</row>
    <row r="586" spans="7:17"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</row>
    <row r="587" spans="7:17"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</row>
    <row r="588" spans="7:17"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</row>
    <row r="589" spans="7:17"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</row>
    <row r="590" spans="7:17"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</row>
    <row r="591" spans="7:17"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</row>
    <row r="592" spans="7:17"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</row>
    <row r="593" spans="7:17"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</row>
    <row r="594" spans="7:17"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</row>
    <row r="595" spans="7:17"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</row>
    <row r="596" spans="7:17"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</row>
    <row r="597" spans="7:17"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</row>
    <row r="598" spans="7:17"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</row>
    <row r="599" spans="7:17"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</row>
    <row r="600" spans="7:17"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</row>
    <row r="601" spans="7:17"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</row>
    <row r="602" spans="7:17"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</row>
    <row r="603" spans="7:17"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</row>
    <row r="604" spans="7:17"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</row>
    <row r="605" spans="7:17"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</row>
    <row r="606" spans="7:17"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</row>
    <row r="607" spans="7:17"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</row>
    <row r="608" spans="7:17"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</row>
    <row r="609" spans="7:17"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</row>
    <row r="610" spans="7:17"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</row>
    <row r="611" spans="7:17"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</row>
    <row r="612" spans="7:17"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</row>
    <row r="613" spans="7:17"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</row>
    <row r="614" spans="7:17"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</row>
    <row r="615" spans="7:17"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</row>
    <row r="616" spans="7:17"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</row>
    <row r="617" spans="7:17"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</row>
    <row r="618" spans="7:17"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</row>
    <row r="619" spans="7:17"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</row>
    <row r="620" spans="7:17"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</row>
    <row r="621" spans="7:17"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</row>
    <row r="622" spans="7:17"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</row>
    <row r="623" spans="7:17"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</row>
    <row r="624" spans="7:17"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</row>
    <row r="625" spans="7:17"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</row>
    <row r="626" spans="7:17"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</row>
    <row r="627" spans="7:17"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</row>
    <row r="628" spans="7:17"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</row>
    <row r="629" spans="7:17"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</row>
    <row r="630" spans="7:17"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</row>
    <row r="631" spans="7:17"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</row>
    <row r="632" spans="7:17"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</row>
    <row r="633" spans="7:17"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</row>
    <row r="634" spans="7:17"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</row>
    <row r="635" spans="7:17"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</row>
    <row r="636" spans="7:17"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</row>
    <row r="637" spans="7:17"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</row>
    <row r="638" spans="7:17"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</row>
    <row r="639" spans="7:17"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</row>
    <row r="640" spans="7:17"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</row>
    <row r="641" spans="7:17"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</row>
    <row r="642" spans="7:17"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</row>
    <row r="643" spans="7:17"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</row>
    <row r="644" spans="7:17"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</row>
    <row r="645" spans="7:17"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</row>
    <row r="646" spans="7:17"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</row>
    <row r="647" spans="7:17"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</row>
    <row r="648" spans="7:17"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</row>
    <row r="649" spans="7:17"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</row>
    <row r="650" spans="7:17"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</row>
    <row r="651" spans="7:17"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</row>
    <row r="652" spans="7:17"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</row>
    <row r="653" spans="7:17"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</row>
    <row r="654" spans="7:17"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</row>
    <row r="655" spans="7:17"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</row>
    <row r="656" spans="7:17"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</row>
    <row r="657" spans="7:17"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</row>
    <row r="658" spans="7:17"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</row>
    <row r="659" spans="7:17"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</row>
    <row r="660" spans="7:17"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</row>
    <row r="661" spans="7:17"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</row>
    <row r="662" spans="7:17"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</row>
    <row r="663" spans="7:17"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</row>
    <row r="664" spans="7:17"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</row>
    <row r="665" spans="7:17"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</row>
    <row r="666" spans="7:17"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</row>
    <row r="667" spans="7:17"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</row>
    <row r="668" spans="7:17"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</row>
    <row r="669" spans="7:17"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</row>
    <row r="670" spans="7:17"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</row>
    <row r="671" spans="7:17"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</row>
    <row r="672" spans="7:17"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</row>
    <row r="673" spans="7:17"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</row>
    <row r="674" spans="7:17"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</row>
    <row r="675" spans="7:17"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</row>
    <row r="676" spans="7:17"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</row>
    <row r="677" spans="7:17"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</row>
    <row r="678" spans="7:17"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</row>
    <row r="679" spans="7:17"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</row>
    <row r="680" spans="7:17"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</row>
    <row r="681" spans="7:17"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</row>
    <row r="682" spans="7:17"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</row>
    <row r="683" spans="7:17"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</row>
    <row r="684" spans="7:17"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</row>
    <row r="685" spans="7:17"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</row>
    <row r="686" spans="7:17"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</row>
    <row r="687" spans="7:17"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</row>
    <row r="688" spans="7:17"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</row>
    <row r="689" spans="7:17"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</row>
    <row r="690" spans="7:17"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</row>
    <row r="691" spans="7:17"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</row>
    <row r="692" spans="7:17"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</row>
    <row r="693" spans="7:17"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</row>
    <row r="694" spans="7:17"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</row>
    <row r="695" spans="7:17"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</row>
    <row r="696" spans="7:17"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</row>
    <row r="697" spans="7:17"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</row>
    <row r="698" spans="7:17"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</row>
    <row r="699" spans="7:17"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</row>
    <row r="700" spans="7:17"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</row>
    <row r="701" spans="7:17"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</row>
    <row r="702" spans="7:17"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</row>
    <row r="703" spans="7:17"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</row>
    <row r="704" spans="7:17"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</row>
    <row r="705" spans="7:17"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</row>
    <row r="706" spans="7:17"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</row>
    <row r="707" spans="7:17"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</row>
    <row r="708" spans="7:17"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</row>
    <row r="709" spans="7:17"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</row>
    <row r="710" spans="7:17"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</row>
    <row r="711" spans="7:17"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</row>
    <row r="712" spans="7:17"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</row>
    <row r="713" spans="7:17"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</row>
    <row r="714" spans="7:17"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</row>
    <row r="715" spans="7:17"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</row>
    <row r="716" spans="7:17"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</row>
    <row r="717" spans="7:17"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</row>
    <row r="718" spans="7:17"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</row>
    <row r="719" spans="7:17"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</row>
    <row r="720" spans="7:17"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</row>
    <row r="721" spans="7:17"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</row>
    <row r="722" spans="7:17"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</row>
    <row r="723" spans="7:17"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</row>
    <row r="724" spans="7:17"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</row>
    <row r="725" spans="7:17"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</row>
    <row r="726" spans="7:17"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</row>
    <row r="727" spans="7:17"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</row>
    <row r="728" spans="7:17"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</row>
    <row r="729" spans="7:17"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</row>
    <row r="730" spans="7:17"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</row>
    <row r="731" spans="7:17"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</row>
    <row r="732" spans="7:17"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</row>
    <row r="733" spans="7:17"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</row>
    <row r="734" spans="7:17"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</row>
    <row r="735" spans="7:17"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</row>
    <row r="736" spans="7:17"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</row>
    <row r="737" spans="7:17"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</row>
    <row r="738" spans="7:17"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</row>
    <row r="739" spans="7:17"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</row>
    <row r="740" spans="7:17"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</row>
    <row r="741" spans="7:17"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</row>
    <row r="742" spans="7:17"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</row>
    <row r="743" spans="7:17"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</row>
    <row r="744" spans="7:17"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</row>
    <row r="745" spans="7:17"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</row>
    <row r="746" spans="7:17"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</row>
    <row r="747" spans="7:17"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</row>
    <row r="748" spans="7:17"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</row>
    <row r="749" spans="7:17"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</row>
    <row r="750" spans="7:17"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</row>
    <row r="751" spans="7:17"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</row>
    <row r="752" spans="7:17"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</row>
    <row r="753" spans="7:17"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</row>
    <row r="754" spans="7:17"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</row>
    <row r="755" spans="7:17"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</row>
    <row r="756" spans="7:17"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</row>
    <row r="757" spans="7:17"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</row>
    <row r="758" spans="7:17"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</row>
    <row r="759" spans="7:17"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</row>
    <row r="760" spans="7:17"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</row>
    <row r="761" spans="7:17"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</row>
    <row r="762" spans="7:17"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</row>
    <row r="763" spans="7:17"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</row>
    <row r="764" spans="7:17"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</row>
    <row r="765" spans="7:17"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</row>
    <row r="766" spans="7:17"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</row>
    <row r="767" spans="7:17"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</row>
    <row r="768" spans="7:17"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</row>
    <row r="769" spans="7:17"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</row>
    <row r="770" spans="7:17"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</row>
    <row r="771" spans="7:17"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</row>
    <row r="772" spans="7:17"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</row>
    <row r="773" spans="7:17"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</row>
    <row r="774" spans="7:17"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</row>
    <row r="775" spans="7:17"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</row>
    <row r="776" spans="7:17"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</row>
    <row r="777" spans="7:17"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</row>
    <row r="778" spans="7:17"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</row>
    <row r="779" spans="7:17"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</row>
    <row r="780" spans="7:17"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</row>
    <row r="781" spans="7:17"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</row>
    <row r="782" spans="7:17"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</row>
    <row r="783" spans="7:17"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</row>
    <row r="784" spans="7:17"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</row>
    <row r="785" spans="7:17"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</row>
    <row r="786" spans="7:17"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</row>
    <row r="787" spans="7:17"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</row>
    <row r="788" spans="7:17"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</row>
    <row r="789" spans="7:17"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</row>
    <row r="790" spans="7:17"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</row>
    <row r="791" spans="7:17"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</row>
    <row r="792" spans="7:17"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</row>
    <row r="793" spans="7:17"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</row>
    <row r="794" spans="7:17"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</row>
    <row r="795" spans="7:17"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</row>
    <row r="796" spans="7:17"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</row>
    <row r="797" spans="7:17"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</row>
    <row r="798" spans="7:17"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</row>
    <row r="799" spans="7:17"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</row>
    <row r="800" spans="7:17"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</row>
    <row r="801" spans="7:17"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</row>
    <row r="802" spans="7:17"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</row>
    <row r="803" spans="7:17"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</row>
    <row r="804" spans="7:17"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</row>
    <row r="805" spans="7:17"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</row>
    <row r="806" spans="7:17"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</row>
    <row r="807" spans="7:17"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</row>
    <row r="808" spans="7:17"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</row>
    <row r="809" spans="7:17"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</row>
    <row r="810" spans="7:17"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</row>
    <row r="811" spans="7:17"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</row>
    <row r="812" spans="7:17"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</row>
    <row r="813" spans="7:17"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</row>
    <row r="814" spans="7:17"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</row>
    <row r="815" spans="7:17"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</row>
    <row r="816" spans="7:17"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</row>
    <row r="817" spans="7:17"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</row>
    <row r="818" spans="7:17"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</row>
    <row r="819" spans="7:17"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</row>
    <row r="820" spans="7:17"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</row>
    <row r="821" spans="7:17"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</row>
    <row r="822" spans="7:17"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</row>
    <row r="823" spans="7:17"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</row>
    <row r="824" spans="7:17"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</row>
    <row r="825" spans="7:17"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</row>
    <row r="826" spans="7:17"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</row>
    <row r="827" spans="7:17"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</row>
    <row r="828" spans="7:17"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</row>
    <row r="829" spans="7:17"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</row>
    <row r="830" spans="7:17"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</row>
    <row r="831" spans="7:17"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</row>
    <row r="832" spans="7:17"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</row>
    <row r="833" spans="7:17"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</row>
    <row r="834" spans="7:17"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</row>
    <row r="835" spans="7:17"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</row>
    <row r="836" spans="7:17"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</row>
    <row r="837" spans="7:17"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</row>
    <row r="838" spans="7:17"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</row>
    <row r="839" spans="7:17"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</row>
    <row r="840" spans="7:17"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</row>
    <row r="841" spans="7:17"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</row>
    <row r="842" spans="7:17"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</row>
    <row r="843" spans="7:17"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</row>
    <row r="844" spans="7:17"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</row>
    <row r="845" spans="7:17"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</row>
    <row r="846" spans="7:17"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</row>
    <row r="847" spans="7:17"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</row>
    <row r="848" spans="7:17"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</row>
    <row r="849" spans="7:17"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</row>
    <row r="850" spans="7:17"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</row>
    <row r="851" spans="7:17"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</row>
    <row r="852" spans="7:17"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</row>
    <row r="853" spans="7:17"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</row>
    <row r="854" spans="7:17"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</row>
    <row r="855" spans="7:17"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</row>
    <row r="856" spans="7:17"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</row>
    <row r="857" spans="7:17"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</row>
    <row r="858" spans="7:17"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</row>
    <row r="859" spans="7:17"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</row>
    <row r="860" spans="7:17"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</row>
    <row r="861" spans="7:17"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</row>
    <row r="862" spans="7:17"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</row>
    <row r="863" spans="7:17"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</row>
    <row r="864" spans="7:17"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</row>
    <row r="865" spans="7:17"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</row>
    <row r="866" spans="7:17"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</row>
    <row r="867" spans="7:17"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</row>
    <row r="868" spans="7:17"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</row>
    <row r="869" spans="7:17"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</row>
    <row r="870" spans="7:17"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</row>
    <row r="871" spans="7:17"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</row>
    <row r="872" spans="7:17"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</row>
    <row r="873" spans="7:17"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</row>
    <row r="874" spans="7:17"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</row>
    <row r="875" spans="7:17"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</row>
    <row r="876" spans="7:17"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</row>
    <row r="877" spans="7:17"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</row>
    <row r="878" spans="7:17"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</row>
    <row r="879" spans="7:17"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</row>
    <row r="880" spans="7:17"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</row>
    <row r="881" spans="7:17"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</row>
    <row r="882" spans="7:17"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</row>
    <row r="883" spans="7:17"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</row>
    <row r="884" spans="7:17"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</row>
    <row r="885" spans="7:17"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</row>
    <row r="886" spans="7:17"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</row>
    <row r="887" spans="7:17"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</row>
    <row r="888" spans="7:17"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</row>
    <row r="889" spans="7:17"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</row>
    <row r="890" spans="7:17"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</row>
    <row r="891" spans="7:17"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</row>
    <row r="892" spans="7:17"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</row>
    <row r="893" spans="7:17"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</row>
    <row r="894" spans="7:17"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</row>
    <row r="895" spans="7:17"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</row>
    <row r="896" spans="7:17"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</row>
    <row r="897" spans="7:17"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</row>
    <row r="898" spans="7:17"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</row>
    <row r="899" spans="7:17"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</row>
    <row r="900" spans="7:17"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</row>
    <row r="901" spans="7:17"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</row>
    <row r="902" spans="7:17"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</row>
    <row r="903" spans="7:17"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</row>
    <row r="904" spans="7:17"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</row>
    <row r="905" spans="7:17"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</row>
    <row r="906" spans="7:17"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</row>
    <row r="907" spans="7:17"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</row>
    <row r="908" spans="7:17"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</row>
    <row r="909" spans="7:17"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</row>
    <row r="910" spans="7:17"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</row>
    <row r="911" spans="7:17"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</row>
    <row r="912" spans="7:17"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</row>
    <row r="913" spans="7:17"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</row>
    <row r="914" spans="7:17"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</row>
    <row r="915" spans="7:17"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</row>
    <row r="916" spans="7:17"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</row>
    <row r="917" spans="7:17"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</row>
    <row r="918" spans="7:17"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</row>
    <row r="919" spans="7:17"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</row>
    <row r="920" spans="7:17"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</row>
    <row r="921" spans="7:17"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</row>
    <row r="922" spans="7:17"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</row>
    <row r="923" spans="7:17"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</row>
    <row r="924" spans="7:17"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</row>
    <row r="925" spans="7:17"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</row>
    <row r="926" spans="7:17"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</row>
    <row r="927" spans="7:17"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</row>
    <row r="928" spans="7:17"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</row>
    <row r="929" spans="7:17"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</row>
    <row r="930" spans="7:17"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</row>
    <row r="931" spans="7:17"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</row>
    <row r="932" spans="7:17"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</row>
    <row r="933" spans="7:17"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</row>
    <row r="934" spans="7:17"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</row>
    <row r="935" spans="7:17"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</row>
    <row r="936" spans="7:17"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</row>
    <row r="937" spans="7:17"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</row>
    <row r="938" spans="7:17"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</row>
    <row r="939" spans="7:17"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</row>
    <row r="940" spans="7:17"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</row>
    <row r="941" spans="7:17"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</row>
    <row r="942" spans="7:17"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</row>
    <row r="943" spans="7:17"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</row>
    <row r="944" spans="7:17"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</row>
    <row r="945" spans="7:17"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</row>
    <row r="946" spans="7:17"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</row>
    <row r="947" spans="7:17"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</row>
    <row r="948" spans="7:17"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</row>
    <row r="949" spans="7:17"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</row>
    <row r="950" spans="7:17"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</row>
    <row r="951" spans="7:17"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</row>
    <row r="952" spans="7:17"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</row>
    <row r="953" spans="7:17"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</row>
    <row r="954" spans="7:17"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</row>
    <row r="955" spans="7:17"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</row>
    <row r="956" spans="7:17"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</row>
    <row r="957" spans="7:17"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</row>
    <row r="958" spans="7:17"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</row>
    <row r="959" spans="7:17"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</row>
    <row r="960" spans="7:17"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</row>
    <row r="961" spans="7:17"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</row>
    <row r="962" spans="7:17"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</row>
    <row r="963" spans="7:17"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</row>
    <row r="964" spans="7:17"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</row>
    <row r="965" spans="7:17"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</row>
    <row r="966" spans="7:17"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</row>
    <row r="967" spans="7:17"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</row>
    <row r="968" spans="7:17"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</row>
    <row r="969" spans="7:17"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</row>
    <row r="970" spans="7:17"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</row>
    <row r="971" spans="7:17"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</row>
    <row r="972" spans="7:17"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</row>
    <row r="973" spans="7:17"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</row>
    <row r="974" spans="7:17"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</row>
    <row r="975" spans="7:17"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</row>
    <row r="976" spans="7:17"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</row>
    <row r="977" spans="7:17"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</row>
    <row r="978" spans="7:17"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</row>
    <row r="979" spans="7:17"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</row>
    <row r="980" spans="7:17"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</row>
    <row r="981" spans="7:17"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</row>
    <row r="982" spans="7:17"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</row>
    <row r="983" spans="7:17"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</row>
    <row r="984" spans="7:17"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</row>
    <row r="985" spans="7:17"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</row>
    <row r="986" spans="7:17"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</row>
    <row r="987" spans="7:17"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</row>
    <row r="988" spans="7:17"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</row>
    <row r="989" spans="7:17"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</row>
    <row r="990" spans="7:17"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</row>
    <row r="991" spans="7:17"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</row>
    <row r="992" spans="7:17"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</row>
    <row r="993" spans="7:17"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</row>
    <row r="994" spans="7:17"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</row>
    <row r="995" spans="7:17"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</row>
    <row r="996" spans="7:17"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</row>
    <row r="997" spans="7:17"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</row>
    <row r="998" spans="7:17"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</row>
    <row r="999" spans="7:17"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</row>
    <row r="1000" spans="7:17"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</row>
    <row r="1001" spans="7:17"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</row>
    <row r="1002" spans="7:17"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</row>
    <row r="1003" spans="7:17"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</row>
    <row r="1004" spans="7:17"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</row>
    <row r="1005" spans="7:17"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</row>
    <row r="1006" spans="7:17"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</row>
    <row r="1007" spans="7:17"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</row>
    <row r="1008" spans="7:17"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</row>
    <row r="1009" spans="7:17"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</row>
    <row r="1010" spans="7:17"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</row>
    <row r="1011" spans="7:17"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</row>
    <row r="1012" spans="7:17"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</row>
    <row r="1013" spans="7:17"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</row>
    <row r="1014" spans="7:17"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</row>
    <row r="1015" spans="7:17"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</row>
    <row r="1016" spans="7:17"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</row>
    <row r="1017" spans="7:17"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</row>
    <row r="1018" spans="7:17"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</row>
    <row r="1019" spans="7:17"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</row>
    <row r="1020" spans="7:17"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</row>
    <row r="1021" spans="7:17"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</row>
    <row r="1022" spans="7:17"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</row>
    <row r="1023" spans="7:17"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</row>
    <row r="1024" spans="7:17"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</row>
    <row r="1025" spans="7:17"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</row>
    <row r="1026" spans="7:17"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</row>
    <row r="1027" spans="7:17"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</row>
    <row r="1028" spans="7:17"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</row>
    <row r="1029" spans="7:17"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</row>
    <row r="1030" spans="7:17"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</row>
    <row r="1031" spans="7:17"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</row>
    <row r="1032" spans="7:17"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</row>
    <row r="1033" spans="7:17"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</row>
    <row r="1034" spans="7:17"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</row>
    <row r="1035" spans="7:17"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</row>
    <row r="1036" spans="7:17"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</row>
    <row r="1037" spans="7:17"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</row>
    <row r="1038" spans="7:17"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</row>
    <row r="1039" spans="7:17"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</row>
    <row r="1040" spans="7:17"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</row>
    <row r="1041" spans="7:17"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</row>
    <row r="1042" spans="7:17"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</row>
    <row r="1043" spans="7:17"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</row>
    <row r="1044" spans="7:17"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</row>
    <row r="1045" spans="7:17"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</row>
    <row r="1046" spans="7:17"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</row>
    <row r="1047" spans="7:17"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</row>
    <row r="1048" spans="7:17"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</row>
    <row r="1049" spans="7:17"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</row>
    <row r="1050" spans="7:17"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</row>
    <row r="1051" spans="7:17"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</row>
    <row r="1052" spans="7:17"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</row>
    <row r="1053" spans="7:17"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</row>
    <row r="1054" spans="7:17"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</row>
    <row r="1055" spans="7:17"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</row>
    <row r="1056" spans="7:17"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</row>
    <row r="1057" spans="7:17"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</row>
    <row r="1058" spans="7:17"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</row>
    <row r="1059" spans="7:17"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</row>
    <row r="1060" spans="7:17"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</row>
    <row r="1061" spans="7:17"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</row>
    <row r="1062" spans="7:17"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</row>
    <row r="1063" spans="7:17"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</row>
    <row r="1064" spans="7:17"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</row>
    <row r="1065" spans="7:17"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</row>
    <row r="1066" spans="7:17"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</row>
    <row r="1067" spans="7:17"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</row>
    <row r="1068" spans="7:17"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</row>
    <row r="1069" spans="7:17"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</row>
    <row r="1070" spans="7:17"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</row>
    <row r="1071" spans="7:17"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</row>
    <row r="1072" spans="7:17"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</row>
    <row r="1073" spans="7:17"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</row>
    <row r="1074" spans="7:17"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</row>
    <row r="1075" spans="7:17"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</row>
    <row r="1076" spans="7:17"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</row>
    <row r="1077" spans="7:17"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</row>
    <row r="1078" spans="7:17"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</row>
    <row r="1079" spans="7:17"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</row>
    <row r="1080" spans="7:17"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</row>
    <row r="1081" spans="7:17"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</row>
    <row r="1082" spans="7:17"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</row>
    <row r="1083" spans="7:17"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</row>
    <row r="1084" spans="7:17"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</row>
    <row r="1085" spans="7:17"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</row>
    <row r="1086" spans="7:17"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</row>
    <row r="1087" spans="7:17"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</row>
  </sheetData>
  <mergeCells count="8">
    <mergeCell ref="E148:R148"/>
    <mergeCell ref="F7:P7"/>
    <mergeCell ref="E88:R88"/>
    <mergeCell ref="A1:R1"/>
    <mergeCell ref="A2:R2"/>
    <mergeCell ref="A54:R54"/>
    <mergeCell ref="E4:R4"/>
    <mergeCell ref="E55:R55"/>
  </mergeCells>
  <phoneticPr fontId="59" type="noConversion"/>
  <pageMargins left="0.5" right="0.5" top="0.63" bottom="0.5" header="0.5" footer="0.5"/>
  <pageSetup scale="71" fitToHeight="2" orientation="landscape" r:id="rId1"/>
  <headerFooter scaleWithDoc="0" alignWithMargins="0">
    <oddHeader>&amp;RExhibit No. __(EMA-6)</oddHeader>
    <oddFooter>&amp;RPage &amp;P of &amp;N</oddFooter>
  </headerFooter>
  <rowBreaks count="3" manualBreakCount="3">
    <brk id="53" max="19" man="1"/>
    <brk id="84" max="19" man="1"/>
    <brk id="142" max="19" man="1"/>
  </rowBreaks>
  <ignoredErrors>
    <ignoredError sqref="F75:I75 G60:I60 N60:P60 F25:F26 F45 G61:P61 F16:F18 F36 K75:P75 F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zoomScaleNormal="100" zoomScaleSheetLayoutView="100" workbookViewId="0">
      <selection activeCell="E10" sqref="E10"/>
    </sheetView>
  </sheetViews>
  <sheetFormatPr defaultRowHeight="12.75"/>
  <cols>
    <col min="1" max="1" width="25.28515625" customWidth="1"/>
    <col min="2" max="2" width="12.28515625" customWidth="1"/>
    <col min="3" max="7" width="10.42578125" customWidth="1"/>
    <col min="8" max="8" width="10.85546875" customWidth="1"/>
    <col min="9" max="9" width="10.7109375" customWidth="1"/>
    <col min="10" max="10" width="1.42578125" customWidth="1"/>
  </cols>
  <sheetData>
    <row r="1" spans="1:10">
      <c r="A1" s="964" t="s">
        <v>729</v>
      </c>
      <c r="B1" s="964"/>
      <c r="C1" s="964"/>
      <c r="D1" s="964"/>
      <c r="I1" s="776"/>
      <c r="J1" s="604"/>
    </row>
    <row r="2" spans="1:10">
      <c r="A2" s="604"/>
      <c r="B2" s="832">
        <v>2007</v>
      </c>
      <c r="C2" s="832">
        <v>2008</v>
      </c>
      <c r="D2" s="778">
        <v>2009</v>
      </c>
      <c r="E2" s="778">
        <v>2010</v>
      </c>
      <c r="F2" s="778">
        <v>2011</v>
      </c>
      <c r="G2" s="778">
        <v>2012</v>
      </c>
      <c r="H2" s="778">
        <v>2013</v>
      </c>
      <c r="I2" s="778">
        <v>2014</v>
      </c>
    </row>
    <row r="3" spans="1:10">
      <c r="A3" s="604" t="s">
        <v>686</v>
      </c>
      <c r="B3" s="831">
        <f>'Cost Trends'!M78</f>
        <v>870835</v>
      </c>
      <c r="C3" s="831">
        <f>'Cost Trends'!N78</f>
        <v>917247</v>
      </c>
      <c r="D3" s="238">
        <f>'Cost Trends'!O78</f>
        <v>987243</v>
      </c>
      <c r="E3" s="238">
        <f>'Cost Trends'!P78</f>
        <v>1036064</v>
      </c>
      <c r="F3" s="238">
        <f>'Cost Trends'!Q78</f>
        <v>1087141</v>
      </c>
      <c r="G3" s="238">
        <f>'Cost Trends'!R78</f>
        <v>1131570</v>
      </c>
      <c r="H3" s="238">
        <f>'Cost Trends'!S78</f>
        <v>1195010</v>
      </c>
      <c r="I3" s="831">
        <f>'Cost Trends'!T78</f>
        <v>1214504</v>
      </c>
    </row>
    <row r="4" spans="1:10">
      <c r="A4" s="604"/>
      <c r="B4" s="604"/>
      <c r="C4" s="604"/>
      <c r="D4" s="604"/>
      <c r="E4" s="604"/>
      <c r="F4" s="604"/>
      <c r="G4" s="604"/>
      <c r="I4" s="610" t="s">
        <v>723</v>
      </c>
    </row>
    <row r="5" spans="1:10">
      <c r="A5" s="604"/>
      <c r="B5" s="868" t="s">
        <v>754</v>
      </c>
      <c r="C5" s="868" t="s">
        <v>753</v>
      </c>
      <c r="D5" s="604"/>
      <c r="E5" s="604"/>
      <c r="F5" s="604"/>
      <c r="G5" s="604"/>
    </row>
    <row r="6" spans="1:10" ht="13.5" thickBot="1">
      <c r="A6" s="604" t="s">
        <v>696</v>
      </c>
      <c r="B6" s="2"/>
      <c r="C6" s="2">
        <v>51080</v>
      </c>
      <c r="D6" s="604"/>
      <c r="E6" s="604"/>
      <c r="F6" s="604"/>
      <c r="G6" s="604"/>
    </row>
    <row r="7" spans="1:10" ht="13.5" thickBot="1">
      <c r="A7" s="604" t="s">
        <v>690</v>
      </c>
      <c r="B7" s="869">
        <v>0</v>
      </c>
      <c r="C7" s="790">
        <f>C6/I3</f>
        <v>4.2058321751101684E-2</v>
      </c>
      <c r="D7" s="604"/>
      <c r="E7" s="604"/>
      <c r="F7" s="604"/>
      <c r="G7" s="604"/>
    </row>
    <row r="8" spans="1:10" ht="13.5" thickBot="1">
      <c r="A8" s="604" t="s">
        <v>697</v>
      </c>
      <c r="B8" s="833">
        <f>2*B7</f>
        <v>0</v>
      </c>
      <c r="C8" s="867">
        <f>C7*2</f>
        <v>8.4116643502203367E-2</v>
      </c>
      <c r="D8" s="604"/>
      <c r="E8" s="775"/>
      <c r="F8" s="604"/>
      <c r="G8" s="604"/>
    </row>
    <row r="9" spans="1:10">
      <c r="A9" s="604"/>
      <c r="B9" s="604"/>
      <c r="C9" s="604"/>
      <c r="D9" s="604"/>
      <c r="E9" s="604"/>
      <c r="F9" s="604"/>
      <c r="G9" s="604"/>
    </row>
    <row r="10" spans="1:10">
      <c r="A10" s="604"/>
      <c r="B10" s="604"/>
      <c r="C10" s="604"/>
      <c r="D10" s="604"/>
      <c r="E10" s="604"/>
      <c r="F10" s="604"/>
      <c r="G10" s="604"/>
    </row>
    <row r="11" spans="1:10">
      <c r="A11" s="604"/>
      <c r="B11" s="604"/>
      <c r="C11" s="604"/>
      <c r="D11" s="604"/>
      <c r="E11" s="604"/>
      <c r="F11" s="604"/>
      <c r="G11" s="604"/>
    </row>
    <row r="12" spans="1:10">
      <c r="A12" s="604"/>
      <c r="B12" s="604"/>
      <c r="C12" s="604"/>
      <c r="D12" s="604"/>
      <c r="E12" s="604"/>
      <c r="F12" s="604"/>
      <c r="G12" s="604"/>
    </row>
    <row r="13" spans="1:10">
      <c r="A13" s="604"/>
      <c r="B13" s="604"/>
      <c r="C13" s="604"/>
      <c r="D13" s="604"/>
      <c r="E13" s="604"/>
      <c r="F13" s="604"/>
      <c r="G13" s="604"/>
    </row>
    <row r="14" spans="1:10">
      <c r="A14" s="604"/>
      <c r="B14" s="604"/>
      <c r="C14" s="604"/>
      <c r="D14" s="604"/>
      <c r="E14" s="604"/>
      <c r="F14" s="604"/>
      <c r="G14" s="604"/>
    </row>
    <row r="15" spans="1:10">
      <c r="A15" s="604"/>
      <c r="B15" s="604"/>
      <c r="C15" s="604"/>
      <c r="D15" s="604"/>
      <c r="E15" s="604"/>
      <c r="F15" s="604"/>
      <c r="G15" s="604"/>
    </row>
    <row r="16" spans="1:10">
      <c r="A16" s="604"/>
      <c r="B16" s="604"/>
      <c r="C16" s="604"/>
      <c r="D16" s="604"/>
      <c r="E16" s="604"/>
      <c r="F16" s="604"/>
      <c r="G16" s="604"/>
    </row>
    <row r="17" spans="1:9">
      <c r="A17" s="604"/>
      <c r="B17" s="604"/>
      <c r="C17" s="604"/>
      <c r="D17" s="604"/>
      <c r="E17" s="604"/>
      <c r="F17" s="604"/>
      <c r="G17" s="604"/>
    </row>
    <row r="18" spans="1:9">
      <c r="A18" s="604"/>
      <c r="B18" s="604"/>
      <c r="C18" s="604"/>
      <c r="D18" s="604"/>
      <c r="E18" s="604"/>
      <c r="F18" s="604"/>
      <c r="G18" s="604"/>
    </row>
    <row r="19" spans="1:9">
      <c r="A19" s="604"/>
      <c r="B19" s="604"/>
      <c r="C19" s="604"/>
      <c r="D19" s="604"/>
      <c r="E19" s="604"/>
      <c r="F19" s="604"/>
      <c r="G19" s="604"/>
    </row>
    <row r="20" spans="1:9">
      <c r="A20" s="604"/>
      <c r="B20" s="604"/>
      <c r="C20" s="604"/>
      <c r="D20" s="604"/>
      <c r="E20" s="604"/>
      <c r="F20" s="604"/>
      <c r="G20" s="604"/>
    </row>
    <row r="21" spans="1:9">
      <c r="A21" s="604"/>
      <c r="B21" s="604"/>
      <c r="C21" s="604"/>
      <c r="D21" s="604"/>
      <c r="E21" s="604"/>
      <c r="F21" s="604"/>
      <c r="G21" s="604"/>
    </row>
    <row r="22" spans="1:9">
      <c r="A22" s="604"/>
      <c r="B22" s="604"/>
      <c r="C22" s="604"/>
      <c r="D22" s="604"/>
      <c r="E22" s="604"/>
      <c r="F22" s="604"/>
      <c r="G22" s="604"/>
    </row>
    <row r="23" spans="1:9">
      <c r="A23" s="604"/>
      <c r="B23" s="604"/>
      <c r="C23" s="604"/>
      <c r="D23" s="604"/>
      <c r="E23" s="604"/>
      <c r="F23" s="604"/>
      <c r="G23" s="604"/>
    </row>
    <row r="24" spans="1:9">
      <c r="A24" s="604"/>
      <c r="B24" s="604"/>
      <c r="C24" s="604"/>
      <c r="D24" s="604"/>
      <c r="E24" s="604"/>
      <c r="F24" s="604"/>
      <c r="G24" s="604"/>
    </row>
    <row r="25" spans="1:9">
      <c r="A25" s="604"/>
      <c r="B25" s="604"/>
      <c r="C25" s="604"/>
      <c r="D25" s="604"/>
      <c r="E25" s="604"/>
      <c r="F25" s="604"/>
      <c r="G25" s="604"/>
    </row>
    <row r="26" spans="1:9">
      <c r="A26" s="604"/>
      <c r="B26" s="604"/>
      <c r="C26" s="604"/>
      <c r="D26" s="604"/>
      <c r="E26" s="604"/>
      <c r="F26" s="604"/>
      <c r="G26" s="604"/>
    </row>
    <row r="27" spans="1:9">
      <c r="A27" s="604"/>
      <c r="B27" s="604"/>
      <c r="C27" s="604"/>
      <c r="D27" s="604"/>
      <c r="E27" s="604"/>
      <c r="F27" s="604"/>
      <c r="G27" s="604"/>
    </row>
    <row r="28" spans="1:9">
      <c r="A28" s="604"/>
      <c r="B28" s="604"/>
      <c r="C28" s="604"/>
      <c r="D28" s="604"/>
      <c r="E28" s="604"/>
      <c r="F28" s="604"/>
      <c r="G28" s="604"/>
    </row>
    <row r="29" spans="1:9">
      <c r="A29" s="604"/>
      <c r="B29" s="604"/>
      <c r="C29" s="604"/>
      <c r="D29" s="604"/>
      <c r="E29" s="604"/>
      <c r="F29" s="604"/>
      <c r="G29" s="604"/>
    </row>
    <row r="30" spans="1:9" ht="13.5" thickBot="1">
      <c r="A30" s="777"/>
      <c r="B30" s="777"/>
      <c r="C30" s="777"/>
      <c r="D30" s="777"/>
      <c r="E30" s="777"/>
      <c r="F30" s="777"/>
      <c r="G30" s="777"/>
      <c r="H30" s="777"/>
      <c r="I30" s="777"/>
    </row>
    <row r="31" spans="1:9" s="604" customFormat="1">
      <c r="A31" s="815" t="s">
        <v>730</v>
      </c>
    </row>
    <row r="32" spans="1:9">
      <c r="B32" s="764">
        <v>2009</v>
      </c>
      <c r="C32" s="764">
        <v>2010</v>
      </c>
      <c r="D32" s="764">
        <v>2011</v>
      </c>
      <c r="E32" s="764">
        <v>2012</v>
      </c>
      <c r="F32" s="764">
        <v>2013</v>
      </c>
      <c r="G32" s="764">
        <v>2014</v>
      </c>
    </row>
    <row r="33" spans="1:8">
      <c r="A33" t="s">
        <v>686</v>
      </c>
      <c r="B33" s="345">
        <f>'Cost Trends'!O130</f>
        <v>987243</v>
      </c>
      <c r="C33" s="345">
        <f>'Cost Trends'!P130</f>
        <v>1036064</v>
      </c>
      <c r="D33" s="345">
        <f>'Cost Trends'!Q130</f>
        <v>1087141</v>
      </c>
      <c r="E33" s="345">
        <f>'Cost Trends'!R130</f>
        <v>1131570</v>
      </c>
      <c r="F33" s="345">
        <f>'Cost Trends'!S130</f>
        <v>1195010</v>
      </c>
      <c r="G33" s="693">
        <f>'Cost Trends'!T130+1741</f>
        <v>1216245</v>
      </c>
      <c r="H33" s="604" t="s">
        <v>722</v>
      </c>
    </row>
    <row r="34" spans="1:8">
      <c r="H34" s="610"/>
    </row>
    <row r="36" spans="1:8">
      <c r="A36" t="s">
        <v>696</v>
      </c>
      <c r="B36" s="2">
        <v>47608</v>
      </c>
    </row>
    <row r="37" spans="1:8" ht="13.5" thickBot="1">
      <c r="A37" t="s">
        <v>690</v>
      </c>
      <c r="B37" s="766">
        <f>B36/G33</f>
        <v>3.9143429161065411E-2</v>
      </c>
    </row>
    <row r="38" spans="1:8" ht="13.5" thickBot="1">
      <c r="A38" t="s">
        <v>697</v>
      </c>
      <c r="B38" s="774">
        <f>B37*2</f>
        <v>7.8286858322130823E-2</v>
      </c>
      <c r="C38" t="s">
        <v>691</v>
      </c>
      <c r="E38" s="775">
        <f>((1+B37)^2)-1</f>
        <v>7.9819066368618463E-2</v>
      </c>
    </row>
  </sheetData>
  <mergeCells count="1">
    <mergeCell ref="A1:D1"/>
  </mergeCells>
  <pageMargins left="0.7" right="0.7" top="0.75" bottom="0.75" header="0.3" footer="0.3"/>
  <pageSetup scale="84" orientation="portrait" r:id="rId1"/>
  <headerFooter scaleWithDoc="0">
    <oddHeader>&amp;RExhibit No. __(EMA-6)</oddHeader>
    <oddFooter>&amp;RPage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zoomScaleNormal="100" zoomScaleSheetLayoutView="115" workbookViewId="0">
      <selection activeCell="P97" sqref="P97"/>
    </sheetView>
  </sheetViews>
  <sheetFormatPr defaultRowHeight="12.75"/>
  <cols>
    <col min="1" max="1" width="26.28515625" customWidth="1"/>
    <col min="2" max="9" width="10.28515625" bestFit="1" customWidth="1"/>
  </cols>
  <sheetData>
    <row r="1" spans="1:9">
      <c r="A1" s="964" t="s">
        <v>729</v>
      </c>
      <c r="B1" s="964"/>
      <c r="C1" s="964"/>
      <c r="D1" s="964"/>
    </row>
    <row r="2" spans="1:9">
      <c r="A2" s="604"/>
      <c r="B2" s="834">
        <v>2007</v>
      </c>
      <c r="C2" s="834">
        <v>2008</v>
      </c>
      <c r="D2" s="764">
        <v>2009</v>
      </c>
      <c r="E2" s="764">
        <v>2010</v>
      </c>
      <c r="F2" s="764">
        <v>2011</v>
      </c>
      <c r="G2" s="764">
        <v>2012</v>
      </c>
      <c r="H2" s="764">
        <v>2013</v>
      </c>
      <c r="I2" s="764">
        <v>2014</v>
      </c>
    </row>
    <row r="3" spans="1:9">
      <c r="A3" s="604" t="s">
        <v>684</v>
      </c>
      <c r="B3" s="831">
        <f>'Cost Trends'!M111</f>
        <v>42949</v>
      </c>
      <c r="C3" s="831">
        <f>'Cost Trends'!N111</f>
        <v>45874</v>
      </c>
      <c r="D3" s="238">
        <f>'Cost Trends'!O111</f>
        <v>48466</v>
      </c>
      <c r="E3" s="238">
        <f>'Cost Trends'!P111</f>
        <v>52270</v>
      </c>
      <c r="F3" s="238">
        <f>'Cost Trends'!Q111</f>
        <v>55304</v>
      </c>
      <c r="G3" s="238">
        <f>'Cost Trends'!R111</f>
        <v>58946</v>
      </c>
      <c r="H3" s="238">
        <f>'Cost Trends'!S111</f>
        <v>60308</v>
      </c>
      <c r="I3" s="238">
        <f>'Cost Trends'!T111</f>
        <v>64456</v>
      </c>
    </row>
    <row r="4" spans="1:9">
      <c r="A4" s="604"/>
      <c r="B4" s="604"/>
      <c r="C4" s="604"/>
      <c r="D4" s="604"/>
      <c r="E4" s="604"/>
      <c r="F4" s="604"/>
      <c r="G4" s="604"/>
    </row>
    <row r="5" spans="1:9">
      <c r="A5" s="604"/>
      <c r="B5" s="604"/>
      <c r="C5" s="604"/>
      <c r="D5" s="604"/>
      <c r="E5" s="604"/>
      <c r="F5" s="604"/>
      <c r="G5" s="604"/>
    </row>
    <row r="6" spans="1:9">
      <c r="A6" s="604" t="s">
        <v>696</v>
      </c>
      <c r="B6" s="2">
        <v>3061.8</v>
      </c>
      <c r="C6" s="604"/>
      <c r="D6" s="604"/>
      <c r="E6" s="604"/>
      <c r="F6" s="604"/>
      <c r="G6" s="604"/>
    </row>
    <row r="7" spans="1:9" ht="13.5" thickBot="1">
      <c r="A7" s="604" t="s">
        <v>690</v>
      </c>
      <c r="B7" s="766">
        <f>B6/I3</f>
        <v>4.7502172024326675E-2</v>
      </c>
      <c r="C7" s="604"/>
      <c r="D7" s="604"/>
      <c r="E7" s="604"/>
      <c r="F7" s="604"/>
      <c r="G7" s="604"/>
    </row>
    <row r="8" spans="1:9" ht="13.5" thickBot="1">
      <c r="A8" s="604" t="s">
        <v>697</v>
      </c>
      <c r="B8" s="833">
        <f>B7*2</f>
        <v>9.500434404865335E-2</v>
      </c>
      <c r="C8" s="604" t="s">
        <v>691</v>
      </c>
      <c r="D8" s="604"/>
      <c r="E8" s="775"/>
      <c r="F8" s="604"/>
      <c r="G8" s="604"/>
    </row>
    <row r="30" spans="1:8">
      <c r="A30" s="505"/>
      <c r="B30" s="505"/>
      <c r="C30" s="505"/>
      <c r="D30" s="505"/>
      <c r="E30" s="505"/>
      <c r="F30" s="505"/>
      <c r="G30" s="505"/>
      <c r="H30" s="505"/>
    </row>
    <row r="31" spans="1:8" ht="13.5" thickBot="1">
      <c r="A31" s="777"/>
      <c r="B31" s="777"/>
      <c r="C31" s="777"/>
      <c r="D31" s="777"/>
      <c r="E31" s="777"/>
      <c r="F31" s="777"/>
      <c r="G31" s="777"/>
      <c r="H31" s="777"/>
    </row>
    <row r="32" spans="1:8">
      <c r="A32" s="815" t="s">
        <v>724</v>
      </c>
      <c r="B32" s="764">
        <v>2009</v>
      </c>
      <c r="C32" s="764">
        <v>2010</v>
      </c>
      <c r="D32" s="764">
        <v>2011</v>
      </c>
      <c r="E32" s="764">
        <v>2012</v>
      </c>
      <c r="F32" s="764">
        <v>2013</v>
      </c>
      <c r="G32" s="764">
        <v>2014</v>
      </c>
    </row>
    <row r="33" spans="1:7">
      <c r="A33" s="604" t="s">
        <v>684</v>
      </c>
      <c r="B33" s="345">
        <f>'Cost Trends'!O111</f>
        <v>48466</v>
      </c>
      <c r="C33" s="345">
        <f>'Cost Trends'!P111</f>
        <v>52270</v>
      </c>
      <c r="D33" s="345">
        <f>'Cost Trends'!Q111</f>
        <v>55304</v>
      </c>
      <c r="E33" s="345">
        <f>'Cost Trends'!R111</f>
        <v>58946</v>
      </c>
      <c r="F33" s="345">
        <f>'Cost Trends'!S111</f>
        <v>60308</v>
      </c>
      <c r="G33" s="345">
        <f>'Cost Trends'!T111</f>
        <v>64456</v>
      </c>
    </row>
    <row r="36" spans="1:7">
      <c r="A36" s="604" t="s">
        <v>696</v>
      </c>
      <c r="B36" s="2">
        <v>3077.3</v>
      </c>
      <c r="C36" s="604"/>
    </row>
    <row r="37" spans="1:7" ht="13.5" thickBot="1">
      <c r="A37" s="604" t="s">
        <v>690</v>
      </c>
      <c r="B37" s="766">
        <f>B36/G33</f>
        <v>4.7742646146208267E-2</v>
      </c>
      <c r="C37" s="604"/>
    </row>
    <row r="38" spans="1:7" ht="13.5" thickBot="1">
      <c r="A38" s="604" t="s">
        <v>697</v>
      </c>
      <c r="B38" s="774">
        <f>B37*2</f>
        <v>9.5485292292416535E-2</v>
      </c>
      <c r="C38" s="604" t="s">
        <v>691</v>
      </c>
      <c r="E38" s="775">
        <f>((1+B37)^2)-1</f>
        <v>9.7764652553458564E-2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Normal="100" zoomScaleSheetLayoutView="130" workbookViewId="0">
      <selection activeCell="P97" sqref="P97"/>
    </sheetView>
  </sheetViews>
  <sheetFormatPr defaultRowHeight="12.75"/>
  <cols>
    <col min="1" max="1" width="25.5703125" customWidth="1"/>
    <col min="2" max="9" width="10.28515625" bestFit="1" customWidth="1"/>
  </cols>
  <sheetData>
    <row r="1" spans="1:9">
      <c r="A1" s="964" t="s">
        <v>729</v>
      </c>
      <c r="B1" s="964"/>
      <c r="C1" s="964"/>
      <c r="D1" s="964"/>
    </row>
    <row r="2" spans="1:9">
      <c r="A2" s="604"/>
      <c r="B2" s="834">
        <v>2007</v>
      </c>
      <c r="C2" s="834">
        <v>2008</v>
      </c>
      <c r="D2" s="764">
        <v>2009</v>
      </c>
      <c r="E2" s="764">
        <v>2010</v>
      </c>
      <c r="F2" s="764">
        <v>2011</v>
      </c>
      <c r="G2" s="764">
        <v>2012</v>
      </c>
      <c r="H2" s="764">
        <v>2013</v>
      </c>
      <c r="I2" s="764">
        <v>2014</v>
      </c>
    </row>
    <row r="3" spans="1:9">
      <c r="A3" s="604" t="s">
        <v>685</v>
      </c>
      <c r="B3" s="831">
        <f>'Cost Trends'!M127</f>
        <v>24422.193309601087</v>
      </c>
      <c r="C3" s="831">
        <f>'Cost Trends'!N127</f>
        <v>25215.167948905873</v>
      </c>
      <c r="D3" s="238">
        <f>'Cost Trends'!O127</f>
        <v>26617.424405821377</v>
      </c>
      <c r="E3" s="238">
        <f>'Cost Trends'!P127</f>
        <v>29412.477627473563</v>
      </c>
      <c r="F3" s="238">
        <f>'Cost Trends'!Q127</f>
        <v>32613.966947797297</v>
      </c>
      <c r="G3" s="238">
        <f>'Cost Trends'!R127</f>
        <v>33700.549684624653</v>
      </c>
      <c r="H3" s="238">
        <f>'Cost Trends'!S127</f>
        <v>36201</v>
      </c>
      <c r="I3" s="238">
        <f>'Cost Trends'!T127</f>
        <v>38403</v>
      </c>
    </row>
    <row r="4" spans="1:9">
      <c r="A4" s="604"/>
      <c r="B4" s="604"/>
      <c r="C4" s="604"/>
      <c r="D4" s="604"/>
      <c r="E4" s="604"/>
      <c r="F4" s="604"/>
      <c r="G4" s="604"/>
      <c r="H4" s="604"/>
    </row>
    <row r="5" spans="1:9">
      <c r="A5" s="604"/>
      <c r="B5" s="604"/>
      <c r="C5" s="604"/>
      <c r="D5" s="604"/>
      <c r="E5" s="604"/>
      <c r="F5" s="604"/>
      <c r="G5" s="604"/>
      <c r="H5" s="604"/>
    </row>
    <row r="6" spans="1:9">
      <c r="A6" s="604" t="s">
        <v>696</v>
      </c>
      <c r="B6" s="2">
        <v>2110.1</v>
      </c>
      <c r="C6" s="604"/>
      <c r="D6" s="604"/>
      <c r="E6" s="604"/>
      <c r="F6" s="604"/>
      <c r="G6" s="604"/>
      <c r="H6" s="604"/>
    </row>
    <row r="7" spans="1:9" ht="13.5" thickBot="1">
      <c r="A7" s="604" t="s">
        <v>690</v>
      </c>
      <c r="B7" s="766">
        <f>B6/I3</f>
        <v>5.4946228159258391E-2</v>
      </c>
      <c r="C7" s="604"/>
      <c r="D7" s="604"/>
      <c r="E7" s="604"/>
      <c r="F7" s="604"/>
      <c r="G7" s="604"/>
      <c r="H7" s="604"/>
    </row>
    <row r="8" spans="1:9" ht="13.5" thickBot="1">
      <c r="A8" s="604" t="s">
        <v>697</v>
      </c>
      <c r="B8" s="833">
        <f>B7*2</f>
        <v>0.10989245631851678</v>
      </c>
      <c r="C8" s="604" t="s">
        <v>691</v>
      </c>
      <c r="D8" s="604"/>
      <c r="E8" s="775"/>
      <c r="F8" s="604"/>
      <c r="G8" s="604"/>
      <c r="H8" s="604"/>
    </row>
    <row r="9" spans="1:9">
      <c r="A9" s="604"/>
      <c r="B9" s="604"/>
      <c r="C9" s="604"/>
      <c r="D9" s="604"/>
      <c r="E9" s="604"/>
      <c r="F9" s="604"/>
      <c r="G9" s="604"/>
      <c r="H9" s="604"/>
    </row>
    <row r="10" spans="1:9">
      <c r="A10" s="604"/>
      <c r="B10" s="604"/>
      <c r="C10" s="604"/>
      <c r="D10" s="604"/>
      <c r="E10" s="604"/>
      <c r="F10" s="604"/>
      <c r="G10" s="604"/>
      <c r="H10" s="604"/>
    </row>
    <row r="11" spans="1:9">
      <c r="A11" s="604"/>
      <c r="B11" s="604"/>
      <c r="C11" s="604"/>
      <c r="D11" s="604"/>
      <c r="E11" s="604"/>
      <c r="F11" s="604"/>
      <c r="G11" s="604"/>
      <c r="H11" s="604"/>
    </row>
    <row r="12" spans="1:9">
      <c r="A12" s="604"/>
      <c r="B12" s="604"/>
      <c r="C12" s="604"/>
      <c r="D12" s="604"/>
      <c r="E12" s="604"/>
      <c r="F12" s="604"/>
      <c r="G12" s="604"/>
      <c r="H12" s="604"/>
    </row>
    <row r="13" spans="1:9">
      <c r="A13" s="604"/>
      <c r="B13" s="604"/>
      <c r="C13" s="604"/>
      <c r="D13" s="604"/>
      <c r="E13" s="604"/>
      <c r="F13" s="604"/>
      <c r="G13" s="604"/>
      <c r="H13" s="604"/>
    </row>
    <row r="14" spans="1:9">
      <c r="A14" s="604"/>
      <c r="B14" s="604"/>
      <c r="C14" s="604"/>
      <c r="D14" s="604"/>
      <c r="E14" s="604"/>
      <c r="F14" s="604"/>
      <c r="G14" s="604"/>
      <c r="H14" s="604"/>
    </row>
    <row r="15" spans="1:9">
      <c r="A15" s="604"/>
      <c r="B15" s="604"/>
      <c r="C15" s="604"/>
      <c r="D15" s="604"/>
      <c r="E15" s="604"/>
      <c r="F15" s="604"/>
      <c r="G15" s="604"/>
      <c r="H15" s="604"/>
    </row>
    <row r="16" spans="1:9">
      <c r="A16" s="604"/>
      <c r="B16" s="604"/>
      <c r="C16" s="604"/>
      <c r="D16" s="604"/>
      <c r="E16" s="604"/>
      <c r="F16" s="604"/>
      <c r="G16" s="604"/>
      <c r="H16" s="604"/>
    </row>
    <row r="17" spans="1:8">
      <c r="A17" s="604"/>
      <c r="B17" s="604"/>
      <c r="C17" s="604"/>
      <c r="D17" s="604"/>
      <c r="E17" s="604"/>
      <c r="F17" s="604"/>
      <c r="G17" s="604"/>
      <c r="H17" s="604"/>
    </row>
    <row r="18" spans="1:8">
      <c r="A18" s="604"/>
      <c r="B18" s="604"/>
      <c r="C18" s="604"/>
      <c r="D18" s="604"/>
      <c r="E18" s="604"/>
      <c r="F18" s="604"/>
      <c r="G18" s="604"/>
      <c r="H18" s="604"/>
    </row>
    <row r="19" spans="1:8">
      <c r="A19" s="604"/>
      <c r="B19" s="604"/>
      <c r="C19" s="604"/>
      <c r="D19" s="604"/>
      <c r="E19" s="604"/>
      <c r="F19" s="604"/>
      <c r="G19" s="604"/>
      <c r="H19" s="604"/>
    </row>
    <row r="20" spans="1:8">
      <c r="A20" s="604"/>
      <c r="B20" s="604"/>
      <c r="C20" s="604"/>
      <c r="D20" s="604"/>
      <c r="E20" s="604"/>
      <c r="F20" s="604"/>
      <c r="G20" s="604"/>
      <c r="H20" s="604"/>
    </row>
    <row r="21" spans="1:8">
      <c r="A21" s="604"/>
      <c r="B21" s="604"/>
      <c r="C21" s="604"/>
      <c r="D21" s="604"/>
      <c r="E21" s="604"/>
      <c r="F21" s="604"/>
      <c r="G21" s="604"/>
      <c r="H21" s="604"/>
    </row>
    <row r="22" spans="1:8">
      <c r="A22" s="604"/>
      <c r="B22" s="604"/>
      <c r="C22" s="604"/>
      <c r="D22" s="604"/>
      <c r="E22" s="604"/>
      <c r="F22" s="604"/>
      <c r="G22" s="604"/>
      <c r="H22" s="604"/>
    </row>
    <row r="23" spans="1:8">
      <c r="A23" s="604"/>
      <c r="B23" s="604"/>
      <c r="C23" s="604"/>
      <c r="D23" s="604"/>
      <c r="E23" s="604"/>
      <c r="F23" s="604"/>
      <c r="G23" s="604"/>
      <c r="H23" s="604"/>
    </row>
    <row r="24" spans="1:8">
      <c r="A24" s="604"/>
      <c r="B24" s="604"/>
      <c r="C24" s="604"/>
      <c r="D24" s="604"/>
      <c r="E24" s="604"/>
      <c r="F24" s="604"/>
      <c r="G24" s="604"/>
      <c r="H24" s="604"/>
    </row>
    <row r="25" spans="1:8">
      <c r="A25" s="604"/>
      <c r="B25" s="604"/>
      <c r="C25" s="604"/>
      <c r="D25" s="604"/>
      <c r="E25" s="604"/>
      <c r="F25" s="604"/>
      <c r="G25" s="604"/>
      <c r="H25" s="604"/>
    </row>
    <row r="26" spans="1:8">
      <c r="A26" s="604"/>
      <c r="B26" s="604"/>
      <c r="C26" s="604"/>
      <c r="D26" s="604"/>
      <c r="E26" s="604"/>
      <c r="F26" s="604"/>
      <c r="G26" s="604"/>
      <c r="H26" s="604"/>
    </row>
    <row r="27" spans="1:8">
      <c r="A27" s="604"/>
      <c r="B27" s="604"/>
      <c r="C27" s="604"/>
      <c r="D27" s="604"/>
      <c r="E27" s="604"/>
      <c r="F27" s="604"/>
      <c r="G27" s="604"/>
      <c r="H27" s="604"/>
    </row>
    <row r="28" spans="1:8">
      <c r="A28" s="604"/>
      <c r="B28" s="604"/>
      <c r="C28" s="604"/>
      <c r="D28" s="604"/>
      <c r="E28" s="604"/>
      <c r="F28" s="604"/>
      <c r="G28" s="604"/>
      <c r="H28" s="604"/>
    </row>
    <row r="29" spans="1:8">
      <c r="A29" s="604"/>
      <c r="B29" s="604"/>
      <c r="C29" s="604"/>
      <c r="D29" s="604"/>
      <c r="E29" s="604"/>
      <c r="F29" s="604"/>
      <c r="G29" s="604"/>
      <c r="H29" s="604"/>
    </row>
    <row r="31" spans="1:8">
      <c r="A31" s="505"/>
      <c r="B31" s="505"/>
      <c r="C31" s="505"/>
      <c r="D31" s="505"/>
      <c r="E31" s="505"/>
      <c r="F31" s="505"/>
      <c r="G31" s="505"/>
      <c r="H31" s="505"/>
    </row>
    <row r="32" spans="1:8" ht="13.5" thickBot="1">
      <c r="A32" s="777"/>
      <c r="B32" s="777"/>
      <c r="C32" s="777"/>
      <c r="D32" s="777"/>
      <c r="E32" s="777"/>
      <c r="F32" s="777"/>
      <c r="G32" s="777"/>
      <c r="H32" s="777"/>
    </row>
    <row r="33" spans="1:7" s="604" customFormat="1">
      <c r="A33" s="815" t="s">
        <v>724</v>
      </c>
      <c r="B33" s="764">
        <v>2009</v>
      </c>
      <c r="C33" s="764">
        <v>2010</v>
      </c>
      <c r="D33" s="764">
        <v>2011</v>
      </c>
      <c r="E33" s="764">
        <v>2012</v>
      </c>
      <c r="F33" s="764">
        <v>2013</v>
      </c>
      <c r="G33" s="764">
        <v>2014</v>
      </c>
    </row>
    <row r="34" spans="1:7" s="604" customFormat="1">
      <c r="A34" s="604" t="s">
        <v>685</v>
      </c>
      <c r="B34" s="345">
        <f>'Cost Trends'!O127</f>
        <v>26617.424405821377</v>
      </c>
      <c r="C34" s="345">
        <f>'Cost Trends'!P127</f>
        <v>29412.477627473563</v>
      </c>
      <c r="D34" s="345">
        <f>'Cost Trends'!Q127</f>
        <v>32613.966947797297</v>
      </c>
      <c r="E34" s="345">
        <f>'Cost Trends'!R127</f>
        <v>33700.549684624653</v>
      </c>
      <c r="F34" s="345">
        <f>'Cost Trends'!S127</f>
        <v>36201</v>
      </c>
      <c r="G34" s="345">
        <f>'Cost Trends'!T127</f>
        <v>38403</v>
      </c>
    </row>
    <row r="37" spans="1:7">
      <c r="A37" s="604" t="s">
        <v>696</v>
      </c>
      <c r="B37" s="2">
        <v>2296.6</v>
      </c>
      <c r="C37" s="604"/>
    </row>
    <row r="38" spans="1:7" ht="13.5" thickBot="1">
      <c r="A38" s="604" t="s">
        <v>690</v>
      </c>
      <c r="B38" s="766">
        <f>B37/G34</f>
        <v>5.9802619587011427E-2</v>
      </c>
      <c r="C38" s="604"/>
    </row>
    <row r="39" spans="1:7" ht="13.5" thickBot="1">
      <c r="A39" s="604" t="s">
        <v>697</v>
      </c>
      <c r="B39" s="774">
        <f>B38*2</f>
        <v>0.11960523917402285</v>
      </c>
      <c r="C39" s="604" t="s">
        <v>691</v>
      </c>
      <c r="E39" s="775">
        <f>((1+B38)^2)-1</f>
        <v>0.12318159248349159</v>
      </c>
    </row>
  </sheetData>
  <mergeCells count="1">
    <mergeCell ref="A1:D1"/>
  </mergeCells>
  <pageMargins left="0.7" right="0.7" top="0.75" bottom="0.75" header="0.3" footer="0.3"/>
  <pageSetup scale="85" orientation="portrait" r:id="rId1"/>
  <headerFooter scaleWithDoc="0">
    <oddHeader>&amp;RExhibit No. __(EMA-6)</oddHeader>
    <oddFooter>&amp;RPage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view="pageBreakPreview" zoomScale="60" zoomScaleNormal="100" workbookViewId="0">
      <selection activeCell="C7" sqref="C7"/>
    </sheetView>
  </sheetViews>
  <sheetFormatPr defaultRowHeight="12.75"/>
  <cols>
    <col min="1" max="1" width="25.7109375" customWidth="1"/>
  </cols>
  <sheetData>
    <row r="1" spans="1:7" s="604" customFormat="1">
      <c r="B1" s="764">
        <v>2009</v>
      </c>
      <c r="C1" s="764">
        <v>2010</v>
      </c>
      <c r="D1" s="764">
        <v>2011</v>
      </c>
      <c r="E1" s="764">
        <v>2012</v>
      </c>
      <c r="F1" s="764">
        <v>2013</v>
      </c>
      <c r="G1" s="764">
        <v>2014</v>
      </c>
    </row>
    <row r="2" spans="1:7">
      <c r="A2" t="s">
        <v>687</v>
      </c>
      <c r="B2" s="345">
        <f>'Cost Trends'!O140</f>
        <v>2813.6201999999994</v>
      </c>
      <c r="C2" s="345">
        <f>'Cost Trends'!P140</f>
        <v>2813.1288000000004</v>
      </c>
      <c r="D2" s="345">
        <f>'Cost Trends'!Q140</f>
        <v>2812.3060000000005</v>
      </c>
      <c r="E2" s="345">
        <f>'Cost Trends'!R140</f>
        <v>3314.6805999999997</v>
      </c>
      <c r="F2" s="345">
        <f>'Cost Trends'!S140</f>
        <v>3464</v>
      </c>
      <c r="G2" s="345">
        <f>'Cost Trends'!T140</f>
        <v>3478.1931000000004</v>
      </c>
    </row>
    <row r="5" spans="1:7">
      <c r="A5" s="604" t="s">
        <v>696</v>
      </c>
      <c r="B5" s="2">
        <f>165.08</f>
        <v>165.08</v>
      </c>
      <c r="C5" s="604"/>
    </row>
    <row r="6" spans="1:7">
      <c r="A6" s="604" t="s">
        <v>690</v>
      </c>
      <c r="B6" s="766">
        <f>B5/G2</f>
        <v>4.7461424726534016E-2</v>
      </c>
      <c r="C6" s="604"/>
    </row>
    <row r="7" spans="1:7">
      <c r="A7" s="604" t="s">
        <v>697</v>
      </c>
      <c r="B7" s="766">
        <f>B6*2</f>
        <v>9.4922849453068031E-2</v>
      </c>
      <c r="C7" s="604" t="s">
        <v>700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1"/>
  <sheetViews>
    <sheetView zoomScaleNormal="100" zoomScaleSheetLayoutView="85" workbookViewId="0">
      <selection activeCell="E10" sqref="E10"/>
    </sheetView>
  </sheetViews>
  <sheetFormatPr defaultRowHeight="12.75"/>
  <cols>
    <col min="1" max="1" width="35.140625" style="658" customWidth="1"/>
    <col min="2" max="2" width="9.140625" style="658" customWidth="1"/>
    <col min="3" max="3" width="10.140625" style="658" bestFit="1" customWidth="1"/>
    <col min="4" max="4" width="10.28515625" style="658" bestFit="1" customWidth="1"/>
    <col min="5" max="7" width="9.140625" style="658" customWidth="1"/>
    <col min="8" max="9" width="13.42578125" style="658" bestFit="1" customWidth="1"/>
    <col min="10" max="10" width="2" style="658" customWidth="1"/>
    <col min="11" max="16384" width="9.140625" style="658"/>
  </cols>
  <sheetData>
    <row r="1" spans="1:32">
      <c r="A1" s="965" t="s">
        <v>731</v>
      </c>
      <c r="B1" s="965"/>
      <c r="C1" s="965"/>
      <c r="D1" s="965"/>
      <c r="E1" s="965"/>
      <c r="F1" s="965"/>
      <c r="G1" s="965"/>
      <c r="H1" s="965"/>
    </row>
    <row r="2" spans="1:32">
      <c r="B2" s="830">
        <v>2007</v>
      </c>
      <c r="C2" s="830">
        <v>2008</v>
      </c>
      <c r="D2" s="787">
        <v>2009</v>
      </c>
      <c r="E2" s="787">
        <v>2010</v>
      </c>
      <c r="F2" s="787">
        <v>2011</v>
      </c>
      <c r="G2" s="787">
        <v>2012</v>
      </c>
      <c r="H2" s="787">
        <v>2013</v>
      </c>
      <c r="I2" s="787">
        <v>2014</v>
      </c>
    </row>
    <row r="3" spans="1:32">
      <c r="A3" s="658" t="s">
        <v>735</v>
      </c>
      <c r="B3" s="831">
        <f>'Cost Trends'!M104</f>
        <v>92211.7999895299</v>
      </c>
      <c r="C3" s="831">
        <f>'Cost Trends'!N104</f>
        <v>99146.488212752593</v>
      </c>
      <c r="D3" s="238">
        <f>'Cost Trends'!O104</f>
        <v>108289.20367903885</v>
      </c>
      <c r="E3" s="238">
        <f>'Cost Trends'!P104</f>
        <v>113649.52340035603</v>
      </c>
      <c r="F3" s="238">
        <f>'Cost Trends'!Q104</f>
        <v>123418.7529832047</v>
      </c>
      <c r="G3" s="238">
        <f>'Cost Trends'!R104</f>
        <v>134594.49114962851</v>
      </c>
      <c r="H3" s="238">
        <f>'Cost Trends'!S104</f>
        <v>128510</v>
      </c>
      <c r="I3" s="238">
        <f>'Cost Trends'!T104</f>
        <v>130891</v>
      </c>
    </row>
    <row r="4" spans="1:32">
      <c r="A4" s="788" t="s">
        <v>725</v>
      </c>
      <c r="B4" s="831">
        <v>-9711</v>
      </c>
      <c r="C4" s="831">
        <v>-10953</v>
      </c>
      <c r="D4" s="831">
        <v>-15669</v>
      </c>
      <c r="E4" s="831">
        <v>-14095</v>
      </c>
      <c r="F4" s="831">
        <v>-16820</v>
      </c>
      <c r="G4" s="831">
        <v>-19041</v>
      </c>
      <c r="H4" s="831">
        <v>-18709</v>
      </c>
      <c r="I4" s="831">
        <v>-14095</v>
      </c>
    </row>
    <row r="5" spans="1:32" ht="13.5" thickBot="1">
      <c r="B5" s="789">
        <f>SUM(B3:B4)</f>
        <v>82500.7999895299</v>
      </c>
      <c r="C5" s="789">
        <f t="shared" ref="C5:I5" si="0">SUM(C3:C4)</f>
        <v>88193.488212752593</v>
      </c>
      <c r="D5" s="789">
        <f t="shared" si="0"/>
        <v>92620.203679038852</v>
      </c>
      <c r="E5" s="789">
        <f t="shared" si="0"/>
        <v>99554.523400356033</v>
      </c>
      <c r="F5" s="789">
        <f t="shared" si="0"/>
        <v>106598.7529832047</v>
      </c>
      <c r="G5" s="789">
        <f t="shared" si="0"/>
        <v>115553.49114962851</v>
      </c>
      <c r="H5" s="789">
        <f t="shared" si="0"/>
        <v>109801</v>
      </c>
      <c r="I5" s="789">
        <f t="shared" si="0"/>
        <v>116796</v>
      </c>
    </row>
    <row r="7" spans="1:32">
      <c r="B7" s="787" t="s">
        <v>692</v>
      </c>
      <c r="C7" s="787" t="s">
        <v>726</v>
      </c>
      <c r="D7" s="787" t="s">
        <v>694</v>
      </c>
    </row>
    <row r="8" spans="1:32">
      <c r="A8" s="658" t="s">
        <v>727</v>
      </c>
      <c r="B8" s="346">
        <v>5047</v>
      </c>
      <c r="C8" s="845">
        <f>B8/I5</f>
        <v>4.321209630466797E-2</v>
      </c>
      <c r="D8" s="846">
        <f>C8*2</f>
        <v>8.642419260933594E-2</v>
      </c>
    </row>
    <row r="9" spans="1:32" ht="13.5" thickBot="1">
      <c r="A9" s="791" t="s">
        <v>728</v>
      </c>
      <c r="B9" s="730">
        <v>6995</v>
      </c>
      <c r="C9" s="848">
        <f>B9/I5</f>
        <v>5.989074968320833E-2</v>
      </c>
      <c r="D9" s="847">
        <f>C9*2</f>
        <v>0.11978149936641666</v>
      </c>
    </row>
    <row r="10" spans="1:32" ht="13.5" thickBot="1">
      <c r="A10" s="788" t="s">
        <v>31</v>
      </c>
      <c r="C10" s="849">
        <v>3.2099999999999997E-2</v>
      </c>
      <c r="D10" s="841">
        <f>2*C10</f>
        <v>6.4199999999999993E-2</v>
      </c>
      <c r="E10" s="658" t="s">
        <v>742</v>
      </c>
    </row>
    <row r="12" spans="1:32">
      <c r="W12" s="803"/>
      <c r="X12" s="803"/>
      <c r="Y12" s="803"/>
      <c r="Z12" s="803"/>
      <c r="AA12" s="803"/>
      <c r="AB12" s="803"/>
      <c r="AC12" s="803"/>
      <c r="AD12" s="803"/>
      <c r="AE12" s="803"/>
      <c r="AF12" s="803"/>
    </row>
    <row r="13" spans="1:32">
      <c r="W13" s="803"/>
      <c r="X13" s="803"/>
      <c r="Y13" s="803"/>
      <c r="Z13" s="803"/>
      <c r="AA13" s="803"/>
      <c r="AB13" s="803"/>
      <c r="AC13" s="803"/>
      <c r="AD13" s="803"/>
      <c r="AE13" s="803"/>
      <c r="AF13" s="803"/>
    </row>
    <row r="14" spans="1:32">
      <c r="W14" s="803"/>
      <c r="X14" s="803"/>
      <c r="Y14" s="803"/>
      <c r="Z14" s="803"/>
      <c r="AA14" s="803"/>
      <c r="AB14" s="803"/>
      <c r="AC14" s="803"/>
      <c r="AD14" s="803"/>
      <c r="AE14" s="803"/>
      <c r="AF14" s="803"/>
    </row>
    <row r="15" spans="1:32">
      <c r="W15" s="803"/>
      <c r="X15" s="803"/>
      <c r="Y15" s="803"/>
      <c r="Z15" s="803"/>
      <c r="AA15" s="803"/>
      <c r="AB15" s="803"/>
      <c r="AC15" s="803"/>
      <c r="AD15" s="803"/>
      <c r="AE15" s="803"/>
      <c r="AF15" s="803"/>
    </row>
    <row r="16" spans="1:32">
      <c r="W16" s="803"/>
      <c r="X16" s="803"/>
      <c r="Y16" s="803"/>
      <c r="Z16" s="803"/>
      <c r="AA16" s="803"/>
      <c r="AB16" s="803"/>
      <c r="AC16" s="803"/>
      <c r="AD16" s="803"/>
      <c r="AE16" s="803"/>
      <c r="AF16" s="803"/>
    </row>
    <row r="17" spans="23:32">
      <c r="W17" s="803"/>
      <c r="X17" s="803"/>
      <c r="Y17" s="803"/>
      <c r="Z17" s="803"/>
      <c r="AA17" s="803"/>
      <c r="AB17" s="803"/>
      <c r="AC17" s="803"/>
      <c r="AD17" s="803"/>
      <c r="AE17" s="803"/>
      <c r="AF17" s="803"/>
    </row>
    <row r="18" spans="23:32">
      <c r="W18" s="803"/>
      <c r="X18" s="803"/>
      <c r="Y18" s="803"/>
      <c r="Z18" s="803"/>
      <c r="AA18" s="803"/>
      <c r="AB18" s="803"/>
      <c r="AC18" s="803"/>
      <c r="AD18" s="803"/>
      <c r="AE18" s="803"/>
      <c r="AF18" s="803"/>
    </row>
    <row r="19" spans="23:32">
      <c r="W19" s="803"/>
      <c r="X19" s="803"/>
      <c r="Y19" s="803"/>
      <c r="Z19" s="803"/>
      <c r="AA19" s="803"/>
      <c r="AB19" s="803"/>
      <c r="AC19" s="803"/>
      <c r="AD19" s="803"/>
      <c r="AE19" s="803"/>
      <c r="AF19" s="803"/>
    </row>
    <row r="20" spans="23:32">
      <c r="W20" s="803"/>
      <c r="X20" s="803"/>
      <c r="Y20" s="803"/>
      <c r="Z20" s="803"/>
      <c r="AA20" s="803"/>
      <c r="AB20" s="803"/>
      <c r="AC20" s="803"/>
      <c r="AD20" s="803"/>
      <c r="AE20" s="803"/>
      <c r="AF20" s="803"/>
    </row>
    <row r="21" spans="23:32">
      <c r="W21" s="803"/>
      <c r="X21" s="803"/>
      <c r="Y21" s="803"/>
      <c r="Z21" s="803"/>
      <c r="AA21" s="803"/>
      <c r="AB21" s="803"/>
      <c r="AC21" s="803"/>
      <c r="AD21" s="803"/>
      <c r="AE21" s="803"/>
      <c r="AF21" s="803"/>
    </row>
    <row r="22" spans="23:32">
      <c r="W22" s="803"/>
      <c r="X22" s="803"/>
      <c r="Y22" s="803"/>
      <c r="Z22" s="803"/>
      <c r="AA22" s="803"/>
      <c r="AB22" s="803"/>
      <c r="AC22" s="803"/>
      <c r="AD22" s="803"/>
      <c r="AE22" s="803"/>
      <c r="AF22" s="803"/>
    </row>
    <row r="23" spans="23:32">
      <c r="W23" s="803"/>
      <c r="X23" s="803"/>
      <c r="Y23" s="803"/>
      <c r="Z23" s="803"/>
      <c r="AA23" s="803"/>
      <c r="AB23" s="803"/>
      <c r="AC23" s="803"/>
      <c r="AD23" s="803"/>
      <c r="AE23" s="803"/>
      <c r="AF23" s="803"/>
    </row>
    <row r="24" spans="23:32">
      <c r="W24" s="803"/>
      <c r="X24" s="803"/>
      <c r="Y24" s="803"/>
      <c r="Z24" s="803"/>
      <c r="AA24" s="803"/>
      <c r="AB24" s="803"/>
      <c r="AC24" s="803"/>
      <c r="AD24" s="803"/>
      <c r="AE24" s="803"/>
      <c r="AF24" s="803"/>
    </row>
    <row r="25" spans="23:32">
      <c r="W25" s="803"/>
      <c r="X25" s="803"/>
      <c r="Y25" s="803"/>
      <c r="Z25" s="803"/>
      <c r="AA25" s="803"/>
      <c r="AB25" s="803"/>
      <c r="AC25" s="803"/>
      <c r="AD25" s="803"/>
      <c r="AE25" s="803"/>
      <c r="AF25" s="803"/>
    </row>
    <row r="26" spans="23:32">
      <c r="W26" s="803"/>
      <c r="X26" s="803"/>
      <c r="Y26" s="803"/>
      <c r="Z26" s="803"/>
      <c r="AA26" s="803"/>
      <c r="AB26" s="803"/>
      <c r="AC26" s="803"/>
      <c r="AD26" s="803"/>
      <c r="AE26" s="803"/>
      <c r="AF26" s="803"/>
    </row>
    <row r="27" spans="23:32">
      <c r="W27" s="803"/>
      <c r="X27" s="803"/>
      <c r="Y27" s="803"/>
      <c r="Z27" s="803"/>
      <c r="AA27" s="803"/>
      <c r="AB27" s="803"/>
      <c r="AC27" s="803"/>
      <c r="AD27" s="803"/>
      <c r="AE27" s="803"/>
      <c r="AF27" s="803"/>
    </row>
    <row r="28" spans="23:32">
      <c r="W28" s="803"/>
      <c r="X28" s="803"/>
      <c r="Y28" s="803"/>
      <c r="Z28" s="803"/>
      <c r="AA28" s="803"/>
      <c r="AB28" s="803"/>
      <c r="AC28" s="803"/>
      <c r="AD28" s="803"/>
      <c r="AE28" s="803"/>
      <c r="AF28" s="803"/>
    </row>
    <row r="29" spans="23:32">
      <c r="W29" s="803"/>
      <c r="X29" s="803"/>
      <c r="Y29" s="803"/>
      <c r="Z29" s="803"/>
      <c r="AA29" s="803"/>
      <c r="AB29" s="803"/>
      <c r="AC29" s="803"/>
      <c r="AD29" s="803"/>
      <c r="AE29" s="803"/>
      <c r="AF29" s="803"/>
    </row>
    <row r="30" spans="23:32">
      <c r="W30" s="803"/>
      <c r="X30" s="803"/>
      <c r="Y30" s="803"/>
      <c r="Z30" s="803"/>
      <c r="AA30" s="803"/>
      <c r="AB30" s="803"/>
      <c r="AC30" s="803"/>
      <c r="AD30" s="803"/>
      <c r="AE30" s="803"/>
      <c r="AF30" s="803"/>
    </row>
    <row r="31" spans="23:32">
      <c r="W31" s="803"/>
      <c r="X31" s="803"/>
      <c r="Y31" s="803"/>
      <c r="Z31" s="803"/>
      <c r="AA31" s="803"/>
      <c r="AB31" s="803"/>
      <c r="AC31" s="803"/>
      <c r="AD31" s="803"/>
      <c r="AE31" s="803"/>
      <c r="AF31" s="803"/>
    </row>
    <row r="32" spans="23:32">
      <c r="W32" s="803"/>
      <c r="X32" s="803"/>
      <c r="Y32" s="803"/>
      <c r="Z32" s="803"/>
      <c r="AA32" s="803"/>
      <c r="AB32" s="803"/>
      <c r="AC32" s="803"/>
      <c r="AD32" s="803"/>
      <c r="AE32" s="803"/>
      <c r="AF32" s="803"/>
    </row>
    <row r="33" spans="1:32" ht="13.5" thickBot="1">
      <c r="A33" s="793"/>
      <c r="B33" s="793"/>
      <c r="C33" s="793"/>
      <c r="D33" s="793"/>
      <c r="E33" s="793"/>
      <c r="F33" s="793"/>
      <c r="G33" s="793"/>
      <c r="H33" s="793"/>
      <c r="W33" s="803"/>
      <c r="X33" s="803"/>
      <c r="Y33" s="803"/>
      <c r="Z33" s="803"/>
      <c r="AA33" s="803"/>
      <c r="AB33" s="803"/>
      <c r="AC33" s="803"/>
      <c r="AD33" s="803"/>
      <c r="AE33" s="803"/>
      <c r="AF33" s="803"/>
    </row>
    <row r="34" spans="1:32">
      <c r="A34" s="816" t="s">
        <v>724</v>
      </c>
      <c r="W34" s="803"/>
      <c r="X34" s="803"/>
      <c r="Y34" s="803"/>
      <c r="Z34" s="803"/>
      <c r="AA34" s="803"/>
      <c r="AB34" s="803"/>
      <c r="AC34" s="803"/>
      <c r="AD34" s="803"/>
      <c r="AE34" s="803"/>
      <c r="AF34" s="803"/>
    </row>
    <row r="35" spans="1:32">
      <c r="B35" s="794">
        <v>2009</v>
      </c>
      <c r="C35" s="794">
        <v>2010</v>
      </c>
      <c r="D35" s="794">
        <v>2011</v>
      </c>
      <c r="E35" s="794">
        <v>2012</v>
      </c>
      <c r="F35" s="794">
        <v>2013</v>
      </c>
      <c r="G35" s="794">
        <v>2014</v>
      </c>
      <c r="W35" s="803"/>
      <c r="X35" s="803"/>
      <c r="Y35" s="803"/>
      <c r="Z35" s="803"/>
      <c r="AA35" s="803"/>
      <c r="AB35" s="803"/>
      <c r="AC35" s="803"/>
      <c r="AD35" s="803"/>
      <c r="AE35" s="803"/>
      <c r="AF35" s="803"/>
    </row>
    <row r="36" spans="1:32">
      <c r="A36" s="658" t="s">
        <v>707</v>
      </c>
      <c r="B36" s="795">
        <f>'[7]Cost Trends'!O103</f>
        <v>108289.20367903885</v>
      </c>
      <c r="C36" s="795">
        <f>'[7]Cost Trends'!P103</f>
        <v>113649.52340035603</v>
      </c>
      <c r="F36" s="795">
        <f>'[7]Cost Trends'!S103</f>
        <v>128510</v>
      </c>
      <c r="G36" s="795">
        <f>'[7]Cost Trends'!T103</f>
        <v>130891</v>
      </c>
      <c r="H36" s="795"/>
      <c r="W36" s="803"/>
      <c r="X36" s="803"/>
      <c r="Y36" s="803"/>
      <c r="Z36" s="803"/>
      <c r="AA36" s="803"/>
      <c r="AB36" s="803"/>
      <c r="AC36" s="803"/>
      <c r="AD36" s="803"/>
      <c r="AE36" s="803"/>
      <c r="AF36" s="803"/>
    </row>
    <row r="37" spans="1:32">
      <c r="A37" s="658" t="s">
        <v>708</v>
      </c>
      <c r="D37" s="795">
        <f>'[7]Cost Trends'!Q103</f>
        <v>123418.7529832047</v>
      </c>
      <c r="E37" s="795">
        <f>'[7]Cost Trends'!R103</f>
        <v>134594.49114962851</v>
      </c>
      <c r="W37" s="803"/>
      <c r="X37" s="803"/>
      <c r="Y37" s="803"/>
      <c r="Z37" s="803"/>
      <c r="AA37" s="803"/>
      <c r="AB37" s="803"/>
      <c r="AC37" s="803"/>
      <c r="AD37" s="803"/>
      <c r="AE37" s="803"/>
      <c r="AF37" s="803"/>
    </row>
    <row r="38" spans="1:32">
      <c r="A38" s="658" t="s">
        <v>709</v>
      </c>
      <c r="F38" s="795">
        <f>'[7]Cost Trends'!S103</f>
        <v>128510</v>
      </c>
      <c r="G38" s="795">
        <f>'[7]Cost Trends'!T103</f>
        <v>130891</v>
      </c>
      <c r="W38" s="803"/>
      <c r="X38" s="803"/>
      <c r="Y38" s="803"/>
      <c r="Z38" s="803"/>
      <c r="AA38" s="803"/>
      <c r="AB38" s="803"/>
      <c r="AC38" s="803"/>
      <c r="AD38" s="803"/>
      <c r="AE38" s="803"/>
      <c r="AF38" s="803"/>
    </row>
    <row r="39" spans="1:32">
      <c r="W39" s="803"/>
      <c r="X39" s="803"/>
      <c r="Y39" s="803"/>
      <c r="Z39" s="803"/>
      <c r="AA39" s="803"/>
      <c r="AB39" s="803"/>
      <c r="AC39" s="803"/>
      <c r="AD39" s="803"/>
      <c r="AE39" s="803"/>
      <c r="AF39" s="803"/>
    </row>
    <row r="40" spans="1:32">
      <c r="B40" s="796" t="s">
        <v>692</v>
      </c>
      <c r="C40" s="794" t="s">
        <v>693</v>
      </c>
      <c r="D40" s="794" t="s">
        <v>694</v>
      </c>
      <c r="W40" s="803"/>
      <c r="X40" s="803"/>
      <c r="Y40" s="803"/>
      <c r="Z40" s="803"/>
      <c r="AA40" s="803"/>
      <c r="AB40" s="803"/>
      <c r="AC40" s="803"/>
      <c r="AD40" s="803"/>
      <c r="AE40" s="803"/>
      <c r="AF40" s="803"/>
    </row>
    <row r="41" spans="1:32">
      <c r="A41" s="658" t="s">
        <v>698</v>
      </c>
      <c r="B41" s="797">
        <v>2381</v>
      </c>
      <c r="C41" s="792">
        <f>B41/G38</f>
        <v>1.8190708299271913E-2</v>
      </c>
      <c r="D41" s="792">
        <f>2*C41</f>
        <v>3.6381416598543825E-2</v>
      </c>
      <c r="W41" s="803"/>
      <c r="X41" s="803"/>
      <c r="Y41" s="803"/>
      <c r="Z41" s="803"/>
      <c r="AA41" s="803"/>
      <c r="AB41" s="803"/>
      <c r="AC41" s="803"/>
      <c r="AD41" s="803"/>
      <c r="AE41" s="803"/>
      <c r="AF41" s="803"/>
    </row>
    <row r="42" spans="1:32" ht="13.5" thickBot="1">
      <c r="A42" s="798" t="s">
        <v>732</v>
      </c>
      <c r="B42" s="799">
        <f>C42*G36</f>
        <v>3926.73</v>
      </c>
      <c r="C42" s="729">
        <v>0.03</v>
      </c>
      <c r="D42" s="800">
        <f>C42*2</f>
        <v>0.06</v>
      </c>
      <c r="W42" s="803"/>
      <c r="X42" s="803"/>
      <c r="Y42" s="803"/>
      <c r="Z42" s="803"/>
      <c r="AA42" s="803"/>
      <c r="AB42" s="803"/>
      <c r="AC42" s="803"/>
      <c r="AD42" s="803"/>
      <c r="AE42" s="803"/>
      <c r="AF42" s="803"/>
    </row>
    <row r="43" spans="1:32" ht="13.5" thickBot="1">
      <c r="A43" s="801" t="s">
        <v>31</v>
      </c>
      <c r="C43" s="792">
        <f>AVERAGE(C41:C42)</f>
        <v>2.4095354149635956E-2</v>
      </c>
      <c r="D43" s="806">
        <f>AVERAGE(D41:D42)</f>
        <v>4.8190708299271912E-2</v>
      </c>
      <c r="W43" s="803"/>
      <c r="X43" s="803"/>
      <c r="Y43" s="803"/>
      <c r="Z43" s="803"/>
      <c r="AA43" s="803"/>
      <c r="AB43" s="803"/>
      <c r="AC43" s="803"/>
      <c r="AD43" s="803"/>
      <c r="AE43" s="803"/>
      <c r="AF43" s="803"/>
    </row>
    <row r="44" spans="1:32">
      <c r="W44" s="803"/>
      <c r="X44" s="803"/>
      <c r="Y44" s="803"/>
      <c r="Z44" s="803"/>
      <c r="AA44" s="803"/>
      <c r="AB44" s="803"/>
      <c r="AC44" s="803"/>
      <c r="AD44" s="803"/>
      <c r="AE44" s="803"/>
      <c r="AF44" s="803"/>
    </row>
    <row r="45" spans="1:32">
      <c r="W45" s="803"/>
      <c r="X45" s="803"/>
      <c r="Y45" s="803"/>
      <c r="Z45" s="803"/>
      <c r="AA45" s="803"/>
      <c r="AB45" s="803"/>
      <c r="AC45" s="803"/>
      <c r="AD45" s="803"/>
      <c r="AE45" s="803"/>
      <c r="AF45" s="803"/>
    </row>
    <row r="46" spans="1:32">
      <c r="F46" s="802"/>
      <c r="W46" s="803"/>
      <c r="X46" s="803"/>
      <c r="Y46" s="803"/>
      <c r="Z46" s="803"/>
      <c r="AA46" s="803"/>
      <c r="AB46" s="803"/>
      <c r="AC46" s="803"/>
      <c r="AD46" s="803"/>
      <c r="AE46" s="803"/>
      <c r="AF46" s="803"/>
    </row>
    <row r="47" spans="1:32">
      <c r="F47" s="792"/>
      <c r="W47" s="803"/>
      <c r="X47" s="803"/>
      <c r="Y47" s="803"/>
      <c r="Z47" s="803"/>
      <c r="AA47" s="803"/>
      <c r="AB47" s="803"/>
      <c r="AC47" s="803"/>
      <c r="AD47" s="803"/>
      <c r="AE47" s="803"/>
      <c r="AF47" s="803"/>
    </row>
    <row r="48" spans="1:32">
      <c r="F48" s="792"/>
      <c r="W48" s="803"/>
      <c r="X48" s="803"/>
      <c r="Y48" s="803"/>
      <c r="Z48" s="803"/>
      <c r="AA48" s="803"/>
      <c r="AB48" s="803"/>
      <c r="AC48" s="803"/>
      <c r="AD48" s="803"/>
      <c r="AE48" s="803"/>
      <c r="AF48" s="803"/>
    </row>
    <row r="49" spans="23:32">
      <c r="W49" s="803"/>
      <c r="X49" s="803"/>
      <c r="Y49" s="803"/>
      <c r="Z49" s="803"/>
      <c r="AA49" s="803"/>
      <c r="AB49" s="803"/>
      <c r="AC49" s="803"/>
      <c r="AD49" s="803"/>
      <c r="AE49" s="803"/>
      <c r="AF49" s="803"/>
    </row>
    <row r="50" spans="23:32">
      <c r="W50" s="803"/>
      <c r="X50" s="803"/>
      <c r="Y50" s="803"/>
      <c r="Z50" s="803"/>
      <c r="AA50" s="803"/>
      <c r="AB50" s="803"/>
      <c r="AC50" s="803"/>
      <c r="AD50" s="803"/>
      <c r="AE50" s="803"/>
      <c r="AF50" s="803"/>
    </row>
    <row r="51" spans="23:32">
      <c r="W51" s="803"/>
      <c r="X51" s="803"/>
      <c r="Y51" s="803"/>
      <c r="Z51" s="803"/>
      <c r="AA51" s="803"/>
      <c r="AB51" s="803"/>
      <c r="AC51" s="803"/>
      <c r="AD51" s="803"/>
      <c r="AE51" s="803"/>
      <c r="AF51" s="803"/>
    </row>
  </sheetData>
  <mergeCells count="1">
    <mergeCell ref="A1:H1"/>
  </mergeCells>
  <pageMargins left="0.7" right="0.7" top="0.75" bottom="0.75" header="0.3" footer="0.3"/>
  <pageSetup scale="76" orientation="portrait" r:id="rId1"/>
  <headerFooter scaleWithDoc="0">
    <oddHeader>&amp;RExhibit No. __(EMA-6)</oddHeader>
    <oddFooter>&amp;RPage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Visibility xmlns="dc463f71-b30c-4ab2-9473-d307f9d35888">Full Visibility</Visibility>
    <DocumentSetType xmlns="dc463f71-b30c-4ab2-9473-d307f9d35888">Testimony</DocumentSetType>
    <IsConfidential xmlns="dc463f71-b30c-4ab2-9473-d307f9d35888">false</IsConfidential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2015-02-09T08:00:00+00:00</OpenedDate>
    <Date1 xmlns="dc463f71-b30c-4ab2-9473-d307f9d35888">2019-09-13T23:06:59+00:00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150204</DocketNumber>
    <AgendaOrder xmlns="dc463f71-b30c-4ab2-9473-d307f9d35888">false</AgendaOrder>
    <SignificantOrder xmlns="dc463f71-b30c-4ab2-9473-d307f9d35888">false</SignificantOrder>
    <DelegatedOrder xmlns="dc463f71-b30c-4ab2-9473-d307f9d35888">false</Delegated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7FA5D4F63E4AB4AAE35AF92A0E8AE17" ma:contentTypeVersion="111" ma:contentTypeDescription="" ma:contentTypeScope="" ma:versionID="e623614d205c7b3f04bc02ea417165d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AF89DF39-6998-4B98-816C-D36A535A8A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984CF9-CFCA-4FCA-959E-C9206EECFDE3}">
  <ds:schemaRefs>
    <ds:schemaRef ds:uri="http://schemas.microsoft.com/office/2006/metadata/properties"/>
    <ds:schemaRef ds:uri="97392cb8-9343-4b95-adde-cec88b6c7c00"/>
    <ds:schemaRef ds:uri="http://purl.org/dc/terms/"/>
    <ds:schemaRef ds:uri="http://schemas.microsoft.com/sharepoint/v3/fields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A57C31-853B-4755-BA60-159A041F3554}"/>
</file>

<file path=customXml/itemProps4.xml><?xml version="1.0" encoding="utf-8"?>
<ds:datastoreItem xmlns:ds="http://schemas.openxmlformats.org/officeDocument/2006/customXml" ds:itemID="{234ABAEE-FD3A-41F4-A7A6-CC163ADBE28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18</vt:i4>
      </vt:variant>
    </vt:vector>
  </HeadingPairs>
  <TitlesOfParts>
    <vt:vector size="45" baseType="lpstr">
      <vt:lpstr>Summary</vt:lpstr>
      <vt:lpstr>ROR</vt:lpstr>
      <vt:lpstr>Attrition 09.2014 to 2016</vt:lpstr>
      <vt:lpstr>Cost Trends</vt:lpstr>
      <vt:lpstr>Net Plant</vt:lpstr>
      <vt:lpstr>Dep-Amort</vt:lpstr>
      <vt:lpstr>Adj Taxes</vt:lpstr>
      <vt:lpstr>Other Revenue</vt:lpstr>
      <vt:lpstr>Adj Operating Exp-2007-2014</vt:lpstr>
      <vt:lpstr>Plant Trends</vt:lpstr>
      <vt:lpstr>Weighted Revenue Growth</vt:lpstr>
      <vt:lpstr>09.2014 Rev Model</vt:lpstr>
      <vt:lpstr>2016 Customers and Demand</vt:lpstr>
      <vt:lpstr>2016 Forecast Energy</vt:lpstr>
      <vt:lpstr>12.2014 CB Power Supply</vt:lpstr>
      <vt:lpstr>456 Revenue</vt:lpstr>
      <vt:lpstr>incremental load expense</vt:lpstr>
      <vt:lpstr>CS2-Colstrip 2016 Incrmntl Exp</vt:lpstr>
      <vt:lpstr>PF Power Supply 09.2014 load</vt:lpstr>
      <vt:lpstr>PF Power Supply 2016 load</vt:lpstr>
      <vt:lpstr>Reg Amorts</vt:lpstr>
      <vt:lpstr>DSM</vt:lpstr>
      <vt:lpstr>ResX</vt:lpstr>
      <vt:lpstr>CBR Hist</vt:lpstr>
      <vt:lpstr>PS Consolidated</vt:lpstr>
      <vt:lpstr>Other Rev</vt:lpstr>
      <vt:lpstr>Sheet1</vt:lpstr>
      <vt:lpstr>'09.2014 Rev Model'!Base1_Billing2</vt:lpstr>
      <vt:lpstr>'09.2014 Rev Model'!Print_Area</vt:lpstr>
      <vt:lpstr>'12.2014 CB Power Supply'!Print_Area</vt:lpstr>
      <vt:lpstr>'2016 Customers and Demand'!Print_Area</vt:lpstr>
      <vt:lpstr>'2016 Forecast Energy'!Print_Area</vt:lpstr>
      <vt:lpstr>'Adj Operating Exp-2007-2014'!Print_Area</vt:lpstr>
      <vt:lpstr>'Attrition 09.2014 to 2016'!Print_Area</vt:lpstr>
      <vt:lpstr>'CBR Hist'!Print_Area</vt:lpstr>
      <vt:lpstr>'Cost Trends'!Print_Area</vt:lpstr>
      <vt:lpstr>'Dep-Amort'!Print_Area</vt:lpstr>
      <vt:lpstr>'incremental load expense'!Print_Area</vt:lpstr>
      <vt:lpstr>'Net Plant'!Print_Area</vt:lpstr>
      <vt:lpstr>'PF Power Supply 2016 load'!Print_Area</vt:lpstr>
      <vt:lpstr>ROR!Print_Area</vt:lpstr>
      <vt:lpstr>Summary!Print_Area</vt:lpstr>
      <vt:lpstr>'CBR Hist'!Print_Titles</vt:lpstr>
      <vt:lpstr>'Cost Trends'!Print_Titles</vt:lpstr>
      <vt:lpstr>'09.2014 Rev Model'!PrintHeader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 Electric Attrition Study</dc:title>
  <dc:creator>Steve Fenrick</dc:creator>
  <dc:description/>
  <cp:lastModifiedBy>DeMarco, Betsy (UTC)</cp:lastModifiedBy>
  <cp:lastPrinted>2019-09-09T14:52:14Z</cp:lastPrinted>
  <dcterms:created xsi:type="dcterms:W3CDTF">2012-01-25T16:30:38Z</dcterms:created>
  <dcterms:modified xsi:type="dcterms:W3CDTF">2019-09-13T18:21:37Z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0x0101006E56B4D1795A2E4DB2F0B01679ED314A0097FA5D4F63E4AB4AAE35AF92A0E8AE17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