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0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45" windowWidth="14520" windowHeight="13170" tabRatio="875"/>
  </bookViews>
  <sheets>
    <sheet name="Elec Lead " sheetId="74" r:id="rId1"/>
    <sheet name="Gas Lead " sheetId="73" r:id="rId2"/>
    <sheet name="Common Lead" sheetId="33" r:id="rId3"/>
    <sheet name="Pro-forma Plant Additions=&gt;" sheetId="56" r:id="rId4"/>
    <sheet name=" GTZ Additions" sheetId="34" r:id="rId5"/>
    <sheet name="DFIT " sheetId="38" r:id="rId6"/>
    <sheet name="MACRS" sheetId="50" r:id="rId7"/>
    <sheet name="Amort of Def'd Depr &amp; CChrgs=&gt;" sheetId="60" r:id="rId8"/>
    <sheet name="GTZ Com Amort of Def Depr" sheetId="70" r:id="rId9"/>
    <sheet name="GTZ Com Amort of CarryChrg" sheetId="76" r:id="rId10"/>
    <sheet name="GTZ depreciation deferral" sheetId="75" r:id="rId11"/>
    <sheet name="Monthly Amort" sheetId="71" r:id="rId12"/>
    <sheet name="GTZ PowerPlant" sheetId="78" r:id="rId13"/>
    <sheet name="GTZ Forecast" sheetId="69" r:id="rId14"/>
  </sheets>
  <externalReferences>
    <externalReference r:id="rId15"/>
  </externalReferences>
  <definedNames>
    <definedName name="_xlnm._FilterDatabase" localSheetId="11" hidden="1">'Monthly Amort'!$A$3:$Y$3</definedName>
  </definedNames>
  <calcPr calcId="162913" calcMode="autoNoTable"/>
</workbook>
</file>

<file path=xl/calcChain.xml><?xml version="1.0" encoding="utf-8"?>
<calcChain xmlns="http://schemas.openxmlformats.org/spreadsheetml/2006/main">
  <c r="D4" i="78" l="1"/>
  <c r="D5" i="78"/>
  <c r="D6" i="78"/>
  <c r="D7" i="78"/>
  <c r="D8" i="78"/>
  <c r="D10" i="78"/>
  <c r="D11" i="78"/>
  <c r="D12" i="78"/>
  <c r="E13" i="78"/>
  <c r="C15" i="34" s="1"/>
  <c r="F13" i="78"/>
  <c r="G13" i="78"/>
  <c r="H13" i="78"/>
  <c r="I13" i="78"/>
  <c r="E21" i="75" l="1"/>
  <c r="H52" i="71"/>
  <c r="G52" i="71" s="1"/>
  <c r="H48" i="71"/>
  <c r="G48" i="71" s="1"/>
  <c r="E54" i="71"/>
  <c r="E53" i="71"/>
  <c r="E52" i="71"/>
  <c r="E51" i="71"/>
  <c r="E50" i="71"/>
  <c r="E49" i="71"/>
  <c r="E48" i="71"/>
  <c r="E47" i="71"/>
  <c r="E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6" i="71"/>
  <c r="G5" i="71"/>
  <c r="G4" i="71"/>
  <c r="E45" i="71"/>
  <c r="E44" i="71"/>
  <c r="I44" i="71" s="1"/>
  <c r="J44" i="71" s="1"/>
  <c r="K44" i="71" s="1"/>
  <c r="L44" i="71" s="1"/>
  <c r="M44" i="71" s="1"/>
  <c r="N44" i="71" s="1"/>
  <c r="O44" i="71" s="1"/>
  <c r="P44" i="71" s="1"/>
  <c r="Q44" i="71" s="1"/>
  <c r="R44" i="71" s="1"/>
  <c r="S44" i="71" s="1"/>
  <c r="T44" i="71" s="1"/>
  <c r="E43" i="71"/>
  <c r="E42" i="71"/>
  <c r="E41" i="71"/>
  <c r="E40" i="71"/>
  <c r="I40" i="71" s="1"/>
  <c r="J40" i="71" s="1"/>
  <c r="K40" i="71" s="1"/>
  <c r="L40" i="71" s="1"/>
  <c r="M40" i="71" s="1"/>
  <c r="N40" i="71" s="1"/>
  <c r="O40" i="71" s="1"/>
  <c r="P40" i="71" s="1"/>
  <c r="Q40" i="71" s="1"/>
  <c r="R40" i="71" s="1"/>
  <c r="S40" i="71" s="1"/>
  <c r="T40" i="71" s="1"/>
  <c r="E39" i="71"/>
  <c r="E38" i="71"/>
  <c r="E37" i="71"/>
  <c r="E36" i="71"/>
  <c r="I36" i="71" s="1"/>
  <c r="J36" i="71" s="1"/>
  <c r="K36" i="71" s="1"/>
  <c r="L36" i="71" s="1"/>
  <c r="M36" i="71" s="1"/>
  <c r="N36" i="71" s="1"/>
  <c r="O36" i="71" s="1"/>
  <c r="P36" i="71" s="1"/>
  <c r="Q36" i="71" s="1"/>
  <c r="R36" i="71" s="1"/>
  <c r="S36" i="71" s="1"/>
  <c r="T36" i="71" s="1"/>
  <c r="E35" i="71"/>
  <c r="E34" i="71"/>
  <c r="E33" i="71"/>
  <c r="E32" i="71"/>
  <c r="I32" i="71" s="1"/>
  <c r="J32" i="71" s="1"/>
  <c r="K32" i="71" s="1"/>
  <c r="L32" i="71" s="1"/>
  <c r="M32" i="71" s="1"/>
  <c r="N32" i="71" s="1"/>
  <c r="O32" i="71" s="1"/>
  <c r="P32" i="71" s="1"/>
  <c r="Q32" i="71" s="1"/>
  <c r="R32" i="71" s="1"/>
  <c r="S32" i="71" s="1"/>
  <c r="T32" i="71" s="1"/>
  <c r="E31" i="71"/>
  <c r="E30" i="71"/>
  <c r="E29" i="71"/>
  <c r="E28" i="71"/>
  <c r="I28" i="71" s="1"/>
  <c r="J28" i="71" s="1"/>
  <c r="K28" i="71" s="1"/>
  <c r="L28" i="71" s="1"/>
  <c r="M28" i="71" s="1"/>
  <c r="N28" i="71" s="1"/>
  <c r="O28" i="71" s="1"/>
  <c r="P28" i="71" s="1"/>
  <c r="Q28" i="71" s="1"/>
  <c r="R28" i="71" s="1"/>
  <c r="S28" i="71" s="1"/>
  <c r="T28" i="71" s="1"/>
  <c r="E27" i="71"/>
  <c r="E26" i="71"/>
  <c r="E25" i="71"/>
  <c r="E24" i="71"/>
  <c r="I24" i="71" s="1"/>
  <c r="J24" i="71" s="1"/>
  <c r="E23" i="71"/>
  <c r="E22" i="71"/>
  <c r="E21" i="71"/>
  <c r="E20" i="71"/>
  <c r="E19" i="71"/>
  <c r="E18" i="71"/>
  <c r="E17" i="71"/>
  <c r="I17" i="71" s="1"/>
  <c r="J17" i="71" s="1"/>
  <c r="K17" i="71" s="1"/>
  <c r="L17" i="71" s="1"/>
  <c r="M17" i="71" s="1"/>
  <c r="N17" i="71" s="1"/>
  <c r="O17" i="71" s="1"/>
  <c r="P17" i="71" s="1"/>
  <c r="Q17" i="71" s="1"/>
  <c r="R17" i="71" s="1"/>
  <c r="S17" i="71" s="1"/>
  <c r="T17" i="71" s="1"/>
  <c r="E16" i="71"/>
  <c r="I16" i="71" s="1"/>
  <c r="J16" i="71" s="1"/>
  <c r="K16" i="71" s="1"/>
  <c r="L16" i="71" s="1"/>
  <c r="M16" i="71" s="1"/>
  <c r="N16" i="71" s="1"/>
  <c r="O16" i="71" s="1"/>
  <c r="P16" i="71" s="1"/>
  <c r="Q16" i="71" s="1"/>
  <c r="R16" i="71" s="1"/>
  <c r="S16" i="71" s="1"/>
  <c r="T16" i="71" s="1"/>
  <c r="E15" i="71"/>
  <c r="E14" i="71"/>
  <c r="E13" i="71"/>
  <c r="E12" i="71"/>
  <c r="I12" i="71" s="1"/>
  <c r="J12" i="71" s="1"/>
  <c r="K12" i="71" s="1"/>
  <c r="L12" i="71" s="1"/>
  <c r="M12" i="71" s="1"/>
  <c r="N12" i="71" s="1"/>
  <c r="O12" i="71" s="1"/>
  <c r="P12" i="71" s="1"/>
  <c r="Q12" i="71" s="1"/>
  <c r="R12" i="71" s="1"/>
  <c r="S12" i="71" s="1"/>
  <c r="T12" i="71" s="1"/>
  <c r="E11" i="71"/>
  <c r="E10" i="71"/>
  <c r="E9" i="71"/>
  <c r="E8" i="71"/>
  <c r="I8" i="71" s="1"/>
  <c r="J8" i="71" s="1"/>
  <c r="K8" i="71" s="1"/>
  <c r="L8" i="71" s="1"/>
  <c r="M8" i="71" s="1"/>
  <c r="N8" i="71" s="1"/>
  <c r="O8" i="71" s="1"/>
  <c r="P8" i="71" s="1"/>
  <c r="Q8" i="71" s="1"/>
  <c r="R8" i="71" s="1"/>
  <c r="S8" i="71" s="1"/>
  <c r="T8" i="71" s="1"/>
  <c r="E7" i="71"/>
  <c r="E6" i="71"/>
  <c r="E5" i="71"/>
  <c r="E4" i="71"/>
  <c r="I4" i="71" s="1"/>
  <c r="Q52" i="71" l="1"/>
  <c r="Q48" i="71"/>
  <c r="I10" i="71"/>
  <c r="J10" i="71" s="1"/>
  <c r="K10" i="71" s="1"/>
  <c r="L10" i="71" s="1"/>
  <c r="M10" i="71" s="1"/>
  <c r="N10" i="71" s="1"/>
  <c r="O10" i="71" s="1"/>
  <c r="P10" i="71" s="1"/>
  <c r="Q10" i="71" s="1"/>
  <c r="R10" i="71" s="1"/>
  <c r="S10" i="71" s="1"/>
  <c r="T10" i="71" s="1"/>
  <c r="I7" i="71"/>
  <c r="J7" i="71" s="1"/>
  <c r="K7" i="71" s="1"/>
  <c r="L7" i="71" s="1"/>
  <c r="M7" i="71" s="1"/>
  <c r="N7" i="71" s="1"/>
  <c r="O7" i="71" s="1"/>
  <c r="P7" i="71" s="1"/>
  <c r="Q7" i="71" s="1"/>
  <c r="R7" i="71" s="1"/>
  <c r="S7" i="71" s="1"/>
  <c r="T7" i="71" s="1"/>
  <c r="I11" i="71"/>
  <c r="J11" i="71" s="1"/>
  <c r="K11" i="71" s="1"/>
  <c r="L11" i="71" s="1"/>
  <c r="M11" i="71" s="1"/>
  <c r="N11" i="71" s="1"/>
  <c r="O11" i="71" s="1"/>
  <c r="P11" i="71" s="1"/>
  <c r="Q11" i="71" s="1"/>
  <c r="R11" i="71" s="1"/>
  <c r="S11" i="71" s="1"/>
  <c r="T11" i="71" s="1"/>
  <c r="I19" i="71"/>
  <c r="J19" i="71" s="1"/>
  <c r="K19" i="71" s="1"/>
  <c r="L19" i="71" s="1"/>
  <c r="M19" i="71" s="1"/>
  <c r="N19" i="71" s="1"/>
  <c r="O19" i="71" s="1"/>
  <c r="P19" i="71" s="1"/>
  <c r="Q19" i="71" s="1"/>
  <c r="R19" i="71" s="1"/>
  <c r="S19" i="71" s="1"/>
  <c r="T19" i="71" s="1"/>
  <c r="I23" i="71"/>
  <c r="J23" i="71" s="1"/>
  <c r="K23" i="71" s="1"/>
  <c r="L23" i="71" s="1"/>
  <c r="M23" i="71" s="1"/>
  <c r="N23" i="71" s="1"/>
  <c r="O23" i="71" s="1"/>
  <c r="P23" i="71" s="1"/>
  <c r="Q23" i="71" s="1"/>
  <c r="R23" i="71" s="1"/>
  <c r="S23" i="71" s="1"/>
  <c r="T23" i="71" s="1"/>
  <c r="I6" i="71"/>
  <c r="J6" i="71" s="1"/>
  <c r="K6" i="71" s="1"/>
  <c r="L6" i="71" s="1"/>
  <c r="M6" i="71" s="1"/>
  <c r="N6" i="71" s="1"/>
  <c r="O6" i="71" s="1"/>
  <c r="P6" i="71" s="1"/>
  <c r="Q6" i="71" s="1"/>
  <c r="R6" i="71" s="1"/>
  <c r="S6" i="71" s="1"/>
  <c r="T6" i="71" s="1"/>
  <c r="I18" i="71"/>
  <c r="J18" i="71" s="1"/>
  <c r="K18" i="71" s="1"/>
  <c r="L18" i="71" s="1"/>
  <c r="M18" i="71" s="1"/>
  <c r="N18" i="71" s="1"/>
  <c r="O18" i="71" s="1"/>
  <c r="P18" i="71" s="1"/>
  <c r="Q18" i="71" s="1"/>
  <c r="R18" i="71" s="1"/>
  <c r="S18" i="71" s="1"/>
  <c r="T18" i="71" s="1"/>
  <c r="I22" i="71"/>
  <c r="J22" i="71" s="1"/>
  <c r="K22" i="71" s="1"/>
  <c r="L22" i="71" s="1"/>
  <c r="M22" i="71" s="1"/>
  <c r="N22" i="71" s="1"/>
  <c r="O22" i="71" s="1"/>
  <c r="P22" i="71" s="1"/>
  <c r="Q22" i="71" s="1"/>
  <c r="R22" i="71" s="1"/>
  <c r="S22" i="71" s="1"/>
  <c r="T22" i="71" s="1"/>
  <c r="I26" i="71"/>
  <c r="J26" i="71" s="1"/>
  <c r="K26" i="71" s="1"/>
  <c r="L26" i="71" s="1"/>
  <c r="M26" i="71" s="1"/>
  <c r="N26" i="71" s="1"/>
  <c r="O26" i="71" s="1"/>
  <c r="P26" i="71" s="1"/>
  <c r="Q26" i="71" s="1"/>
  <c r="R26" i="71" s="1"/>
  <c r="S26" i="71" s="1"/>
  <c r="T26" i="71" s="1"/>
  <c r="I30" i="71"/>
  <c r="J30" i="71" s="1"/>
  <c r="K30" i="71" s="1"/>
  <c r="L30" i="71" s="1"/>
  <c r="M30" i="71" s="1"/>
  <c r="N30" i="71" s="1"/>
  <c r="O30" i="71" s="1"/>
  <c r="P30" i="71" s="1"/>
  <c r="Q30" i="71" s="1"/>
  <c r="R30" i="71" s="1"/>
  <c r="S30" i="71" s="1"/>
  <c r="T30" i="71" s="1"/>
  <c r="I34" i="71"/>
  <c r="J34" i="71" s="1"/>
  <c r="K34" i="71" s="1"/>
  <c r="L34" i="71" s="1"/>
  <c r="M34" i="71" s="1"/>
  <c r="N34" i="71" s="1"/>
  <c r="O34" i="71" s="1"/>
  <c r="P34" i="71" s="1"/>
  <c r="Q34" i="71" s="1"/>
  <c r="R34" i="71" s="1"/>
  <c r="S34" i="71" s="1"/>
  <c r="T34" i="71" s="1"/>
  <c r="I38" i="71"/>
  <c r="J38" i="71" s="1"/>
  <c r="K38" i="71" s="1"/>
  <c r="L38" i="71" s="1"/>
  <c r="M38" i="71" s="1"/>
  <c r="N38" i="71" s="1"/>
  <c r="O38" i="71" s="1"/>
  <c r="P38" i="71" s="1"/>
  <c r="Q38" i="71" s="1"/>
  <c r="R38" i="71" s="1"/>
  <c r="S38" i="71" s="1"/>
  <c r="T38" i="71" s="1"/>
  <c r="I42" i="71"/>
  <c r="J42" i="71" s="1"/>
  <c r="K42" i="71" s="1"/>
  <c r="L42" i="71" s="1"/>
  <c r="M42" i="71" s="1"/>
  <c r="N42" i="71" s="1"/>
  <c r="O42" i="71" s="1"/>
  <c r="P42" i="71" s="1"/>
  <c r="Q42" i="71" s="1"/>
  <c r="R42" i="71" s="1"/>
  <c r="S42" i="71" s="1"/>
  <c r="T42" i="71" s="1"/>
  <c r="J52" i="71"/>
  <c r="L48" i="71"/>
  <c r="T48" i="71"/>
  <c r="L52" i="71"/>
  <c r="T52" i="71"/>
  <c r="M48" i="71"/>
  <c r="M52" i="71"/>
  <c r="J48" i="71"/>
  <c r="P48" i="71"/>
  <c r="P52" i="71"/>
  <c r="S48" i="71"/>
  <c r="S52" i="71"/>
  <c r="I48" i="71"/>
  <c r="N48" i="71"/>
  <c r="R48" i="71"/>
  <c r="N52" i="71"/>
  <c r="R52" i="71"/>
  <c r="K48" i="71"/>
  <c r="O48" i="71"/>
  <c r="K52" i="71"/>
  <c r="O52" i="71"/>
  <c r="I5" i="71"/>
  <c r="J5" i="71" s="1"/>
  <c r="K5" i="71" s="1"/>
  <c r="L5" i="71" s="1"/>
  <c r="M5" i="71" s="1"/>
  <c r="N5" i="71" s="1"/>
  <c r="O5" i="71" s="1"/>
  <c r="P5" i="71" s="1"/>
  <c r="Q5" i="71" s="1"/>
  <c r="R5" i="71" s="1"/>
  <c r="S5" i="71" s="1"/>
  <c r="T5" i="71" s="1"/>
  <c r="I9" i="71"/>
  <c r="J9" i="71" s="1"/>
  <c r="K9" i="71" s="1"/>
  <c r="L9" i="71" s="1"/>
  <c r="M9" i="71" s="1"/>
  <c r="N9" i="71" s="1"/>
  <c r="O9" i="71" s="1"/>
  <c r="P9" i="71" s="1"/>
  <c r="Q9" i="71" s="1"/>
  <c r="R9" i="71" s="1"/>
  <c r="S9" i="71" s="1"/>
  <c r="T9" i="71" s="1"/>
  <c r="I13" i="71"/>
  <c r="J13" i="71" s="1"/>
  <c r="K13" i="71" s="1"/>
  <c r="L13" i="71" s="1"/>
  <c r="M13" i="71" s="1"/>
  <c r="N13" i="71" s="1"/>
  <c r="O13" i="71" s="1"/>
  <c r="P13" i="71" s="1"/>
  <c r="Q13" i="71" s="1"/>
  <c r="R13" i="71" s="1"/>
  <c r="S13" i="71" s="1"/>
  <c r="T13" i="71" s="1"/>
  <c r="I21" i="71"/>
  <c r="J21" i="71" s="1"/>
  <c r="K21" i="71" s="1"/>
  <c r="L21" i="71" s="1"/>
  <c r="M21" i="71" s="1"/>
  <c r="N21" i="71" s="1"/>
  <c r="O21" i="71" s="1"/>
  <c r="P21" i="71" s="1"/>
  <c r="Q21" i="71" s="1"/>
  <c r="R21" i="71" s="1"/>
  <c r="S21" i="71" s="1"/>
  <c r="T21" i="71" s="1"/>
  <c r="I29" i="71"/>
  <c r="J29" i="71" s="1"/>
  <c r="K29" i="71" s="1"/>
  <c r="L29" i="71" s="1"/>
  <c r="M29" i="71" s="1"/>
  <c r="N29" i="71" s="1"/>
  <c r="O29" i="71" s="1"/>
  <c r="P29" i="71" s="1"/>
  <c r="Q29" i="71" s="1"/>
  <c r="R29" i="71" s="1"/>
  <c r="S29" i="71" s="1"/>
  <c r="T29" i="71" s="1"/>
  <c r="I33" i="71"/>
  <c r="J33" i="71" s="1"/>
  <c r="K33" i="71" s="1"/>
  <c r="L33" i="71" s="1"/>
  <c r="M33" i="71" s="1"/>
  <c r="N33" i="71" s="1"/>
  <c r="O33" i="71" s="1"/>
  <c r="P33" i="71" s="1"/>
  <c r="Q33" i="71" s="1"/>
  <c r="R33" i="71" s="1"/>
  <c r="S33" i="71" s="1"/>
  <c r="T33" i="71" s="1"/>
  <c r="I37" i="71"/>
  <c r="J37" i="71" s="1"/>
  <c r="K37" i="71" s="1"/>
  <c r="L37" i="71" s="1"/>
  <c r="M37" i="71" s="1"/>
  <c r="N37" i="71" s="1"/>
  <c r="O37" i="71" s="1"/>
  <c r="P37" i="71" s="1"/>
  <c r="Q37" i="71" s="1"/>
  <c r="R37" i="71" s="1"/>
  <c r="S37" i="71" s="1"/>
  <c r="T37" i="71" s="1"/>
  <c r="I41" i="71"/>
  <c r="J41" i="71" s="1"/>
  <c r="K41" i="71" s="1"/>
  <c r="L41" i="71" s="1"/>
  <c r="M41" i="71" s="1"/>
  <c r="N41" i="71" s="1"/>
  <c r="O41" i="71" s="1"/>
  <c r="P41" i="71" s="1"/>
  <c r="Q41" i="71" s="1"/>
  <c r="R41" i="71" s="1"/>
  <c r="S41" i="71" s="1"/>
  <c r="T41" i="71" s="1"/>
  <c r="I45" i="71"/>
  <c r="J45" i="71" s="1"/>
  <c r="K45" i="71" s="1"/>
  <c r="L45" i="71" s="1"/>
  <c r="M45" i="71" s="1"/>
  <c r="N45" i="71" s="1"/>
  <c r="O45" i="71" s="1"/>
  <c r="P45" i="71" s="1"/>
  <c r="Q45" i="71" s="1"/>
  <c r="R45" i="71" s="1"/>
  <c r="S45" i="71" s="1"/>
  <c r="T45" i="71" s="1"/>
  <c r="I27" i="71"/>
  <c r="J27" i="71" s="1"/>
  <c r="K27" i="71" s="1"/>
  <c r="L27" i="71" s="1"/>
  <c r="M27" i="71" s="1"/>
  <c r="N27" i="71" s="1"/>
  <c r="O27" i="71" s="1"/>
  <c r="P27" i="71" s="1"/>
  <c r="Q27" i="71" s="1"/>
  <c r="R27" i="71" s="1"/>
  <c r="S27" i="71" s="1"/>
  <c r="T27" i="71" s="1"/>
  <c r="I31" i="71"/>
  <c r="J31" i="71" s="1"/>
  <c r="K31" i="71" s="1"/>
  <c r="L31" i="71" s="1"/>
  <c r="M31" i="71" s="1"/>
  <c r="N31" i="71" s="1"/>
  <c r="O31" i="71" s="1"/>
  <c r="P31" i="71" s="1"/>
  <c r="Q31" i="71" s="1"/>
  <c r="R31" i="71" s="1"/>
  <c r="S31" i="71" s="1"/>
  <c r="T31" i="71" s="1"/>
  <c r="I35" i="71"/>
  <c r="J35" i="71" s="1"/>
  <c r="K35" i="71" s="1"/>
  <c r="L35" i="71" s="1"/>
  <c r="M35" i="71" s="1"/>
  <c r="N35" i="71" s="1"/>
  <c r="O35" i="71" s="1"/>
  <c r="P35" i="71" s="1"/>
  <c r="Q35" i="71" s="1"/>
  <c r="R35" i="71" s="1"/>
  <c r="S35" i="71" s="1"/>
  <c r="T35" i="71" s="1"/>
  <c r="I39" i="71"/>
  <c r="J39" i="71" s="1"/>
  <c r="K39" i="71" s="1"/>
  <c r="L39" i="71" s="1"/>
  <c r="M39" i="71" s="1"/>
  <c r="N39" i="71" s="1"/>
  <c r="O39" i="71" s="1"/>
  <c r="P39" i="71" s="1"/>
  <c r="Q39" i="71" s="1"/>
  <c r="R39" i="71" s="1"/>
  <c r="S39" i="71" s="1"/>
  <c r="T39" i="71" s="1"/>
  <c r="I43" i="71"/>
  <c r="J43" i="71" s="1"/>
  <c r="K43" i="71" s="1"/>
  <c r="L43" i="71" s="1"/>
  <c r="M43" i="71" s="1"/>
  <c r="N43" i="71" s="1"/>
  <c r="O43" i="71" s="1"/>
  <c r="P43" i="71" s="1"/>
  <c r="Q43" i="71" s="1"/>
  <c r="R43" i="71" s="1"/>
  <c r="S43" i="71" s="1"/>
  <c r="T43" i="71" s="1"/>
  <c r="I14" i="71"/>
  <c r="J14" i="71" s="1"/>
  <c r="K14" i="71" s="1"/>
  <c r="L14" i="71" s="1"/>
  <c r="M14" i="71" s="1"/>
  <c r="N14" i="71" s="1"/>
  <c r="O14" i="71" s="1"/>
  <c r="P14" i="71" s="1"/>
  <c r="Q14" i="71" s="1"/>
  <c r="R14" i="71" s="1"/>
  <c r="S14" i="71" s="1"/>
  <c r="T14" i="71" s="1"/>
  <c r="I20" i="71"/>
  <c r="J20" i="71" s="1"/>
  <c r="K20" i="71" s="1"/>
  <c r="L20" i="71" s="1"/>
  <c r="M20" i="71" s="1"/>
  <c r="N20" i="71" s="1"/>
  <c r="O20" i="71" s="1"/>
  <c r="P20" i="71" s="1"/>
  <c r="Q20" i="71" s="1"/>
  <c r="R20" i="71" s="1"/>
  <c r="S20" i="71" s="1"/>
  <c r="T20" i="71" s="1"/>
  <c r="K24" i="71"/>
  <c r="L24" i="71" s="1"/>
  <c r="M24" i="71" s="1"/>
  <c r="N24" i="71" s="1"/>
  <c r="O24" i="71" s="1"/>
  <c r="P24" i="71" s="1"/>
  <c r="Q24" i="71" s="1"/>
  <c r="R24" i="71" s="1"/>
  <c r="S24" i="71" s="1"/>
  <c r="T24" i="71" s="1"/>
  <c r="I25" i="71"/>
  <c r="J25" i="71" s="1"/>
  <c r="K25" i="71" s="1"/>
  <c r="L25" i="71" s="1"/>
  <c r="M25" i="71" s="1"/>
  <c r="N25" i="71" s="1"/>
  <c r="O25" i="71" s="1"/>
  <c r="P25" i="71" s="1"/>
  <c r="Q25" i="71" s="1"/>
  <c r="R25" i="71" s="1"/>
  <c r="S25" i="71" s="1"/>
  <c r="T25" i="71" s="1"/>
  <c r="I15" i="71"/>
  <c r="J15" i="71" s="1"/>
  <c r="K15" i="71" s="1"/>
  <c r="L15" i="71" s="1"/>
  <c r="M15" i="71" s="1"/>
  <c r="N15" i="71" s="1"/>
  <c r="O15" i="71" s="1"/>
  <c r="P15" i="71" s="1"/>
  <c r="Q15" i="71" s="1"/>
  <c r="R15" i="71" s="1"/>
  <c r="S15" i="71" s="1"/>
  <c r="T15" i="71" s="1"/>
  <c r="J4" i="71"/>
  <c r="U52" i="71" l="1"/>
  <c r="U48" i="71"/>
  <c r="K4" i="71"/>
  <c r="U24" i="71"/>
  <c r="L4" i="71" l="1"/>
  <c r="U40" i="71"/>
  <c r="U11" i="71"/>
  <c r="U19" i="71"/>
  <c r="U30" i="71"/>
  <c r="U20" i="71"/>
  <c r="U32" i="71"/>
  <c r="U29" i="71"/>
  <c r="U7" i="71"/>
  <c r="U5" i="71"/>
  <c r="M4" i="71" l="1"/>
  <c r="U18" i="71"/>
  <c r="U17" i="71"/>
  <c r="U6" i="71"/>
  <c r="U15" i="71"/>
  <c r="U25" i="71"/>
  <c r="U35" i="71"/>
  <c r="U14" i="71"/>
  <c r="U36" i="71"/>
  <c r="U43" i="71"/>
  <c r="U42" i="71"/>
  <c r="U13" i="71"/>
  <c r="U28" i="71"/>
  <c r="U38" i="71"/>
  <c r="U12" i="71"/>
  <c r="U44" i="71"/>
  <c r="U33" i="71"/>
  <c r="U39" i="71"/>
  <c r="U45" i="71"/>
  <c r="U26" i="71"/>
  <c r="U34" i="71"/>
  <c r="U37" i="71"/>
  <c r="U9" i="71"/>
  <c r="N4" i="71" l="1"/>
  <c r="U31" i="71"/>
  <c r="U27" i="71"/>
  <c r="U16" i="71"/>
  <c r="U10" i="71"/>
  <c r="U8" i="71"/>
  <c r="U23" i="71"/>
  <c r="O4" i="71" l="1"/>
  <c r="U21" i="71"/>
  <c r="U22" i="71"/>
  <c r="U41" i="71"/>
  <c r="P4" i="71" l="1"/>
  <c r="F38" i="74"/>
  <c r="E38" i="74"/>
  <c r="D38" i="74"/>
  <c r="F38" i="73"/>
  <c r="E38" i="73"/>
  <c r="D38" i="73"/>
  <c r="F38" i="33"/>
  <c r="E38" i="33"/>
  <c r="D38" i="33"/>
  <c r="E33" i="33"/>
  <c r="F33" i="33"/>
  <c r="D33" i="33"/>
  <c r="E33" i="73"/>
  <c r="F33" i="73"/>
  <c r="D33" i="73"/>
  <c r="F25" i="33"/>
  <c r="J13" i="76"/>
  <c r="J12" i="76"/>
  <c r="J11" i="76"/>
  <c r="K11" i="76" s="1"/>
  <c r="D11" i="76"/>
  <c r="D12" i="76" s="1"/>
  <c r="E9" i="75"/>
  <c r="E10" i="75" s="1"/>
  <c r="E11" i="75" s="1"/>
  <c r="E12" i="75" s="1"/>
  <c r="E13" i="75" s="1"/>
  <c r="E14" i="75" s="1"/>
  <c r="E15" i="75" s="1"/>
  <c r="E16" i="75" s="1"/>
  <c r="N11" i="76" l="1"/>
  <c r="Q4" i="71"/>
  <c r="D13" i="76"/>
  <c r="E13" i="76"/>
  <c r="I14" i="76" s="1"/>
  <c r="E12" i="76"/>
  <c r="I13" i="76" s="1"/>
  <c r="K12" i="76"/>
  <c r="E17" i="75"/>
  <c r="R4" i="71" l="1"/>
  <c r="K13" i="76"/>
  <c r="N13" i="76" s="1"/>
  <c r="N12" i="76"/>
  <c r="I12" i="76"/>
  <c r="L12" i="76" s="1"/>
  <c r="M12" i="76" s="1"/>
  <c r="E18" i="75"/>
  <c r="S4" i="71" l="1"/>
  <c r="L13" i="76"/>
  <c r="M13" i="76" s="1"/>
  <c r="E19" i="75"/>
  <c r="T4" i="71" l="1"/>
  <c r="F33" i="74" l="1"/>
  <c r="E33" i="74"/>
  <c r="D33" i="74"/>
  <c r="F25" i="74"/>
  <c r="E25" i="74"/>
  <c r="D25" i="74"/>
  <c r="F19" i="74"/>
  <c r="E19" i="74"/>
  <c r="D19" i="74"/>
  <c r="A15" i="74"/>
  <c r="A16" i="74" s="1"/>
  <c r="A17" i="74" s="1"/>
  <c r="A18" i="74" s="1"/>
  <c r="A19" i="74" s="1"/>
  <c r="A21" i="74" s="1"/>
  <c r="A22" i="74" s="1"/>
  <c r="A23" i="74" s="1"/>
  <c r="A24" i="74" s="1"/>
  <c r="A25" i="74" s="1"/>
  <c r="F25" i="73"/>
  <c r="E25" i="73"/>
  <c r="D25" i="73"/>
  <c r="F19" i="73"/>
  <c r="E19" i="73"/>
  <c r="D19" i="73"/>
  <c r="D27" i="73" s="1"/>
  <c r="A15" i="73"/>
  <c r="A16" i="73" s="1"/>
  <c r="A17" i="73" s="1"/>
  <c r="A18" i="73" s="1"/>
  <c r="A19" i="73" s="1"/>
  <c r="A21" i="73" s="1"/>
  <c r="A22" i="73" s="1"/>
  <c r="A23" i="73" s="1"/>
  <c r="A24" i="73" s="1"/>
  <c r="A25" i="73" s="1"/>
  <c r="E27" i="74" l="1"/>
  <c r="E27" i="73"/>
  <c r="F27" i="74"/>
  <c r="F27" i="73"/>
  <c r="D27" i="74"/>
  <c r="A26" i="74"/>
  <c r="A27" i="74" s="1"/>
  <c r="A28" i="74" s="1"/>
  <c r="A29" i="74" s="1"/>
  <c r="A30" i="74" s="1"/>
  <c r="A31" i="74" s="1"/>
  <c r="A26" i="73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2" i="74" l="1"/>
  <c r="A33" i="74" s="1"/>
  <c r="A34" i="74" s="1"/>
  <c r="A35" i="74" s="1"/>
  <c r="A36" i="74" s="1"/>
  <c r="A37" i="74" s="1"/>
  <c r="A38" i="74" s="1"/>
  <c r="J11" i="70" l="1"/>
  <c r="K11" i="70" s="1"/>
  <c r="D11" i="70"/>
  <c r="D12" i="70" s="1"/>
  <c r="A37" i="73" l="1"/>
  <c r="A38" i="73" s="1"/>
  <c r="J13" i="70"/>
  <c r="J12" i="70"/>
  <c r="K12" i="70" s="1"/>
  <c r="N11" i="70"/>
  <c r="K13" i="70" l="1"/>
  <c r="J3" i="69"/>
  <c r="N3" i="69"/>
  <c r="T3" i="69" s="1"/>
  <c r="O3" i="69"/>
  <c r="P3" i="69" s="1"/>
  <c r="H46" i="71" s="1"/>
  <c r="Q3" i="69"/>
  <c r="R3" i="69"/>
  <c r="S3" i="69"/>
  <c r="Z3" i="69" s="1"/>
  <c r="J4" i="69"/>
  <c r="N4" i="69"/>
  <c r="T4" i="69" s="1"/>
  <c r="O4" i="69"/>
  <c r="P4" i="69" s="1"/>
  <c r="Q4" i="69"/>
  <c r="R4" i="69"/>
  <c r="S4" i="69"/>
  <c r="Z4" i="69" s="1"/>
  <c r="W4" i="69"/>
  <c r="J5" i="69"/>
  <c r="S5" i="69" s="1"/>
  <c r="Q5" i="69"/>
  <c r="R5" i="69"/>
  <c r="T5" i="69"/>
  <c r="U5" i="69"/>
  <c r="V5" i="69"/>
  <c r="J6" i="69"/>
  <c r="Q6" i="69" s="1"/>
  <c r="N6" i="69"/>
  <c r="T6" i="69" s="1"/>
  <c r="J7" i="69"/>
  <c r="Q7" i="69" s="1"/>
  <c r="N7" i="69"/>
  <c r="T7" i="69" s="1"/>
  <c r="O7" i="69"/>
  <c r="P7" i="69" s="1"/>
  <c r="N8" i="69"/>
  <c r="T8" i="69" s="1"/>
  <c r="AA8" i="69" s="1"/>
  <c r="O8" i="69"/>
  <c r="U8" i="69" s="1"/>
  <c r="P8" i="69"/>
  <c r="Q8" i="69"/>
  <c r="W8" i="69" s="1"/>
  <c r="R8" i="69"/>
  <c r="S8" i="69"/>
  <c r="J9" i="69"/>
  <c r="S9" i="69" s="1"/>
  <c r="Q9" i="69"/>
  <c r="R9" i="69"/>
  <c r="J10" i="69"/>
  <c r="Q10" i="69" s="1"/>
  <c r="W10" i="69" s="1"/>
  <c r="M10" i="69"/>
  <c r="S10" i="69" s="1"/>
  <c r="J11" i="69"/>
  <c r="R11" i="69" s="1"/>
  <c r="M11" i="69"/>
  <c r="Q11" i="69"/>
  <c r="K12" i="69"/>
  <c r="C14" i="34" s="1"/>
  <c r="L12" i="69"/>
  <c r="W6" i="69" l="1"/>
  <c r="W7" i="69"/>
  <c r="X9" i="69"/>
  <c r="V7" i="69"/>
  <c r="H50" i="71"/>
  <c r="G50" i="71" s="1"/>
  <c r="Y3" i="69"/>
  <c r="X8" i="69"/>
  <c r="X3" i="69"/>
  <c r="G46" i="71"/>
  <c r="V9" i="69"/>
  <c r="AB9" i="69" s="1"/>
  <c r="R10" i="69"/>
  <c r="Y10" i="69" s="1"/>
  <c r="U9" i="69"/>
  <c r="S7" i="69"/>
  <c r="R6" i="69"/>
  <c r="V8" i="69"/>
  <c r="H51" i="71"/>
  <c r="G51" i="71" s="1"/>
  <c r="W9" i="69"/>
  <c r="X4" i="69"/>
  <c r="S6" i="69"/>
  <c r="Z6" i="69" s="1"/>
  <c r="V4" i="69"/>
  <c r="H47" i="71"/>
  <c r="G47" i="71" s="1"/>
  <c r="T9" i="69"/>
  <c r="Z9" i="69" s="1"/>
  <c r="Z8" i="69"/>
  <c r="R7" i="69"/>
  <c r="Y7" i="69" s="1"/>
  <c r="X5" i="69"/>
  <c r="Y9" i="69"/>
  <c r="Y4" i="69"/>
  <c r="N10" i="69"/>
  <c r="O10" i="69" s="1"/>
  <c r="Y8" i="69"/>
  <c r="O6" i="69"/>
  <c r="P6" i="69" s="1"/>
  <c r="AA5" i="69"/>
  <c r="W3" i="69"/>
  <c r="D13" i="70"/>
  <c r="N12" i="70"/>
  <c r="P10" i="69"/>
  <c r="U10" i="69"/>
  <c r="V3" i="69"/>
  <c r="W11" i="69"/>
  <c r="W12" i="69" s="1"/>
  <c r="X11" i="69"/>
  <c r="Z5" i="69"/>
  <c r="N11" i="69"/>
  <c r="N12" i="69" s="1"/>
  <c r="C17" i="34" s="1"/>
  <c r="B17" i="34" s="1"/>
  <c r="S11" i="69"/>
  <c r="AB8" i="69"/>
  <c r="R12" i="69"/>
  <c r="E15" i="34" s="1"/>
  <c r="Q12" i="69"/>
  <c r="E14" i="34" s="1"/>
  <c r="M12" i="69"/>
  <c r="C16" i="34" s="1"/>
  <c r="T10" i="69"/>
  <c r="U7" i="69"/>
  <c r="AA7" i="69" s="1"/>
  <c r="U6" i="69"/>
  <c r="Y5" i="69"/>
  <c r="U4" i="69"/>
  <c r="AB4" i="69" s="1"/>
  <c r="U3" i="69"/>
  <c r="AB5" i="69"/>
  <c r="Z10" i="69" l="1"/>
  <c r="R51" i="71"/>
  <c r="Q51" i="71"/>
  <c r="O51" i="71"/>
  <c r="M51" i="71"/>
  <c r="S51" i="71"/>
  <c r="N51" i="71"/>
  <c r="L51" i="71"/>
  <c r="P51" i="71"/>
  <c r="I51" i="71"/>
  <c r="T51" i="71"/>
  <c r="K51" i="71"/>
  <c r="J51" i="71"/>
  <c r="N46" i="71"/>
  <c r="K46" i="71"/>
  <c r="S46" i="71"/>
  <c r="Q46" i="71"/>
  <c r="R46" i="71"/>
  <c r="O46" i="71"/>
  <c r="M46" i="71"/>
  <c r="L46" i="71"/>
  <c r="I46" i="71"/>
  <c r="P46" i="71"/>
  <c r="T46" i="71"/>
  <c r="J46" i="71"/>
  <c r="P50" i="71"/>
  <c r="N50" i="71"/>
  <c r="R50" i="71"/>
  <c r="K50" i="71"/>
  <c r="S50" i="71"/>
  <c r="I50" i="71"/>
  <c r="Q50" i="71"/>
  <c r="M50" i="71"/>
  <c r="L50" i="71"/>
  <c r="J50" i="71"/>
  <c r="T50" i="71"/>
  <c r="O50" i="71"/>
  <c r="X7" i="69"/>
  <c r="AA6" i="69"/>
  <c r="X10" i="69"/>
  <c r="V6" i="69"/>
  <c r="H49" i="71"/>
  <c r="Y6" i="69"/>
  <c r="R47" i="71"/>
  <c r="N47" i="71"/>
  <c r="K47" i="71"/>
  <c r="L47" i="71"/>
  <c r="M47" i="71"/>
  <c r="O47" i="71"/>
  <c r="P47" i="71"/>
  <c r="S47" i="71"/>
  <c r="T47" i="71"/>
  <c r="I47" i="71"/>
  <c r="J47" i="71"/>
  <c r="Q47" i="71"/>
  <c r="Z7" i="69"/>
  <c r="AA9" i="69"/>
  <c r="X6" i="69"/>
  <c r="AB6" i="69"/>
  <c r="V10" i="69"/>
  <c r="H53" i="71"/>
  <c r="G53" i="71" s="1"/>
  <c r="N13" i="70"/>
  <c r="E13" i="70"/>
  <c r="E12" i="70"/>
  <c r="AB3" i="69"/>
  <c r="AB7" i="69"/>
  <c r="AA4" i="69"/>
  <c r="Y11" i="69"/>
  <c r="Y12" i="69" s="1"/>
  <c r="S12" i="69"/>
  <c r="E16" i="34" s="1"/>
  <c r="AA3" i="69"/>
  <c r="AA10" i="69"/>
  <c r="AB10" i="69"/>
  <c r="O11" i="69"/>
  <c r="T11" i="69"/>
  <c r="T12" i="69" s="1"/>
  <c r="E17" i="34" s="1"/>
  <c r="U46" i="71" l="1"/>
  <c r="U47" i="71"/>
  <c r="U50" i="71"/>
  <c r="O53" i="71"/>
  <c r="R53" i="71"/>
  <c r="L53" i="71"/>
  <c r="I53" i="71"/>
  <c r="P53" i="71"/>
  <c r="J53" i="71"/>
  <c r="T53" i="71"/>
  <c r="M53" i="71"/>
  <c r="Q53" i="71"/>
  <c r="K53" i="71"/>
  <c r="N53" i="71"/>
  <c r="S53" i="71"/>
  <c r="X12" i="69"/>
  <c r="G49" i="71"/>
  <c r="U51" i="71"/>
  <c r="I14" i="70"/>
  <c r="I13" i="70"/>
  <c r="I12" i="70"/>
  <c r="L12" i="70" s="1"/>
  <c r="M12" i="70" s="1"/>
  <c r="P11" i="69"/>
  <c r="H54" i="71" s="1"/>
  <c r="G54" i="71" s="1"/>
  <c r="U11" i="69"/>
  <c r="U12" i="69" s="1"/>
  <c r="E18" i="34" s="1"/>
  <c r="O12" i="69"/>
  <c r="C18" i="34" s="1"/>
  <c r="B18" i="34" s="1"/>
  <c r="Z11" i="69"/>
  <c r="Z12" i="69" s="1"/>
  <c r="B14" i="34"/>
  <c r="U53" i="71" l="1"/>
  <c r="AA11" i="69"/>
  <c r="AA12" i="69" s="1"/>
  <c r="H55" i="71"/>
  <c r="I54" i="71"/>
  <c r="L54" i="71"/>
  <c r="M54" i="71"/>
  <c r="T54" i="71"/>
  <c r="S54" i="71"/>
  <c r="Q54" i="71"/>
  <c r="N54" i="71"/>
  <c r="K54" i="71"/>
  <c r="R54" i="71"/>
  <c r="O54" i="71"/>
  <c r="P54" i="71"/>
  <c r="J54" i="71"/>
  <c r="S49" i="71"/>
  <c r="S55" i="71" s="1"/>
  <c r="P49" i="71"/>
  <c r="K49" i="71"/>
  <c r="T49" i="71"/>
  <c r="T55" i="71" s="1"/>
  <c r="R49" i="71"/>
  <c r="R55" i="71" s="1"/>
  <c r="I49" i="71"/>
  <c r="Q49" i="71"/>
  <c r="Q55" i="71" s="1"/>
  <c r="O49" i="71"/>
  <c r="O55" i="71" s="1"/>
  <c r="M49" i="71"/>
  <c r="M55" i="71" s="1"/>
  <c r="B12" i="75" s="1"/>
  <c r="C18" i="70" s="1"/>
  <c r="J18" i="70" s="1"/>
  <c r="J49" i="71"/>
  <c r="N49" i="71"/>
  <c r="N55" i="71" s="1"/>
  <c r="B13" i="75" s="1"/>
  <c r="L49" i="71"/>
  <c r="L55" i="71" s="1"/>
  <c r="B11" i="75" s="1"/>
  <c r="C17" i="70" s="1"/>
  <c r="J17" i="70" s="1"/>
  <c r="L13" i="70"/>
  <c r="M13" i="70" s="1"/>
  <c r="V11" i="69"/>
  <c r="P12" i="69"/>
  <c r="C19" i="34" s="1"/>
  <c r="B19" i="34" s="1"/>
  <c r="U49" i="71" l="1"/>
  <c r="I55" i="71"/>
  <c r="B8" i="75" s="1"/>
  <c r="U54" i="71"/>
  <c r="K55" i="71"/>
  <c r="B10" i="75" s="1"/>
  <c r="C16" i="70" s="1"/>
  <c r="J16" i="70" s="1"/>
  <c r="J55" i="71"/>
  <c r="B9" i="75" s="1"/>
  <c r="C15" i="70" s="1"/>
  <c r="J15" i="70" s="1"/>
  <c r="P55" i="71"/>
  <c r="B14" i="75"/>
  <c r="C19" i="70"/>
  <c r="J19" i="70" s="1"/>
  <c r="V12" i="69"/>
  <c r="AB11" i="69"/>
  <c r="AB12" i="69" s="1"/>
  <c r="C14" i="70" l="1"/>
  <c r="C8" i="75"/>
  <c r="E50" i="34"/>
  <c r="E19" i="34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0" i="34" s="1"/>
  <c r="B15" i="75"/>
  <c r="C20" i="70"/>
  <c r="J20" i="70" s="1"/>
  <c r="C9" i="75" l="1"/>
  <c r="F8" i="75"/>
  <c r="E31" i="34"/>
  <c r="E32" i="34" s="1"/>
  <c r="E33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J14" i="70"/>
  <c r="K14" i="70" s="1"/>
  <c r="D14" i="70"/>
  <c r="B16" i="75"/>
  <c r="C21" i="70"/>
  <c r="J21" i="70" s="1"/>
  <c r="E14" i="70" l="1"/>
  <c r="I15" i="70" s="1"/>
  <c r="N14" i="70"/>
  <c r="D15" i="70"/>
  <c r="G8" i="75"/>
  <c r="G9" i="75" s="1"/>
  <c r="C14" i="76"/>
  <c r="K15" i="70"/>
  <c r="L14" i="70"/>
  <c r="M14" i="70" s="1"/>
  <c r="E68" i="34"/>
  <c r="F9" i="75"/>
  <c r="C15" i="76" s="1"/>
  <c r="J15" i="76" s="1"/>
  <c r="C10" i="75"/>
  <c r="B17" i="75"/>
  <c r="C22" i="70"/>
  <c r="J22" i="70" s="1"/>
  <c r="K16" i="70" l="1"/>
  <c r="L15" i="70"/>
  <c r="M15" i="70" s="1"/>
  <c r="J14" i="76"/>
  <c r="K14" i="76" s="1"/>
  <c r="D14" i="76"/>
  <c r="F10" i="75"/>
  <c r="C16" i="76" s="1"/>
  <c r="J16" i="76" s="1"/>
  <c r="C11" i="75"/>
  <c r="D16" i="70"/>
  <c r="E15" i="70"/>
  <c r="N15" i="70"/>
  <c r="B18" i="75"/>
  <c r="C23" i="70"/>
  <c r="J23" i="70" s="1"/>
  <c r="D17" i="70" l="1"/>
  <c r="N16" i="70"/>
  <c r="E16" i="70"/>
  <c r="C12" i="75"/>
  <c r="F11" i="75"/>
  <c r="C17" i="76" s="1"/>
  <c r="J17" i="76" s="1"/>
  <c r="N14" i="76"/>
  <c r="D15" i="76"/>
  <c r="E14" i="76"/>
  <c r="I15" i="76" s="1"/>
  <c r="G10" i="75"/>
  <c r="K15" i="76"/>
  <c r="L14" i="76"/>
  <c r="M14" i="76" s="1"/>
  <c r="I16" i="70"/>
  <c r="I17" i="70"/>
  <c r="K17" i="70"/>
  <c r="K18" i="70" s="1"/>
  <c r="L16" i="70"/>
  <c r="M16" i="70" s="1"/>
  <c r="B19" i="75"/>
  <c r="U4" i="71"/>
  <c r="U55" i="71" s="1"/>
  <c r="C24" i="70"/>
  <c r="J24" i="70" s="1"/>
  <c r="K19" i="70" l="1"/>
  <c r="F12" i="75"/>
  <c r="C18" i="76" s="1"/>
  <c r="J18" i="76" s="1"/>
  <c r="C13" i="75"/>
  <c r="G11" i="75"/>
  <c r="G12" i="75" s="1"/>
  <c r="D18" i="70"/>
  <c r="E17" i="70"/>
  <c r="L18" i="70" s="1"/>
  <c r="N17" i="70"/>
  <c r="N15" i="76"/>
  <c r="E15" i="76"/>
  <c r="I16" i="76" s="1"/>
  <c r="D16" i="76"/>
  <c r="L17" i="70"/>
  <c r="M17" i="70" s="1"/>
  <c r="K16" i="76"/>
  <c r="L15" i="76"/>
  <c r="M15" i="76" s="1"/>
  <c r="C25" i="70"/>
  <c r="J25" i="70" s="1"/>
  <c r="K17" i="76" l="1"/>
  <c r="L16" i="76"/>
  <c r="M16" i="76" s="1"/>
  <c r="G13" i="75"/>
  <c r="I18" i="70"/>
  <c r="M18" i="70" s="1"/>
  <c r="D19" i="70"/>
  <c r="N18" i="70"/>
  <c r="E18" i="70"/>
  <c r="C14" i="75"/>
  <c r="F13" i="75"/>
  <c r="C19" i="76" s="1"/>
  <c r="J19" i="76" s="1"/>
  <c r="N16" i="76"/>
  <c r="D17" i="76"/>
  <c r="E16" i="76"/>
  <c r="I17" i="76" s="1"/>
  <c r="K20" i="70"/>
  <c r="L19" i="70"/>
  <c r="E25" i="33"/>
  <c r="E27" i="33" s="1"/>
  <c r="D25" i="33"/>
  <c r="D27" i="33" s="1"/>
  <c r="F19" i="33"/>
  <c r="F27" i="33" s="1"/>
  <c r="E19" i="33"/>
  <c r="D19" i="33"/>
  <c r="A15" i="33"/>
  <c r="A16" i="33" s="1"/>
  <c r="A17" i="33" s="1"/>
  <c r="A18" i="33" s="1"/>
  <c r="D20" i="70" l="1"/>
  <c r="N19" i="70"/>
  <c r="E19" i="70"/>
  <c r="I19" i="70" s="1"/>
  <c r="M19" i="70" s="1"/>
  <c r="E17" i="76"/>
  <c r="I18" i="76" s="1"/>
  <c r="D18" i="76"/>
  <c r="N17" i="76"/>
  <c r="G14" i="75"/>
  <c r="L17" i="76"/>
  <c r="M17" i="76" s="1"/>
  <c r="K18" i="76"/>
  <c r="L20" i="70"/>
  <c r="K21" i="70"/>
  <c r="C15" i="75"/>
  <c r="F14" i="75"/>
  <c r="C20" i="76" s="1"/>
  <c r="J20" i="76" s="1"/>
  <c r="A19" i="33"/>
  <c r="A21" i="33" s="1"/>
  <c r="N18" i="76" l="1"/>
  <c r="D19" i="76"/>
  <c r="E18" i="76"/>
  <c r="C16" i="75"/>
  <c r="F15" i="75"/>
  <c r="C21" i="76" s="1"/>
  <c r="J21" i="76" s="1"/>
  <c r="K22" i="70"/>
  <c r="L21" i="70"/>
  <c r="K19" i="76"/>
  <c r="L18" i="76"/>
  <c r="M18" i="76" s="1"/>
  <c r="E20" i="70"/>
  <c r="I20" i="70" s="1"/>
  <c r="M20" i="70" s="1"/>
  <c r="N20" i="70"/>
  <c r="D21" i="70"/>
  <c r="A22" i="33"/>
  <c r="A23" i="33" s="1"/>
  <c r="A24" i="33" s="1"/>
  <c r="A25" i="33" s="1"/>
  <c r="A26" i="33" s="1"/>
  <c r="A27" i="33" s="1"/>
  <c r="A28" i="33" s="1"/>
  <c r="A29" i="33" s="1"/>
  <c r="A30" i="33" s="1"/>
  <c r="A31" i="33" s="1"/>
  <c r="K23" i="70" l="1"/>
  <c r="L22" i="70"/>
  <c r="D22" i="70"/>
  <c r="E21" i="70"/>
  <c r="I21" i="70" s="1"/>
  <c r="M21" i="70" s="1"/>
  <c r="N21" i="70"/>
  <c r="C17" i="75"/>
  <c r="F16" i="75"/>
  <c r="C22" i="76" s="1"/>
  <c r="J22" i="76" s="1"/>
  <c r="E19" i="76"/>
  <c r="I19" i="76" s="1"/>
  <c r="D20" i="76"/>
  <c r="N19" i="76"/>
  <c r="K20" i="76"/>
  <c r="L19" i="76"/>
  <c r="G15" i="75"/>
  <c r="M19" i="76" l="1"/>
  <c r="G16" i="75"/>
  <c r="C18" i="75"/>
  <c r="F17" i="75"/>
  <c r="C23" i="76" s="1"/>
  <c r="J23" i="76" s="1"/>
  <c r="L20" i="76"/>
  <c r="M20" i="76" s="1"/>
  <c r="K21" i="76"/>
  <c r="D23" i="70"/>
  <c r="E22" i="70"/>
  <c r="I22" i="70" s="1"/>
  <c r="M22" i="70" s="1"/>
  <c r="N22" i="70"/>
  <c r="E20" i="76"/>
  <c r="I20" i="76" s="1"/>
  <c r="D21" i="76"/>
  <c r="N20" i="76"/>
  <c r="L23" i="70"/>
  <c r="K24" i="70"/>
  <c r="N23" i="70" l="1"/>
  <c r="D24" i="70"/>
  <c r="E23" i="70"/>
  <c r="I23" i="70" s="1"/>
  <c r="M23" i="70" s="1"/>
  <c r="K22" i="76"/>
  <c r="L21" i="76"/>
  <c r="D22" i="76"/>
  <c r="E21" i="76"/>
  <c r="I21" i="76" s="1"/>
  <c r="N21" i="76"/>
  <c r="F18" i="75"/>
  <c r="C24" i="76" s="1"/>
  <c r="J24" i="76" s="1"/>
  <c r="C19" i="75"/>
  <c r="F19" i="75" s="1"/>
  <c r="C25" i="76" s="1"/>
  <c r="J25" i="76" s="1"/>
  <c r="G17" i="75"/>
  <c r="G18" i="75" s="1"/>
  <c r="G19" i="75" s="1"/>
  <c r="K25" i="70"/>
  <c r="L25" i="70" s="1"/>
  <c r="L24" i="70"/>
  <c r="A32" i="33"/>
  <c r="A33" i="33" s="1"/>
  <c r="A34" i="33" s="1"/>
  <c r="A35" i="33" s="1"/>
  <c r="A36" i="33" s="1"/>
  <c r="A37" i="33" s="1"/>
  <c r="A38" i="33" s="1"/>
  <c r="D23" i="76" l="1"/>
  <c r="N22" i="76"/>
  <c r="E22" i="76"/>
  <c r="I22" i="76" s="1"/>
  <c r="K23" i="76"/>
  <c r="L22" i="76"/>
  <c r="M22" i="76" s="1"/>
  <c r="M21" i="76"/>
  <c r="E24" i="70"/>
  <c r="I24" i="70" s="1"/>
  <c r="M24" i="70" s="1"/>
  <c r="D25" i="70"/>
  <c r="N24" i="70"/>
  <c r="K24" i="76" l="1"/>
  <c r="L23" i="76"/>
  <c r="F26" i="70"/>
  <c r="F38" i="70"/>
  <c r="J38" i="70" s="1"/>
  <c r="F28" i="70"/>
  <c r="J28" i="70" s="1"/>
  <c r="F49" i="70"/>
  <c r="J49" i="70" s="1"/>
  <c r="F30" i="70"/>
  <c r="J30" i="70" s="1"/>
  <c r="E25" i="70"/>
  <c r="I25" i="70" s="1"/>
  <c r="M25" i="70" s="1"/>
  <c r="D26" i="70"/>
  <c r="F29" i="70"/>
  <c r="J29" i="70" s="1"/>
  <c r="F44" i="70"/>
  <c r="J44" i="70" s="1"/>
  <c r="F34" i="70"/>
  <c r="J34" i="70" s="1"/>
  <c r="F48" i="70"/>
  <c r="J48" i="70" s="1"/>
  <c r="F61" i="70"/>
  <c r="J61" i="70" s="1"/>
  <c r="F57" i="70"/>
  <c r="J57" i="70" s="1"/>
  <c r="F47" i="70"/>
  <c r="J47" i="70" s="1"/>
  <c r="F33" i="70"/>
  <c r="J33" i="70" s="1"/>
  <c r="F40" i="70"/>
  <c r="J40" i="70" s="1"/>
  <c r="F42" i="70"/>
  <c r="J42" i="70" s="1"/>
  <c r="F31" i="70"/>
  <c r="J31" i="70" s="1"/>
  <c r="F58" i="70"/>
  <c r="J58" i="70" s="1"/>
  <c r="F60" i="70"/>
  <c r="J60" i="70" s="1"/>
  <c r="F56" i="70"/>
  <c r="J56" i="70" s="1"/>
  <c r="N25" i="70"/>
  <c r="F53" i="70"/>
  <c r="J53" i="70" s="1"/>
  <c r="F51" i="70"/>
  <c r="J51" i="70" s="1"/>
  <c r="F43" i="70"/>
  <c r="J43" i="70" s="1"/>
  <c r="F32" i="70"/>
  <c r="J32" i="70" s="1"/>
  <c r="F54" i="70"/>
  <c r="J54" i="70" s="1"/>
  <c r="F59" i="70"/>
  <c r="J59" i="70" s="1"/>
  <c r="F55" i="70"/>
  <c r="J55" i="70" s="1"/>
  <c r="F37" i="70"/>
  <c r="J37" i="70" s="1"/>
  <c r="F52" i="70"/>
  <c r="J52" i="70" s="1"/>
  <c r="F50" i="70"/>
  <c r="J50" i="70" s="1"/>
  <c r="F45" i="70"/>
  <c r="J45" i="70" s="1"/>
  <c r="F41" i="70"/>
  <c r="J41" i="70" s="1"/>
  <c r="F36" i="70"/>
  <c r="J36" i="70" s="1"/>
  <c r="F27" i="70"/>
  <c r="J27" i="70" s="1"/>
  <c r="F46" i="70"/>
  <c r="J46" i="70" s="1"/>
  <c r="F35" i="70"/>
  <c r="J35" i="70" s="1"/>
  <c r="F39" i="70"/>
  <c r="J39" i="70" s="1"/>
  <c r="E23" i="76"/>
  <c r="I23" i="76" s="1"/>
  <c r="D24" i="76"/>
  <c r="N23" i="76"/>
  <c r="N24" i="76" l="1"/>
  <c r="E24" i="76"/>
  <c r="I24" i="76" s="1"/>
  <c r="D25" i="76"/>
  <c r="G31" i="33"/>
  <c r="J26" i="70"/>
  <c r="K26" i="70" s="1"/>
  <c r="G26" i="70"/>
  <c r="M23" i="76"/>
  <c r="D27" i="70"/>
  <c r="E26" i="70"/>
  <c r="L24" i="76"/>
  <c r="M24" i="76" s="1"/>
  <c r="K25" i="76"/>
  <c r="L25" i="76" s="1"/>
  <c r="E27" i="70" l="1"/>
  <c r="D28" i="70"/>
  <c r="N27" i="70"/>
  <c r="K27" i="70"/>
  <c r="L26" i="70"/>
  <c r="H26" i="70"/>
  <c r="I26" i="70" s="1"/>
  <c r="G27" i="70"/>
  <c r="F41" i="76"/>
  <c r="J41" i="76" s="1"/>
  <c r="E25" i="76"/>
  <c r="I25" i="76" s="1"/>
  <c r="M25" i="76" s="1"/>
  <c r="F52" i="76"/>
  <c r="J52" i="76" s="1"/>
  <c r="F40" i="76"/>
  <c r="J40" i="76" s="1"/>
  <c r="F59" i="76"/>
  <c r="J59" i="76" s="1"/>
  <c r="F54" i="76"/>
  <c r="J54" i="76" s="1"/>
  <c r="F27" i="76"/>
  <c r="J27" i="76" s="1"/>
  <c r="F44" i="76"/>
  <c r="J44" i="76" s="1"/>
  <c r="D26" i="76"/>
  <c r="F39" i="76"/>
  <c r="J39" i="76" s="1"/>
  <c r="F50" i="76"/>
  <c r="J50" i="76" s="1"/>
  <c r="F61" i="76"/>
  <c r="J61" i="76" s="1"/>
  <c r="F36" i="76"/>
  <c r="J36" i="76" s="1"/>
  <c r="F55" i="76"/>
  <c r="J55" i="76" s="1"/>
  <c r="F42" i="76"/>
  <c r="J42" i="76" s="1"/>
  <c r="F31" i="76"/>
  <c r="J31" i="76" s="1"/>
  <c r="F35" i="76"/>
  <c r="J35" i="76" s="1"/>
  <c r="F53" i="76"/>
  <c r="J53" i="76" s="1"/>
  <c r="F56" i="76"/>
  <c r="J56" i="76" s="1"/>
  <c r="F30" i="76"/>
  <c r="J30" i="76" s="1"/>
  <c r="F26" i="76"/>
  <c r="F38" i="76"/>
  <c r="J38" i="76" s="1"/>
  <c r="F37" i="76"/>
  <c r="J37" i="76" s="1"/>
  <c r="F49" i="76"/>
  <c r="J49" i="76" s="1"/>
  <c r="F28" i="76"/>
  <c r="J28" i="76" s="1"/>
  <c r="F32" i="76"/>
  <c r="J32" i="76" s="1"/>
  <c r="F33" i="76"/>
  <c r="J33" i="76" s="1"/>
  <c r="F51" i="76"/>
  <c r="J51" i="76" s="1"/>
  <c r="F34" i="76"/>
  <c r="J34" i="76" s="1"/>
  <c r="F46" i="76"/>
  <c r="J46" i="76" s="1"/>
  <c r="F45" i="76"/>
  <c r="J45" i="76" s="1"/>
  <c r="F29" i="76"/>
  <c r="J29" i="76" s="1"/>
  <c r="F58" i="76"/>
  <c r="J58" i="76" s="1"/>
  <c r="F43" i="76"/>
  <c r="J43" i="76" s="1"/>
  <c r="N25" i="76"/>
  <c r="F48" i="76"/>
  <c r="J48" i="76" s="1"/>
  <c r="F47" i="76"/>
  <c r="J47" i="76" s="1"/>
  <c r="F60" i="76"/>
  <c r="J60" i="76" s="1"/>
  <c r="F57" i="76"/>
  <c r="J57" i="76" s="1"/>
  <c r="N26" i="70"/>
  <c r="J26" i="76" l="1"/>
  <c r="K26" i="76" s="1"/>
  <c r="G26" i="76"/>
  <c r="G32" i="33"/>
  <c r="M26" i="70"/>
  <c r="K28" i="70"/>
  <c r="L27" i="70"/>
  <c r="M27" i="70" s="1"/>
  <c r="E26" i="76"/>
  <c r="D27" i="76"/>
  <c r="N26" i="76"/>
  <c r="D29" i="70"/>
  <c r="E28" i="70"/>
  <c r="H27" i="70"/>
  <c r="I27" i="70" s="1"/>
  <c r="G28" i="70"/>
  <c r="D30" i="70" l="1"/>
  <c r="E29" i="70"/>
  <c r="H28" i="70"/>
  <c r="I28" i="70" s="1"/>
  <c r="G29" i="70"/>
  <c r="K29" i="70"/>
  <c r="L28" i="70"/>
  <c r="M28" i="70" s="1"/>
  <c r="N28" i="70"/>
  <c r="H32" i="33"/>
  <c r="E27" i="76"/>
  <c r="D28" i="76"/>
  <c r="H26" i="76"/>
  <c r="I26" i="76" s="1"/>
  <c r="G27" i="76"/>
  <c r="K27" i="76"/>
  <c r="L26" i="76"/>
  <c r="G30" i="70" l="1"/>
  <c r="H29" i="70"/>
  <c r="I29" i="70" s="1"/>
  <c r="N29" i="70"/>
  <c r="G28" i="76"/>
  <c r="H27" i="76"/>
  <c r="I27" i="76" s="1"/>
  <c r="N27" i="76"/>
  <c r="D29" i="76"/>
  <c r="E28" i="76"/>
  <c r="L29" i="70"/>
  <c r="M29" i="70" s="1"/>
  <c r="K30" i="70"/>
  <c r="M26" i="76"/>
  <c r="K28" i="76"/>
  <c r="L27" i="76"/>
  <c r="M27" i="76" s="1"/>
  <c r="D31" i="70"/>
  <c r="E30" i="70"/>
  <c r="H28" i="76" l="1"/>
  <c r="I28" i="76" s="1"/>
  <c r="G29" i="76"/>
  <c r="K31" i="70"/>
  <c r="L30" i="70"/>
  <c r="K29" i="76"/>
  <c r="L28" i="76"/>
  <c r="M28" i="76" s="1"/>
  <c r="N30" i="70"/>
  <c r="N28" i="76"/>
  <c r="D32" i="70"/>
  <c r="E31" i="70"/>
  <c r="D30" i="76"/>
  <c r="E29" i="76"/>
  <c r="N29" i="76"/>
  <c r="G31" i="70"/>
  <c r="N31" i="70" s="1"/>
  <c r="H30" i="70"/>
  <c r="I30" i="70" s="1"/>
  <c r="K30" i="76" l="1"/>
  <c r="L29" i="76"/>
  <c r="D31" i="76"/>
  <c r="E30" i="76"/>
  <c r="H29" i="76"/>
  <c r="I29" i="76" s="1"/>
  <c r="G30" i="76"/>
  <c r="H31" i="70"/>
  <c r="I31" i="70" s="1"/>
  <c r="G32" i="70"/>
  <c r="M30" i="70"/>
  <c r="K32" i="70"/>
  <c r="L31" i="70"/>
  <c r="E32" i="70"/>
  <c r="D33" i="70"/>
  <c r="N32" i="70"/>
  <c r="H30" i="76" l="1"/>
  <c r="I30" i="76" s="1"/>
  <c r="G31" i="76"/>
  <c r="M31" i="70"/>
  <c r="N30" i="76"/>
  <c r="M29" i="76"/>
  <c r="D34" i="70"/>
  <c r="E33" i="70"/>
  <c r="N33" i="70"/>
  <c r="L32" i="70"/>
  <c r="K33" i="70"/>
  <c r="D32" i="76"/>
  <c r="E31" i="76"/>
  <c r="N31" i="76"/>
  <c r="H32" i="70"/>
  <c r="I32" i="70" s="1"/>
  <c r="G33" i="70"/>
  <c r="L30" i="76"/>
  <c r="M30" i="76" s="1"/>
  <c r="K31" i="76"/>
  <c r="H33" i="70" l="1"/>
  <c r="I33" i="70" s="1"/>
  <c r="G34" i="70"/>
  <c r="D35" i="70"/>
  <c r="E34" i="70"/>
  <c r="N34" i="70"/>
  <c r="E32" i="76"/>
  <c r="D33" i="76"/>
  <c r="N32" i="76"/>
  <c r="K34" i="70"/>
  <c r="L33" i="70"/>
  <c r="M33" i="70" s="1"/>
  <c r="G32" i="76"/>
  <c r="H31" i="76"/>
  <c r="I31" i="76" s="1"/>
  <c r="L31" i="76"/>
  <c r="M31" i="76" s="1"/>
  <c r="K32" i="76"/>
  <c r="M32" i="70"/>
  <c r="D34" i="76" l="1"/>
  <c r="E33" i="76"/>
  <c r="K33" i="76"/>
  <c r="L32" i="76"/>
  <c r="M32" i="76" s="1"/>
  <c r="D36" i="70"/>
  <c r="E35" i="70"/>
  <c r="N35" i="70"/>
  <c r="H34" i="70"/>
  <c r="I34" i="70" s="1"/>
  <c r="G35" i="70"/>
  <c r="H32" i="76"/>
  <c r="I32" i="76" s="1"/>
  <c r="G33" i="76"/>
  <c r="N33" i="76" s="1"/>
  <c r="K35" i="70"/>
  <c r="L34" i="70"/>
  <c r="M34" i="70" s="1"/>
  <c r="G34" i="76" l="1"/>
  <c r="H33" i="76"/>
  <c r="I33" i="76" s="1"/>
  <c r="D37" i="70"/>
  <c r="E36" i="70"/>
  <c r="K36" i="70"/>
  <c r="L35" i="70"/>
  <c r="M35" i="70" s="1"/>
  <c r="L33" i="76"/>
  <c r="M33" i="76" s="1"/>
  <c r="K34" i="76"/>
  <c r="G36" i="70"/>
  <c r="H35" i="70"/>
  <c r="I35" i="70" s="1"/>
  <c r="D35" i="76"/>
  <c r="E34" i="76"/>
  <c r="N34" i="76"/>
  <c r="D36" i="76" l="1"/>
  <c r="E35" i="76"/>
  <c r="K37" i="70"/>
  <c r="L36" i="70"/>
  <c r="M36" i="70" s="1"/>
  <c r="N36" i="70"/>
  <c r="D38" i="70"/>
  <c r="E37" i="70"/>
  <c r="H36" i="70"/>
  <c r="I36" i="70" s="1"/>
  <c r="G37" i="70"/>
  <c r="K35" i="76"/>
  <c r="L34" i="76"/>
  <c r="G35" i="76"/>
  <c r="H34" i="76"/>
  <c r="I34" i="76" s="1"/>
  <c r="G22" i="33" l="1"/>
  <c r="E38" i="70"/>
  <c r="D39" i="70"/>
  <c r="N38" i="70"/>
  <c r="H35" i="76"/>
  <c r="I35" i="76" s="1"/>
  <c r="G36" i="76"/>
  <c r="L37" i="70"/>
  <c r="G24" i="33" s="1"/>
  <c r="K38" i="70"/>
  <c r="L35" i="76"/>
  <c r="K36" i="76"/>
  <c r="G38" i="70"/>
  <c r="H37" i="70"/>
  <c r="G23" i="33" s="1"/>
  <c r="M34" i="76"/>
  <c r="N35" i="76"/>
  <c r="N37" i="70"/>
  <c r="D37" i="76"/>
  <c r="E36" i="76"/>
  <c r="G39" i="70" l="1"/>
  <c r="H38" i="70"/>
  <c r="I38" i="70" s="1"/>
  <c r="D40" i="70"/>
  <c r="E39" i="70"/>
  <c r="K37" i="76"/>
  <c r="L36" i="76"/>
  <c r="G37" i="76"/>
  <c r="H36" i="76"/>
  <c r="I36" i="76" s="1"/>
  <c r="M35" i="76"/>
  <c r="I37" i="70"/>
  <c r="M37" i="70" s="1"/>
  <c r="N36" i="76"/>
  <c r="D38" i="76"/>
  <c r="E37" i="76"/>
  <c r="L38" i="70"/>
  <c r="M38" i="70" s="1"/>
  <c r="K39" i="70"/>
  <c r="N39" i="70" s="1"/>
  <c r="H22" i="33"/>
  <c r="G38" i="76" l="1"/>
  <c r="H37" i="76"/>
  <c r="N37" i="76"/>
  <c r="E40" i="70"/>
  <c r="D41" i="70"/>
  <c r="L39" i="70"/>
  <c r="M39" i="70" s="1"/>
  <c r="K40" i="70"/>
  <c r="I37" i="76"/>
  <c r="M37" i="76" s="1"/>
  <c r="K38" i="76"/>
  <c r="L37" i="76"/>
  <c r="M36" i="76"/>
  <c r="D39" i="76"/>
  <c r="E38" i="76"/>
  <c r="N38" i="76"/>
  <c r="G40" i="70"/>
  <c r="H39" i="70"/>
  <c r="I39" i="70" s="1"/>
  <c r="E41" i="70" l="1"/>
  <c r="D42" i="70"/>
  <c r="E39" i="76"/>
  <c r="D40" i="76"/>
  <c r="K41" i="70"/>
  <c r="L40" i="70"/>
  <c r="H40" i="70"/>
  <c r="I40" i="70" s="1"/>
  <c r="G41" i="70"/>
  <c r="K39" i="76"/>
  <c r="L38" i="76"/>
  <c r="N40" i="70"/>
  <c r="H38" i="76"/>
  <c r="I38" i="76" s="1"/>
  <c r="G39" i="76"/>
  <c r="L41" i="70" l="1"/>
  <c r="K42" i="70"/>
  <c r="M38" i="76"/>
  <c r="N41" i="70"/>
  <c r="D41" i="76"/>
  <c r="E40" i="76"/>
  <c r="N40" i="76"/>
  <c r="D43" i="70"/>
  <c r="E42" i="70"/>
  <c r="G40" i="76"/>
  <c r="H39" i="76"/>
  <c r="I39" i="76" s="1"/>
  <c r="N39" i="76"/>
  <c r="K40" i="76"/>
  <c r="L39" i="76"/>
  <c r="M39" i="76" s="1"/>
  <c r="G42" i="70"/>
  <c r="H41" i="70"/>
  <c r="I41" i="70" s="1"/>
  <c r="M40" i="70"/>
  <c r="N42" i="70" l="1"/>
  <c r="G43" i="70"/>
  <c r="H42" i="70"/>
  <c r="I42" i="70" s="1"/>
  <c r="E43" i="70"/>
  <c r="D44" i="70"/>
  <c r="N43" i="70"/>
  <c r="D42" i="76"/>
  <c r="E41" i="76"/>
  <c r="G41" i="76"/>
  <c r="H40" i="76"/>
  <c r="I40" i="76" s="1"/>
  <c r="K43" i="70"/>
  <c r="L42" i="70"/>
  <c r="M42" i="70" s="1"/>
  <c r="K41" i="76"/>
  <c r="L40" i="76"/>
  <c r="M40" i="76" s="1"/>
  <c r="M41" i="70"/>
  <c r="D43" i="76" l="1"/>
  <c r="E42" i="76"/>
  <c r="K42" i="76"/>
  <c r="L41" i="76"/>
  <c r="M41" i="76" s="1"/>
  <c r="E44" i="70"/>
  <c r="D45" i="70"/>
  <c r="N44" i="70"/>
  <c r="K44" i="70"/>
  <c r="L43" i="70"/>
  <c r="G42" i="76"/>
  <c r="H41" i="76"/>
  <c r="I41" i="76" s="1"/>
  <c r="G44" i="70"/>
  <c r="H43" i="70"/>
  <c r="I43" i="70" s="1"/>
  <c r="N41" i="76"/>
  <c r="L42" i="76" l="1"/>
  <c r="K43" i="76"/>
  <c r="H44" i="70"/>
  <c r="I44" i="70" s="1"/>
  <c r="G45" i="70"/>
  <c r="H42" i="76"/>
  <c r="I42" i="76" s="1"/>
  <c r="G43" i="76"/>
  <c r="N42" i="76"/>
  <c r="E45" i="70"/>
  <c r="D46" i="70"/>
  <c r="M43" i="70"/>
  <c r="K45" i="70"/>
  <c r="L44" i="70"/>
  <c r="M44" i="70" s="1"/>
  <c r="D44" i="76"/>
  <c r="E43" i="76"/>
  <c r="N43" i="76"/>
  <c r="D45" i="76" l="1"/>
  <c r="E44" i="76"/>
  <c r="K46" i="70"/>
  <c r="L45" i="70"/>
  <c r="G46" i="70"/>
  <c r="H45" i="70"/>
  <c r="I45" i="70" s="1"/>
  <c r="N45" i="70"/>
  <c r="L43" i="76"/>
  <c r="K44" i="76"/>
  <c r="G44" i="76"/>
  <c r="H43" i="76"/>
  <c r="I43" i="76" s="1"/>
  <c r="D47" i="70"/>
  <c r="E46" i="70"/>
  <c r="N46" i="70"/>
  <c r="M42" i="76"/>
  <c r="G47" i="70" l="1"/>
  <c r="N47" i="70" s="1"/>
  <c r="H46" i="70"/>
  <c r="I46" i="70" s="1"/>
  <c r="D48" i="70"/>
  <c r="E47" i="70"/>
  <c r="H44" i="76"/>
  <c r="I44" i="76" s="1"/>
  <c r="G45" i="76"/>
  <c r="N44" i="76"/>
  <c r="M45" i="70"/>
  <c r="L46" i="70"/>
  <c r="M46" i="70" s="1"/>
  <c r="K47" i="70"/>
  <c r="K45" i="76"/>
  <c r="L44" i="76"/>
  <c r="M43" i="76"/>
  <c r="D46" i="76"/>
  <c r="E45" i="76"/>
  <c r="G14" i="34"/>
  <c r="AJ10" i="50"/>
  <c r="E6" i="34" s="1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D6" i="34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J8" i="50"/>
  <c r="C6" i="34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N7" i="50"/>
  <c r="AN8" i="50" s="1"/>
  <c r="AJ7" i="50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V8" i="50" s="1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D47" i="76" l="1"/>
  <c r="E46" i="76"/>
  <c r="G46" i="76"/>
  <c r="H45" i="76"/>
  <c r="I45" i="76" s="1"/>
  <c r="M44" i="76"/>
  <c r="AK7" i="50"/>
  <c r="AK8" i="50" s="1"/>
  <c r="AK9" i="50" s="1"/>
  <c r="AK10" i="50" s="1"/>
  <c r="B6" i="34"/>
  <c r="L47" i="70"/>
  <c r="K48" i="70"/>
  <c r="D49" i="70"/>
  <c r="E48" i="70"/>
  <c r="N48" i="70"/>
  <c r="L45" i="76"/>
  <c r="M45" i="76" s="1"/>
  <c r="K46" i="76"/>
  <c r="N45" i="76"/>
  <c r="G48" i="70"/>
  <c r="H47" i="70"/>
  <c r="I47" i="70" s="1"/>
  <c r="G15" i="34"/>
  <c r="AH6" i="50"/>
  <c r="AN6" i="50"/>
  <c r="M6" i="50"/>
  <c r="S6" i="50"/>
  <c r="Y6" i="50" s="1"/>
  <c r="H46" i="76" l="1"/>
  <c r="I46" i="76" s="1"/>
  <c r="G47" i="76"/>
  <c r="D14" i="34"/>
  <c r="D18" i="34"/>
  <c r="D16" i="34"/>
  <c r="D17" i="34"/>
  <c r="D15" i="34"/>
  <c r="F6" i="34"/>
  <c r="N46" i="76"/>
  <c r="K47" i="76"/>
  <c r="L46" i="76"/>
  <c r="M46" i="76" s="1"/>
  <c r="D50" i="70"/>
  <c r="E49" i="70"/>
  <c r="L48" i="70"/>
  <c r="M48" i="70" s="1"/>
  <c r="K49" i="70"/>
  <c r="G49" i="70"/>
  <c r="H48" i="70"/>
  <c r="I48" i="70" s="1"/>
  <c r="M47" i="70"/>
  <c r="D48" i="76"/>
  <c r="E47" i="76"/>
  <c r="N47" i="76"/>
  <c r="A4" i="38"/>
  <c r="A1" i="34"/>
  <c r="K50" i="70" l="1"/>
  <c r="L49" i="70"/>
  <c r="N49" i="70"/>
  <c r="D49" i="76"/>
  <c r="E48" i="76"/>
  <c r="K48" i="76"/>
  <c r="L47" i="76"/>
  <c r="M47" i="76" s="1"/>
  <c r="H47" i="76"/>
  <c r="I47" i="76" s="1"/>
  <c r="G48" i="76"/>
  <c r="D51" i="70"/>
  <c r="E50" i="70"/>
  <c r="H49" i="70"/>
  <c r="I49" i="70" s="1"/>
  <c r="G50" i="70"/>
  <c r="G16" i="34"/>
  <c r="A32" i="38"/>
  <c r="A31" i="38"/>
  <c r="A30" i="38"/>
  <c r="B29" i="38"/>
  <c r="G17" i="38" s="1"/>
  <c r="F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L48" i="76" l="1"/>
  <c r="K49" i="76"/>
  <c r="E49" i="76"/>
  <c r="D50" i="76"/>
  <c r="G51" i="70"/>
  <c r="N51" i="70" s="1"/>
  <c r="H50" i="70"/>
  <c r="I50" i="70" s="1"/>
  <c r="N48" i="76"/>
  <c r="N50" i="70"/>
  <c r="D52" i="70"/>
  <c r="E51" i="70"/>
  <c r="G49" i="76"/>
  <c r="H48" i="76"/>
  <c r="I48" i="76" s="1"/>
  <c r="M49" i="70"/>
  <c r="K51" i="70"/>
  <c r="L50" i="70"/>
  <c r="G17" i="34"/>
  <c r="D19" i="34"/>
  <c r="G18" i="38"/>
  <c r="K52" i="70" l="1"/>
  <c r="L51" i="70"/>
  <c r="D51" i="76"/>
  <c r="E50" i="76"/>
  <c r="H49" i="76"/>
  <c r="I49" i="76" s="1"/>
  <c r="G50" i="76"/>
  <c r="N50" i="76" s="1"/>
  <c r="H51" i="70"/>
  <c r="I51" i="70" s="1"/>
  <c r="G52" i="70"/>
  <c r="D53" i="70"/>
  <c r="E52" i="70"/>
  <c r="N52" i="70"/>
  <c r="K50" i="76"/>
  <c r="L49" i="76"/>
  <c r="M49" i="76" s="1"/>
  <c r="N49" i="76"/>
  <c r="M50" i="70"/>
  <c r="M48" i="76"/>
  <c r="G18" i="34"/>
  <c r="C20" i="34"/>
  <c r="D20" i="34" s="1"/>
  <c r="G19" i="38"/>
  <c r="F18" i="38"/>
  <c r="D52" i="76" l="1"/>
  <c r="E51" i="76"/>
  <c r="H50" i="76"/>
  <c r="I50" i="76" s="1"/>
  <c r="G51" i="76"/>
  <c r="M51" i="70"/>
  <c r="K51" i="76"/>
  <c r="L50" i="76"/>
  <c r="M50" i="76" s="1"/>
  <c r="D54" i="70"/>
  <c r="E53" i="70"/>
  <c r="G53" i="70"/>
  <c r="N53" i="70" s="1"/>
  <c r="H52" i="70"/>
  <c r="I52" i="70" s="1"/>
  <c r="K53" i="70"/>
  <c r="L52" i="70"/>
  <c r="M52" i="70" s="1"/>
  <c r="G19" i="34"/>
  <c r="C21" i="34"/>
  <c r="D21" i="34" s="1"/>
  <c r="G20" i="38"/>
  <c r="F19" i="38"/>
  <c r="K54" i="70" l="1"/>
  <c r="L53" i="70"/>
  <c r="G52" i="76"/>
  <c r="H51" i="76"/>
  <c r="I51" i="76" s="1"/>
  <c r="K52" i="76"/>
  <c r="L51" i="76"/>
  <c r="M51" i="76" s="1"/>
  <c r="G54" i="70"/>
  <c r="H53" i="70"/>
  <c r="I53" i="70" s="1"/>
  <c r="N51" i="76"/>
  <c r="E54" i="70"/>
  <c r="D55" i="70"/>
  <c r="D53" i="76"/>
  <c r="E52" i="76"/>
  <c r="N52" i="76"/>
  <c r="G20" i="34"/>
  <c r="C22" i="34"/>
  <c r="D22" i="34" s="1"/>
  <c r="G21" i="38"/>
  <c r="F20" i="38"/>
  <c r="B16" i="34"/>
  <c r="B20" i="34" s="1"/>
  <c r="B21" i="34" s="1"/>
  <c r="B15" i="34"/>
  <c r="C5" i="34"/>
  <c r="D5" i="34" s="1"/>
  <c r="E5" i="34" s="1"/>
  <c r="G55" i="70" l="1"/>
  <c r="H54" i="70"/>
  <c r="I54" i="70" s="1"/>
  <c r="D56" i="70"/>
  <c r="E55" i="70"/>
  <c r="G53" i="76"/>
  <c r="H52" i="76"/>
  <c r="I52" i="76" s="1"/>
  <c r="M53" i="70"/>
  <c r="D54" i="76"/>
  <c r="E53" i="76"/>
  <c r="K53" i="76"/>
  <c r="L52" i="76"/>
  <c r="N54" i="70"/>
  <c r="K55" i="70"/>
  <c r="L54" i="70"/>
  <c r="M54" i="70" s="1"/>
  <c r="G21" i="34"/>
  <c r="C23" i="34"/>
  <c r="D23" i="34" s="1"/>
  <c r="G22" i="38"/>
  <c r="F21" i="38"/>
  <c r="I14" i="34"/>
  <c r="K56" i="70" l="1"/>
  <c r="L55" i="70"/>
  <c r="G54" i="76"/>
  <c r="H53" i="76"/>
  <c r="I53" i="76" s="1"/>
  <c r="N55" i="70"/>
  <c r="K54" i="76"/>
  <c r="L53" i="76"/>
  <c r="M53" i="76" s="1"/>
  <c r="N53" i="76"/>
  <c r="D57" i="70"/>
  <c r="E56" i="70"/>
  <c r="N56" i="70"/>
  <c r="M52" i="76"/>
  <c r="E54" i="76"/>
  <c r="D55" i="76"/>
  <c r="N54" i="76"/>
  <c r="H55" i="70"/>
  <c r="I55" i="70" s="1"/>
  <c r="G56" i="70"/>
  <c r="G22" i="34"/>
  <c r="C24" i="34"/>
  <c r="D24" i="34" s="1"/>
  <c r="G23" i="38"/>
  <c r="F22" i="38"/>
  <c r="I15" i="34"/>
  <c r="K55" i="76" l="1"/>
  <c r="L54" i="76"/>
  <c r="H54" i="76"/>
  <c r="I54" i="76" s="1"/>
  <c r="G55" i="76"/>
  <c r="M55" i="70"/>
  <c r="E55" i="76"/>
  <c r="D56" i="76"/>
  <c r="N55" i="76"/>
  <c r="G57" i="70"/>
  <c r="H56" i="70"/>
  <c r="I56" i="70" s="1"/>
  <c r="E57" i="70"/>
  <c r="D58" i="70"/>
  <c r="K57" i="70"/>
  <c r="N57" i="70" s="1"/>
  <c r="L56" i="70"/>
  <c r="M56" i="70" s="1"/>
  <c r="G23" i="34"/>
  <c r="C25" i="34"/>
  <c r="D25" i="34" s="1"/>
  <c r="G24" i="38"/>
  <c r="F23" i="38"/>
  <c r="I16" i="34"/>
  <c r="D59" i="70" l="1"/>
  <c r="E58" i="70"/>
  <c r="D57" i="76"/>
  <c r="E56" i="76"/>
  <c r="K58" i="70"/>
  <c r="L57" i="70"/>
  <c r="M57" i="70" s="1"/>
  <c r="G56" i="76"/>
  <c r="H55" i="76"/>
  <c r="I55" i="76" s="1"/>
  <c r="M54" i="76"/>
  <c r="G58" i="70"/>
  <c r="H57" i="70"/>
  <c r="I57" i="70" s="1"/>
  <c r="L55" i="76"/>
  <c r="M55" i="76" s="1"/>
  <c r="K56" i="76"/>
  <c r="G24" i="34"/>
  <c r="C26" i="34"/>
  <c r="D26" i="34" s="1"/>
  <c r="F14" i="34"/>
  <c r="F15" i="34" s="1"/>
  <c r="G25" i="38"/>
  <c r="F24" i="38"/>
  <c r="I17" i="34"/>
  <c r="L56" i="76" l="1"/>
  <c r="K57" i="76"/>
  <c r="G59" i="70"/>
  <c r="H58" i="70"/>
  <c r="I58" i="70" s="1"/>
  <c r="D58" i="76"/>
  <c r="E57" i="76"/>
  <c r="N57" i="76"/>
  <c r="K59" i="70"/>
  <c r="L58" i="70"/>
  <c r="N56" i="76"/>
  <c r="N58" i="70"/>
  <c r="G57" i="76"/>
  <c r="H56" i="76"/>
  <c r="I56" i="76" s="1"/>
  <c r="D60" i="70"/>
  <c r="E59" i="70"/>
  <c r="N59" i="70"/>
  <c r="G25" i="34"/>
  <c r="C27" i="34"/>
  <c r="D27" i="34" s="1"/>
  <c r="G26" i="38"/>
  <c r="F25" i="38"/>
  <c r="I18" i="34"/>
  <c r="K60" i="70" l="1"/>
  <c r="L59" i="70"/>
  <c r="D61" i="70"/>
  <c r="E60" i="70"/>
  <c r="G60" i="70"/>
  <c r="N60" i="70" s="1"/>
  <c r="H59" i="70"/>
  <c r="I59" i="70" s="1"/>
  <c r="K58" i="76"/>
  <c r="L57" i="76"/>
  <c r="D59" i="76"/>
  <c r="E58" i="76"/>
  <c r="G58" i="76"/>
  <c r="H57" i="76"/>
  <c r="I57" i="76" s="1"/>
  <c r="M58" i="70"/>
  <c r="M56" i="76"/>
  <c r="G26" i="34"/>
  <c r="C28" i="34"/>
  <c r="D28" i="34" s="1"/>
  <c r="F16" i="34"/>
  <c r="G27" i="38"/>
  <c r="F26" i="38"/>
  <c r="E61" i="70" l="1"/>
  <c r="I61" i="70" s="1"/>
  <c r="M61" i="70" s="1"/>
  <c r="G61" i="70"/>
  <c r="H61" i="70" s="1"/>
  <c r="H60" i="70"/>
  <c r="I60" i="70" s="1"/>
  <c r="G59" i="76"/>
  <c r="H58" i="76"/>
  <c r="I58" i="76" s="1"/>
  <c r="N58" i="76"/>
  <c r="D60" i="76"/>
  <c r="E59" i="76"/>
  <c r="M59" i="70"/>
  <c r="K59" i="76"/>
  <c r="L58" i="76"/>
  <c r="M57" i="76"/>
  <c r="L60" i="70"/>
  <c r="M60" i="70" s="1"/>
  <c r="K61" i="70"/>
  <c r="L61" i="70" s="1"/>
  <c r="G27" i="34"/>
  <c r="C29" i="34"/>
  <c r="F17" i="34"/>
  <c r="G28" i="38"/>
  <c r="F28" i="38" s="1"/>
  <c r="F27" i="38"/>
  <c r="D61" i="76" l="1"/>
  <c r="E60" i="76"/>
  <c r="L59" i="76"/>
  <c r="K60" i="76"/>
  <c r="M58" i="76"/>
  <c r="G60" i="76"/>
  <c r="H59" i="76"/>
  <c r="I59" i="76" s="1"/>
  <c r="N59" i="76"/>
  <c r="N61" i="70"/>
  <c r="D29" i="34"/>
  <c r="G28" i="34"/>
  <c r="C30" i="34"/>
  <c r="D30" i="34" s="1"/>
  <c r="F18" i="34"/>
  <c r="G61" i="76" l="1"/>
  <c r="H61" i="76" s="1"/>
  <c r="H60" i="76"/>
  <c r="I60" i="76" s="1"/>
  <c r="L60" i="76"/>
  <c r="M60" i="76" s="1"/>
  <c r="K61" i="76"/>
  <c r="L61" i="76" s="1"/>
  <c r="M59" i="76"/>
  <c r="N60" i="76"/>
  <c r="E61" i="76"/>
  <c r="I61" i="76" s="1"/>
  <c r="M61" i="76" s="1"/>
  <c r="N61" i="76"/>
  <c r="G29" i="34"/>
  <c r="C31" i="34"/>
  <c r="D31" i="34" s="1"/>
  <c r="F19" i="34"/>
  <c r="I19" i="34"/>
  <c r="G30" i="34" l="1"/>
  <c r="C32" i="34"/>
  <c r="D32" i="34" s="1"/>
  <c r="F20" i="34"/>
  <c r="G31" i="34" l="1"/>
  <c r="C33" i="34"/>
  <c r="D33" i="34" s="1"/>
  <c r="F21" i="34"/>
  <c r="I20" i="34"/>
  <c r="G32" i="34" l="1"/>
  <c r="C34" i="34"/>
  <c r="D34" i="34" s="1"/>
  <c r="F22" i="34"/>
  <c r="B22" i="34"/>
  <c r="I21" i="34"/>
  <c r="G33" i="34" l="1"/>
  <c r="C35" i="34"/>
  <c r="D35" i="34" s="1"/>
  <c r="F23" i="34"/>
  <c r="B23" i="34"/>
  <c r="I22" i="34"/>
  <c r="G34" i="34" l="1"/>
  <c r="C36" i="34"/>
  <c r="D36" i="34" s="1"/>
  <c r="H14" i="34"/>
  <c r="J14" i="34" s="1"/>
  <c r="K14" i="34" s="1"/>
  <c r="L14" i="34" s="1"/>
  <c r="B24" i="34"/>
  <c r="F24" i="34" s="1"/>
  <c r="I23" i="34"/>
  <c r="G35" i="34" l="1"/>
  <c r="C37" i="34"/>
  <c r="D37" i="34" s="1"/>
  <c r="H15" i="34"/>
  <c r="J15" i="34" s="1"/>
  <c r="K15" i="34" s="1"/>
  <c r="L15" i="34" s="1"/>
  <c r="B25" i="34"/>
  <c r="F25" i="34" s="1"/>
  <c r="I24" i="34"/>
  <c r="G36" i="34" l="1"/>
  <c r="C38" i="34"/>
  <c r="H16" i="34"/>
  <c r="J16" i="34" s="1"/>
  <c r="K16" i="34" s="1"/>
  <c r="L16" i="34" s="1"/>
  <c r="B26" i="34"/>
  <c r="I25" i="34"/>
  <c r="G37" i="34" l="1"/>
  <c r="C39" i="34"/>
  <c r="H17" i="34"/>
  <c r="J17" i="34" s="1"/>
  <c r="K17" i="34" s="1"/>
  <c r="L17" i="34" s="1"/>
  <c r="B27" i="34"/>
  <c r="F26" i="34"/>
  <c r="I26" i="34"/>
  <c r="G38" i="34" l="1"/>
  <c r="G39" i="34" s="1"/>
  <c r="F27" i="34"/>
  <c r="C40" i="34"/>
  <c r="H18" i="34"/>
  <c r="B28" i="34"/>
  <c r="I27" i="34"/>
  <c r="F28" i="34" l="1"/>
  <c r="B29" i="34"/>
  <c r="C41" i="34"/>
  <c r="C69" i="34" s="1"/>
  <c r="G40" i="34"/>
  <c r="H19" i="34"/>
  <c r="J19" i="34" s="1"/>
  <c r="K19" i="34" s="1"/>
  <c r="J18" i="34"/>
  <c r="K18" i="34" s="1"/>
  <c r="L18" i="34" s="1"/>
  <c r="I28" i="34"/>
  <c r="G16" i="33" l="1"/>
  <c r="F29" i="34"/>
  <c r="H29" i="34" s="1"/>
  <c r="B30" i="34"/>
  <c r="B31" i="34" s="1"/>
  <c r="B32" i="34" s="1"/>
  <c r="L19" i="34"/>
  <c r="C42" i="34"/>
  <c r="G41" i="34"/>
  <c r="H20" i="34"/>
  <c r="J20" i="34" s="1"/>
  <c r="K20" i="34" s="1"/>
  <c r="L20" i="34" s="1"/>
  <c r="I29" i="34"/>
  <c r="F30" i="34" l="1"/>
  <c r="G69" i="34"/>
  <c r="G17" i="33" s="1"/>
  <c r="G30" i="33"/>
  <c r="G33" i="33" s="1"/>
  <c r="C43" i="34"/>
  <c r="G42" i="34"/>
  <c r="H21" i="34"/>
  <c r="J21" i="34" s="1"/>
  <c r="K21" i="34" s="1"/>
  <c r="L21" i="34" s="1"/>
  <c r="I30" i="34"/>
  <c r="F31" i="34" l="1"/>
  <c r="C44" i="34"/>
  <c r="G43" i="34"/>
  <c r="H22" i="34"/>
  <c r="J22" i="34" s="1"/>
  <c r="K22" i="34" s="1"/>
  <c r="L22" i="34" s="1"/>
  <c r="I31" i="34"/>
  <c r="F32" i="34" l="1"/>
  <c r="C45" i="34"/>
  <c r="G44" i="34"/>
  <c r="H23" i="34"/>
  <c r="J23" i="34" s="1"/>
  <c r="K23" i="34" s="1"/>
  <c r="L23" i="34" s="1"/>
  <c r="B33" i="34"/>
  <c r="I32" i="34"/>
  <c r="F33" i="34" l="1"/>
  <c r="C46" i="34"/>
  <c r="G45" i="34"/>
  <c r="H24" i="34"/>
  <c r="J24" i="34" s="1"/>
  <c r="K24" i="34" s="1"/>
  <c r="L24" i="34" s="1"/>
  <c r="B34" i="34"/>
  <c r="I33" i="34"/>
  <c r="F34" i="34" l="1"/>
  <c r="C47" i="34"/>
  <c r="G46" i="34"/>
  <c r="H25" i="34"/>
  <c r="J25" i="34" s="1"/>
  <c r="K25" i="34" s="1"/>
  <c r="L25" i="34" s="1"/>
  <c r="B35" i="34"/>
  <c r="F35" i="34" s="1"/>
  <c r="I34" i="34"/>
  <c r="C48" i="34" l="1"/>
  <c r="G47" i="34"/>
  <c r="H26" i="34"/>
  <c r="J26" i="34" s="1"/>
  <c r="K26" i="34" s="1"/>
  <c r="L26" i="34" s="1"/>
  <c r="B36" i="34"/>
  <c r="F36" i="34" s="1"/>
  <c r="I35" i="34"/>
  <c r="C49" i="34" l="1"/>
  <c r="G48" i="34"/>
  <c r="H27" i="34"/>
  <c r="J27" i="34" s="1"/>
  <c r="K27" i="34" s="1"/>
  <c r="L27" i="34" s="1"/>
  <c r="B37" i="34"/>
  <c r="F37" i="34" s="1"/>
  <c r="I36" i="34"/>
  <c r="C50" i="34" l="1"/>
  <c r="G49" i="34"/>
  <c r="H28" i="34"/>
  <c r="J28" i="34" s="1"/>
  <c r="K28" i="34" s="1"/>
  <c r="L28" i="34" s="1"/>
  <c r="B38" i="34"/>
  <c r="D38" i="34" s="1"/>
  <c r="H31" i="33" l="1"/>
  <c r="G35" i="33"/>
  <c r="C51" i="34"/>
  <c r="E51" i="34" s="1"/>
  <c r="G50" i="34"/>
  <c r="F38" i="34"/>
  <c r="B39" i="34"/>
  <c r="D39" i="34" s="1"/>
  <c r="I38" i="34"/>
  <c r="I37" i="34"/>
  <c r="G37" i="33" l="1"/>
  <c r="H37" i="33" s="1"/>
  <c r="H35" i="33"/>
  <c r="J29" i="34"/>
  <c r="K29" i="34" s="1"/>
  <c r="L29" i="34" s="1"/>
  <c r="C52" i="34"/>
  <c r="G51" i="34"/>
  <c r="F39" i="34"/>
  <c r="H30" i="34"/>
  <c r="J30" i="34" s="1"/>
  <c r="K30" i="34" s="1"/>
  <c r="B40" i="34"/>
  <c r="D40" i="34" s="1"/>
  <c r="G38" i="33" l="1"/>
  <c r="H38" i="33"/>
  <c r="L30" i="34"/>
  <c r="D17" i="38" s="1"/>
  <c r="E16" i="38"/>
  <c r="C53" i="34"/>
  <c r="G52" i="34"/>
  <c r="F40" i="34"/>
  <c r="H31" i="34"/>
  <c r="J31" i="34" s="1"/>
  <c r="K31" i="34" s="1"/>
  <c r="B41" i="34"/>
  <c r="B69" i="34" s="1"/>
  <c r="I40" i="34"/>
  <c r="I39" i="34"/>
  <c r="E17" i="38" l="1"/>
  <c r="D41" i="34"/>
  <c r="D68" i="34" s="1"/>
  <c r="L31" i="34"/>
  <c r="C54" i="34"/>
  <c r="G53" i="34"/>
  <c r="H32" i="34"/>
  <c r="J32" i="34" s="1"/>
  <c r="K32" i="34" s="1"/>
  <c r="B42" i="34"/>
  <c r="D42" i="34" s="1"/>
  <c r="F41" i="34" l="1"/>
  <c r="F69" i="34" s="1"/>
  <c r="D18" i="38"/>
  <c r="E18" i="38" s="1"/>
  <c r="L32" i="34"/>
  <c r="D19" i="38" s="1"/>
  <c r="C55" i="34"/>
  <c r="G54" i="34"/>
  <c r="H33" i="34"/>
  <c r="J33" i="34" s="1"/>
  <c r="K33" i="34" s="1"/>
  <c r="B43" i="34"/>
  <c r="D43" i="34" s="1"/>
  <c r="I41" i="34"/>
  <c r="I69" i="34" s="1"/>
  <c r="F42" i="34" l="1"/>
  <c r="F43" i="34" s="1"/>
  <c r="E19" i="38"/>
  <c r="L33" i="34"/>
  <c r="D20" i="38" s="1"/>
  <c r="C56" i="34"/>
  <c r="G55" i="34"/>
  <c r="H34" i="34"/>
  <c r="J34" i="34" s="1"/>
  <c r="I16" i="38"/>
  <c r="B44" i="34"/>
  <c r="D44" i="34" s="1"/>
  <c r="I42" i="34"/>
  <c r="F44" i="34" l="1"/>
  <c r="E20" i="38"/>
  <c r="C57" i="34"/>
  <c r="G56" i="34"/>
  <c r="K34" i="34"/>
  <c r="H35" i="34"/>
  <c r="J35" i="34" s="1"/>
  <c r="B45" i="34"/>
  <c r="D45" i="34" s="1"/>
  <c r="I43" i="34"/>
  <c r="I44" i="34"/>
  <c r="F45" i="34" l="1"/>
  <c r="C58" i="34"/>
  <c r="G57" i="34"/>
  <c r="L34" i="34"/>
  <c r="D21" i="38" s="1"/>
  <c r="E21" i="38" s="1"/>
  <c r="K35" i="34"/>
  <c r="H17" i="38"/>
  <c r="I17" i="38" s="1"/>
  <c r="H36" i="34"/>
  <c r="J36" i="34" s="1"/>
  <c r="B46" i="34"/>
  <c r="D46" i="34" s="1"/>
  <c r="F46" i="34" l="1"/>
  <c r="L35" i="34"/>
  <c r="D22" i="38" s="1"/>
  <c r="E22" i="38" s="1"/>
  <c r="C59" i="34"/>
  <c r="G58" i="34"/>
  <c r="K36" i="34"/>
  <c r="H18" i="38"/>
  <c r="I18" i="38" s="1"/>
  <c r="H37" i="34"/>
  <c r="J37" i="34" s="1"/>
  <c r="B47" i="34"/>
  <c r="D47" i="34" s="1"/>
  <c r="F47" i="34" l="1"/>
  <c r="L36" i="34"/>
  <c r="D23" i="38" s="1"/>
  <c r="E23" i="38" s="1"/>
  <c r="C60" i="34"/>
  <c r="G59" i="34"/>
  <c r="H19" i="38"/>
  <c r="I19" i="38" s="1"/>
  <c r="K37" i="34"/>
  <c r="L37" i="34" s="1"/>
  <c r="H16" i="33"/>
  <c r="H30" i="33"/>
  <c r="H33" i="33" s="1"/>
  <c r="H38" i="34"/>
  <c r="J38" i="34" s="1"/>
  <c r="B48" i="34"/>
  <c r="D48" i="34" s="1"/>
  <c r="I45" i="34"/>
  <c r="I46" i="34"/>
  <c r="F48" i="34" l="1"/>
  <c r="C61" i="34"/>
  <c r="G60" i="34"/>
  <c r="K38" i="34"/>
  <c r="H39" i="34"/>
  <c r="J39" i="34" s="1"/>
  <c r="B49" i="34"/>
  <c r="D49" i="34" s="1"/>
  <c r="H17" i="33"/>
  <c r="I47" i="34"/>
  <c r="F49" i="34" l="1"/>
  <c r="C62" i="34"/>
  <c r="G61" i="34"/>
  <c r="L38" i="34"/>
  <c r="D25" i="38" s="1"/>
  <c r="H20" i="38"/>
  <c r="I20" i="38" s="1"/>
  <c r="D24" i="38"/>
  <c r="E24" i="38" s="1"/>
  <c r="H21" i="38"/>
  <c r="K39" i="34"/>
  <c r="H40" i="34"/>
  <c r="J40" i="34" s="1"/>
  <c r="B50" i="34"/>
  <c r="D50" i="34" s="1"/>
  <c r="I48" i="34"/>
  <c r="H24" i="33" l="1"/>
  <c r="F50" i="34"/>
  <c r="E25" i="38"/>
  <c r="C63" i="34"/>
  <c r="G62" i="34"/>
  <c r="L39" i="34"/>
  <c r="D26" i="38" s="1"/>
  <c r="I21" i="38"/>
  <c r="K40" i="34"/>
  <c r="H22" i="38"/>
  <c r="I49" i="34"/>
  <c r="H41" i="34"/>
  <c r="B51" i="34"/>
  <c r="H23" i="33" l="1"/>
  <c r="G25" i="33"/>
  <c r="F51" i="34"/>
  <c r="J41" i="34"/>
  <c r="K41" i="34" s="1"/>
  <c r="K69" i="34" s="1"/>
  <c r="H69" i="34"/>
  <c r="E26" i="38"/>
  <c r="C64" i="34"/>
  <c r="G63" i="34"/>
  <c r="L40" i="34"/>
  <c r="D27" i="38" s="1"/>
  <c r="I22" i="38"/>
  <c r="H23" i="38"/>
  <c r="H42" i="34"/>
  <c r="J42" i="34" s="1"/>
  <c r="B52" i="34"/>
  <c r="D52" i="34" s="1"/>
  <c r="G64" i="34" l="1"/>
  <c r="H25" i="33"/>
  <c r="F52" i="34"/>
  <c r="F53" i="34" s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E27" i="38"/>
  <c r="C65" i="34"/>
  <c r="C66" i="34" s="1"/>
  <c r="L41" i="34"/>
  <c r="I23" i="38"/>
  <c r="H24" i="38"/>
  <c r="K42" i="34"/>
  <c r="L42" i="34" s="1"/>
  <c r="I50" i="34"/>
  <c r="H43" i="34"/>
  <c r="J43" i="34" s="1"/>
  <c r="B53" i="34"/>
  <c r="I51" i="34"/>
  <c r="G65" i="34" l="1"/>
  <c r="G66" i="34" s="1"/>
  <c r="I64" i="34"/>
  <c r="D28" i="38"/>
  <c r="E28" i="38" s="1"/>
  <c r="E31" i="38" s="1"/>
  <c r="L68" i="34"/>
  <c r="I24" i="38"/>
  <c r="H25" i="38"/>
  <c r="K43" i="34"/>
  <c r="L43" i="34" s="1"/>
  <c r="H44" i="34"/>
  <c r="J44" i="34" s="1"/>
  <c r="B54" i="34"/>
  <c r="I52" i="34"/>
  <c r="E29" i="38" l="1"/>
  <c r="I25" i="38"/>
  <c r="K44" i="34"/>
  <c r="L44" i="34" s="1"/>
  <c r="H26" i="38"/>
  <c r="H45" i="34"/>
  <c r="B55" i="34"/>
  <c r="I53" i="34"/>
  <c r="I26" i="38" l="1"/>
  <c r="H27" i="38"/>
  <c r="H46" i="34"/>
  <c r="J46" i="34" s="1"/>
  <c r="K46" i="34" s="1"/>
  <c r="J45" i="34"/>
  <c r="K45" i="34" s="1"/>
  <c r="L45" i="34" s="1"/>
  <c r="B56" i="34"/>
  <c r="I54" i="34"/>
  <c r="L46" i="34" l="1"/>
  <c r="H47" i="34"/>
  <c r="J47" i="34" s="1"/>
  <c r="I27" i="38"/>
  <c r="B57" i="34"/>
  <c r="I55" i="34"/>
  <c r="K47" i="34" l="1"/>
  <c r="L47" i="34" s="1"/>
  <c r="H48" i="34"/>
  <c r="J48" i="34" s="1"/>
  <c r="B58" i="34"/>
  <c r="I56" i="34"/>
  <c r="K48" i="34" l="1"/>
  <c r="L48" i="34" s="1"/>
  <c r="H28" i="38"/>
  <c r="D29" i="38"/>
  <c r="H49" i="34"/>
  <c r="J49" i="34" s="1"/>
  <c r="B59" i="34"/>
  <c r="I57" i="34"/>
  <c r="K49" i="34" l="1"/>
  <c r="L49" i="34" s="1"/>
  <c r="H50" i="34"/>
  <c r="J50" i="34" s="1"/>
  <c r="H29" i="38"/>
  <c r="I28" i="38"/>
  <c r="I31" i="38" s="1"/>
  <c r="G18" i="33" s="1"/>
  <c r="B60" i="34"/>
  <c r="I58" i="34"/>
  <c r="G19" i="33" l="1"/>
  <c r="G27" i="33" s="1"/>
  <c r="K50" i="34"/>
  <c r="L50" i="34" s="1"/>
  <c r="H18" i="33"/>
  <c r="H51" i="34"/>
  <c r="J51" i="34" s="1"/>
  <c r="B61" i="34"/>
  <c r="I59" i="34"/>
  <c r="H19" i="33" l="1"/>
  <c r="H27" i="33" s="1"/>
  <c r="K51" i="34"/>
  <c r="L51" i="34" s="1"/>
  <c r="H52" i="34"/>
  <c r="J52" i="34" s="1"/>
  <c r="B62" i="34"/>
  <c r="I60" i="34"/>
  <c r="K52" i="34" l="1"/>
  <c r="L52" i="34" s="1"/>
  <c r="H53" i="34"/>
  <c r="J53" i="34" s="1"/>
  <c r="B63" i="34"/>
  <c r="I61" i="34"/>
  <c r="K53" i="34" l="1"/>
  <c r="L53" i="34" s="1"/>
  <c r="H54" i="34"/>
  <c r="J54" i="34" s="1"/>
  <c r="B64" i="34"/>
  <c r="I62" i="34"/>
  <c r="K54" i="34" l="1"/>
  <c r="L54" i="34" s="1"/>
  <c r="H55" i="34"/>
  <c r="J55" i="34" s="1"/>
  <c r="B65" i="34"/>
  <c r="I63" i="34"/>
  <c r="K55" i="34" l="1"/>
  <c r="L55" i="34" s="1"/>
  <c r="H56" i="34"/>
  <c r="J56" i="34" s="1"/>
  <c r="B66" i="34"/>
  <c r="K56" i="34" l="1"/>
  <c r="L56" i="34" s="1"/>
  <c r="H57" i="34"/>
  <c r="J57" i="34" s="1"/>
  <c r="I65" i="34"/>
  <c r="K57" i="34" l="1"/>
  <c r="L57" i="34" s="1"/>
  <c r="H58" i="34"/>
  <c r="J58" i="34" s="1"/>
  <c r="I66" i="34"/>
  <c r="K58" i="34" l="1"/>
  <c r="L58" i="34" s="1"/>
  <c r="H59" i="34"/>
  <c r="J59" i="34" s="1"/>
  <c r="K59" i="34" l="1"/>
  <c r="L59" i="34" s="1"/>
  <c r="H60" i="34"/>
  <c r="J60" i="34" s="1"/>
  <c r="K60" i="34" l="1"/>
  <c r="L60" i="34" s="1"/>
  <c r="H61" i="34"/>
  <c r="J61" i="34" s="1"/>
  <c r="K61" i="34" l="1"/>
  <c r="L61" i="34" s="1"/>
  <c r="H62" i="34"/>
  <c r="J62" i="34" s="1"/>
  <c r="K62" i="34" l="1"/>
  <c r="L62" i="34" s="1"/>
  <c r="H63" i="34"/>
  <c r="J63" i="34" s="1"/>
  <c r="K63" i="34" l="1"/>
  <c r="L63" i="34" s="1"/>
  <c r="H64" i="34"/>
  <c r="J64" i="34" s="1"/>
  <c r="K64" i="34" l="1"/>
  <c r="L64" i="34" s="1"/>
  <c r="H65" i="34"/>
  <c r="J65" i="34" s="1"/>
  <c r="K65" i="34" l="1"/>
  <c r="L65" i="34" s="1"/>
  <c r="H66" i="34"/>
  <c r="J66" i="34" s="1"/>
  <c r="K66" i="34" l="1"/>
  <c r="L66" i="34" s="1"/>
  <c r="C34" i="74" l="1"/>
  <c r="G31" i="74" l="1"/>
  <c r="G32" i="74"/>
  <c r="G24" i="74"/>
  <c r="G22" i="74"/>
  <c r="G23" i="74"/>
  <c r="G16" i="74"/>
  <c r="G30" i="74"/>
  <c r="G17" i="74"/>
  <c r="G18" i="74"/>
  <c r="C34" i="73"/>
  <c r="G31" i="73" l="1"/>
  <c r="G32" i="73"/>
  <c r="G22" i="73"/>
  <c r="K22" i="74" s="1"/>
  <c r="G24" i="73"/>
  <c r="G23" i="73"/>
  <c r="G16" i="73"/>
  <c r="K16" i="74" s="1"/>
  <c r="G17" i="73"/>
  <c r="G30" i="73"/>
  <c r="K30" i="74" s="1"/>
  <c r="G18" i="73"/>
  <c r="K18" i="74" s="1"/>
  <c r="H16" i="74"/>
  <c r="G19" i="74"/>
  <c r="H23" i="74"/>
  <c r="H22" i="74"/>
  <c r="G25" i="74"/>
  <c r="H24" i="74"/>
  <c r="H32" i="74"/>
  <c r="H18" i="74"/>
  <c r="K31" i="74"/>
  <c r="H31" i="74"/>
  <c r="K17" i="74"/>
  <c r="H17" i="74"/>
  <c r="H30" i="74"/>
  <c r="G33" i="74"/>
  <c r="G35" i="74" s="1"/>
  <c r="K32" i="74" l="1"/>
  <c r="G27" i="74"/>
  <c r="H25" i="74"/>
  <c r="H16" i="73"/>
  <c r="G19" i="73"/>
  <c r="H19" i="74"/>
  <c r="H27" i="74" s="1"/>
  <c r="H24" i="73"/>
  <c r="H35" i="74"/>
  <c r="G37" i="74"/>
  <c r="H37" i="74" s="1"/>
  <c r="H22" i="73"/>
  <c r="G25" i="73"/>
  <c r="H23" i="73"/>
  <c r="H33" i="74"/>
  <c r="H18" i="73"/>
  <c r="H31" i="73"/>
  <c r="K23" i="74"/>
  <c r="G33" i="73"/>
  <c r="G35" i="73" s="1"/>
  <c r="H30" i="73"/>
  <c r="K24" i="74"/>
  <c r="H17" i="73"/>
  <c r="G38" i="74" l="1"/>
  <c r="H33" i="73"/>
  <c r="H38" i="74"/>
  <c r="H19" i="73"/>
  <c r="H25" i="73"/>
  <c r="G37" i="73"/>
  <c r="H37" i="73" s="1"/>
  <c r="H35" i="73"/>
  <c r="G27" i="73"/>
  <c r="H38" i="73" l="1"/>
  <c r="H39" i="74" s="1"/>
  <c r="G38" i="73"/>
  <c r="H27" i="73"/>
  <c r="H39" i="73" l="1"/>
  <c r="H28" i="74"/>
  <c r="H28" i="73"/>
</calcChain>
</file>

<file path=xl/sharedStrings.xml><?xml version="1.0" encoding="utf-8"?>
<sst xmlns="http://schemas.openxmlformats.org/spreadsheetml/2006/main" count="582" uniqueCount="283">
  <si>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</si>
  <si>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</si>
  <si>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</si>
  <si>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</si>
  <si>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</si>
  <si>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</si>
  <si>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</si>
  <si>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</si>
  <si>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</si>
  <si>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</si>
  <si>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</si>
  <si>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</si>
  <si>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</si>
  <si>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</si>
  <si>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</si>
  <si>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</si>
  <si>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</si>
  <si>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</si>
  <si>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</si>
  <si>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</si>
  <si>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</si>
  <si>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</si>
  <si>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</si>
  <si>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</si>
  <si>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</si>
  <si>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</si>
  <si>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</si>
  <si>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</si>
  <si>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</si>
  <si>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</si>
  <si>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</si>
  <si>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</si>
  <si>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</si>
  <si>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</si>
  <si>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</si>
  <si>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</si>
  <si>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</si>
  <si>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</si>
  <si>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</si>
  <si>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</si>
  <si>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</si>
  <si>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</si>
  <si>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</si>
  <si>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</si>
  <si>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</si>
  <si>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</si>
  <si>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</si>
  <si>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</si>
  <si>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</si>
  <si>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</si>
  <si>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</si>
  <si>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</si>
  <si>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</si>
  <si>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</si>
  <si>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</si>
  <si>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</si>
  <si>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</si>
  <si>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</si>
  <si>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</si>
  <si>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</si>
  <si>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</si>
  <si>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</si>
  <si>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</si>
  <si>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</si>
  <si>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</si>
  <si>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</si>
  <si>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</si>
  <si>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</si>
  <si>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</si>
  <si>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</si>
  <si>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</si>
  <si>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</si>
  <si>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</si>
  <si>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</si>
  <si>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</si>
  <si>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</si>
  <si>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</si>
  <si>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</si>
  <si>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</si>
  <si>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</si>
  <si>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</si>
  <si>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</si>
  <si>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</si>
  <si>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</si>
  <si>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</si>
  <si>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</si>
  <si>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</si>
  <si>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</si>
  <si>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</si>
  <si>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</si>
  <si>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</si>
  <si>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</si>
  <si>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</si>
  <si>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</si>
  <si>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</si>
  <si>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</si>
  <si>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</si>
  <si>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</si>
  <si>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</si>
  <si>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</si>
  <si>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Order</t>
  </si>
  <si>
    <t>check</t>
  </si>
  <si>
    <t>Total - 12ME APR '21</t>
  </si>
  <si>
    <t>AMA - 12ME APR '21</t>
  </si>
  <si>
    <t>TAX DEPRECIATION</t>
  </si>
  <si>
    <t>CAPITAL RECOVERY</t>
  </si>
  <si>
    <t>TAX DEPRECIATION RATES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</si>
  <si>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</si>
  <si>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</si>
  <si>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</si>
  <si>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</si>
  <si>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</si>
  <si>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</si>
  <si>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</si>
  <si>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</si>
  <si>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</si>
  <si>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</si>
  <si>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</si>
  <si>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</si>
  <si>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</si>
  <si>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</si>
  <si>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</si>
  <si>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</si>
  <si>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</si>
  <si>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</si>
  <si>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</si>
  <si>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</si>
  <si>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</si>
  <si>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</si>
  <si>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</si>
  <si>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</si>
  <si>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</si>
  <si>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</si>
  <si>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</si>
  <si>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</si>
  <si>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</si>
  <si>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</si>
  <si>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</si>
  <si>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</si>
  <si>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</si>
  <si>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Puget Sound Energy</t>
  </si>
  <si>
    <t>RESTATED</t>
  </si>
  <si>
    <t>Total Deferred</t>
  </si>
  <si>
    <t>TY</t>
  </si>
  <si>
    <t>%'s</t>
  </si>
  <si>
    <t>(c)=(b)-(a)</t>
  </si>
  <si>
    <t>(d)</t>
  </si>
  <si>
    <t>(e)=(d)-(b)</t>
  </si>
  <si>
    <t>NET RATEBASE</t>
  </si>
  <si>
    <t>Expected 6/30/2019</t>
  </si>
  <si>
    <t>Post TY Proforma</t>
  </si>
  <si>
    <t>IWM - Field Payment Strategy SW.CS.3YR</t>
  </si>
  <si>
    <t>IWM - Field Payment Strategy SW.CS.10YR</t>
  </si>
  <si>
    <t>IWM Field Payment Strategy</t>
  </si>
  <si>
    <t>K.10012.01.05.08</t>
  </si>
  <si>
    <t>GTZ INTEGRATED WORK MANAGEMENT</t>
  </si>
  <si>
    <t>K.10012.01.05</t>
  </si>
  <si>
    <t>In Service 2/04/2019</t>
  </si>
  <si>
    <t>Post TY Actual</t>
  </si>
  <si>
    <t>IWM-Work Mgmt-MNS-SW.CS.3YR</t>
  </si>
  <si>
    <t>IWM-Work Mgmt-MNS-SW.CS.10YR</t>
  </si>
  <si>
    <t>IWM Work Management System</t>
  </si>
  <si>
    <t>K.10012.01.05.04</t>
  </si>
  <si>
    <t>IWM-Work Mgmt-MNS-HW.CE</t>
  </si>
  <si>
    <t>In Service 3/28/2019</t>
  </si>
  <si>
    <t>Data Profiling and Integrity - SW.CS.3YR</t>
  </si>
  <si>
    <t>Data MGMT-Data Govern&amp;Quality-SW.CS.3YR</t>
  </si>
  <si>
    <t>Data Mgmt Data Governance n Quality</t>
  </si>
  <si>
    <t>K.10012.01.03.06</t>
  </si>
  <si>
    <t>GTZ DATA MANAGEMENT</t>
  </si>
  <si>
    <t>K.10012.01.03</t>
  </si>
  <si>
    <t>In Service 2/26/2019</t>
  </si>
  <si>
    <t>CI-VIVR-SW.CS.3YR</t>
  </si>
  <si>
    <t>CI-IVR Enhan-Visual IVR-SW.CS.3YR</t>
  </si>
  <si>
    <t>CI IVR Enhan Predct n Natural Voice</t>
  </si>
  <si>
    <t>K.10012.01.02.06</t>
  </si>
  <si>
    <t>GTZ CUSTOMER INTERFACE</t>
  </si>
  <si>
    <t>K.10012.01.02</t>
  </si>
  <si>
    <t>Billing Performance Improvement Phase 3-</t>
  </si>
  <si>
    <t>BPCC Billing Performance Improvemnt</t>
  </si>
  <si>
    <t>K.10012.01.01.05</t>
  </si>
  <si>
    <t>GTZ BILLING PMT CREDIT/COLLECTIONS</t>
  </si>
  <si>
    <t>K.10012.01.01</t>
  </si>
  <si>
    <t>Rate</t>
  </si>
  <si>
    <t>Status</t>
  </si>
  <si>
    <t>Treatment</t>
  </si>
  <si>
    <t>Secondary Description</t>
  </si>
  <si>
    <t>Order Description</t>
  </si>
  <si>
    <t>Level 4 Description</t>
  </si>
  <si>
    <t>Level 4</t>
  </si>
  <si>
    <t>Level 3 Description</t>
  </si>
  <si>
    <t>Level 3</t>
  </si>
  <si>
    <t>Gross Plant Balances</t>
  </si>
  <si>
    <t>Depreciation</t>
  </si>
  <si>
    <t>MACRS 3 YEAR</t>
  </si>
  <si>
    <t>PMO Activities</t>
  </si>
  <si>
    <t>K.10012.01.06.01</t>
  </si>
  <si>
    <t>K.10012.01.06</t>
  </si>
  <si>
    <t>In Service 2/19/2019</t>
  </si>
  <si>
    <t>GTZ - Project Management  SW.CN.3YR</t>
  </si>
  <si>
    <t>GTZ - Project Management  HW.CE</t>
  </si>
  <si>
    <t>Expected 4/30/2019</t>
  </si>
  <si>
    <t>CI - AUTO CALL CATEGOTIZATION PHASE 2 -</t>
  </si>
  <si>
    <t>CI IVR ENHAN PREDCT N NATURAL VOICE</t>
  </si>
  <si>
    <t>GTZ PMO ACTIVITIES</t>
  </si>
  <si>
    <t>GET TO ZERO</t>
  </si>
  <si>
    <t>Data Analyt Data Analytics Platform</t>
  </si>
  <si>
    <t>CI Start n Stop n Transfer</t>
  </si>
  <si>
    <t>BPCC Account Bal Clarity and Consistcy</t>
  </si>
  <si>
    <t>IWM WORK MANAGEMENT SYSTEM</t>
  </si>
  <si>
    <t>CI Crm Csr Guided Expernce with 3 Click</t>
  </si>
  <si>
    <t>CI Auto Categorization Customer Calls</t>
  </si>
  <si>
    <t>IWM GIS CAD Design Manager</t>
  </si>
  <si>
    <t>CLSD BPCC CREDIT N COLLECTION QUICK WINS</t>
  </si>
  <si>
    <t>BPCC Bill Code Enhancements Phase 1</t>
  </si>
  <si>
    <t>BPCC No Fee Bank Card</t>
  </si>
  <si>
    <t>BPCC Bill Due Reminder n Fiserv Balance</t>
  </si>
  <si>
    <t>DATA MGMT DATA LAKE METER INGESTION</t>
  </si>
  <si>
    <t>CI IVR Improvements</t>
  </si>
  <si>
    <t>CLSD CI SOCIAL MEDIA</t>
  </si>
  <si>
    <t>CI Cross Channel Design Exp</t>
  </si>
  <si>
    <t>CI SAP MULTICHANNEL FOUNDATION CUSTOMER</t>
  </si>
  <si>
    <t>BPCC NON CONSUMPTION BILLING</t>
  </si>
  <si>
    <t>CI COMM GATEWAY N PROACTIVE NOTIFI</t>
  </si>
  <si>
    <t>BPCC FISERV NEXT UPGRADE</t>
  </si>
  <si>
    <t>CLSD BPCC BILL CODE ENHANCEMENTS PHASE 1</t>
  </si>
  <si>
    <t>BPCC CSR 3 CLICK EXPERIENCE</t>
  </si>
  <si>
    <t>BPCC DEPOSIT REFUND N COLLECTION IMPR</t>
  </si>
  <si>
    <t>CI MOBILE APPLICATION IMPLEMENTATION</t>
  </si>
  <si>
    <t>BPCC CLLCTN CYCL IMPRVMNT AGNCY INTGRTN</t>
  </si>
  <si>
    <t>July - Dec 2018</t>
  </si>
  <si>
    <t>IWM AMR to OMS</t>
  </si>
  <si>
    <t>CI ESB MICRO SERVICES TRANSPORT</t>
  </si>
  <si>
    <t>CI WEB MOBILE APP CONTENT MANAGEMENT</t>
  </si>
  <si>
    <t>Life</t>
  </si>
  <si>
    <t>Service</t>
  </si>
  <si>
    <t>In</t>
  </si>
  <si>
    <t>Investments</t>
  </si>
  <si>
    <t xml:space="preserve">Incremental </t>
  </si>
  <si>
    <t>Four Factor Allocator</t>
  </si>
  <si>
    <t>Chk</t>
  </si>
  <si>
    <t>UTILITY PLANT</t>
  </si>
  <si>
    <t>DEFERRALS</t>
  </si>
  <si>
    <t>TOTAL UTILITY PLANT</t>
  </si>
  <si>
    <t>https://www.ferc.gov/enforcement/acct-matts/interest-rates.asp</t>
  </si>
  <si>
    <t>FERC  Interest as of Q2 2019 per</t>
  </si>
  <si>
    <t>Deferral</t>
  </si>
  <si>
    <t>Interest Rate</t>
  </si>
  <si>
    <t>Monthly FERC</t>
  </si>
  <si>
    <t>186 Other Deferred Debit-GTZ Depn Carrying Cost</t>
  </si>
  <si>
    <t>182.3 Regulatory Asset-GTZ Depreciation Exp</t>
  </si>
  <si>
    <t>GTZ - Common Deferred Depreciation</t>
  </si>
  <si>
    <t>GTZ - Carrying Charges Deferral</t>
  </si>
  <si>
    <t>Amort</t>
  </si>
  <si>
    <t>Final</t>
  </si>
  <si>
    <t>Annual Rate</t>
  </si>
  <si>
    <t>PLANT ADDITIONS JAN-JUN 2019</t>
  </si>
  <si>
    <t>ACCUM DEPRECIATION</t>
  </si>
  <si>
    <t>DEFERRED INCOME TAX LIABILITY</t>
  </si>
  <si>
    <t>DEPRECIATION DEFERRAL</t>
  </si>
  <si>
    <t>ACCUM AMORT ON DEPRECIATION DEFERRAL</t>
  </si>
  <si>
    <t xml:space="preserve">DFIT ON DEPRECIATION DEFERRAL </t>
  </si>
  <si>
    <t>TOTAL DEPRECIATION DEFERRALS</t>
  </si>
  <si>
    <t>DEPRECIATION EXPENSE ON UTILITY PLANT</t>
  </si>
  <si>
    <t>AMORTIZATION OF DEPRECIATION DEFERRAL</t>
  </si>
  <si>
    <t>AMORTIZATION OF CARRYING CHARGES DEFERRAL</t>
  </si>
  <si>
    <t>Utility Plant in Service</t>
  </si>
  <si>
    <t>(1)</t>
  </si>
  <si>
    <t>(2)</t>
  </si>
  <si>
    <t>(3)</t>
  </si>
  <si>
    <t>(4)</t>
  </si>
  <si>
    <t>(5)</t>
  </si>
  <si>
    <t>(6)</t>
  </si>
  <si>
    <t>(7)</t>
  </si>
  <si>
    <t>100% of these GTZ investments included in June 2018 ERF filing (Docket Nos. UE-180899 &amp; UG-180900)</t>
  </si>
  <si>
    <t>$3,568,848 of this $3,829,499 GTZ investment included in June 2018 ERF filing (Docket Nos. UE-180899 &amp; UG-180900)</t>
  </si>
  <si>
    <t>$3,676,202 of this $3,794,900 GTZ investment included in June 2018 ERF filing (Docket Nos. UE-180899 &amp; UG-180900)</t>
  </si>
  <si>
    <t>$3,158,303 of this $3,599,684 GTZ investment included in June 2018 ERF filing (Docket Nos. UE-180899 &amp; UG-180900)</t>
  </si>
  <si>
    <t>$2,159,986 of this $2,460,614 GTZ investment included in June 2018 ERF filing (Docket Nos. UE-180899 &amp; UG-180900)</t>
  </si>
  <si>
    <t>$666,134 of this $768,014 GTZ investment included in June 2018 ERF filing (Docket Nos. UE-180899 &amp; UG-180900)</t>
  </si>
  <si>
    <t>$154,504 of this $180,748 GTZ investment included in June 2018 ERF filing (Docket Nos. UE-180899 &amp; UG-180900)</t>
  </si>
  <si>
    <t>Forecasted per OPS budget</t>
  </si>
  <si>
    <t>Actuals from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</si>
</sst>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\-yy;@"/>
    <numFmt numFmtId="168" formatCode="&quot;PAGE&quot;\ 0.00"/>
    <numFmt numFmtId="169" formatCode="0.000000"/>
    <numFmt numFmtId="170" formatCode="[$-409]mmmm\ d\,\ yyyy;@"/>
    <numFmt numFmtId="171" formatCode="&quot;Check=&gt;&quot;\ 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</font>
    <font>
      <i/>
      <sz val="10"/>
      <name val="Arial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0" fillId="0" borderId="0" xfId="0" applyFill="1"/>
    <xf numFmtId="0" fontId="6" fillId="0" borderId="0" xfId="0" applyNumberFormat="1" applyFont="1" applyFill="1" applyAlignment="1">
      <alignment horizontal="right"/>
    </xf>
    <xf numFmtId="168" fontId="6" fillId="0" borderId="0" xfId="0" applyNumberFormat="1" applyFont="1" applyFill="1" applyBorder="1" applyAlignment="1"/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protection locked="0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8" fillId="0" borderId="0" xfId="0" applyNumberFormat="1" applyFont="1" applyFill="1" applyAlignment="1" applyProtection="1">
      <alignment horizontal="fill"/>
      <protection locked="0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41" fontId="8" fillId="0" borderId="0" xfId="0" applyNumberFormat="1" applyFont="1" applyFill="1" applyBorder="1" applyAlignment="1"/>
    <xf numFmtId="0" fontId="9" fillId="0" borderId="0" xfId="0" applyFont="1" applyFill="1" applyAlignment="1">
      <alignment horizontal="left"/>
    </xf>
    <xf numFmtId="165" fontId="8" fillId="0" borderId="0" xfId="0" applyNumberFormat="1" applyFont="1" applyFill="1" applyBorder="1" applyAlignment="1"/>
    <xf numFmtId="0" fontId="8" fillId="0" borderId="0" xfId="0" applyFont="1" applyFill="1" applyAlignment="1">
      <alignment horizontal="left" indent="2"/>
    </xf>
    <xf numFmtId="42" fontId="8" fillId="0" borderId="0" xfId="0" applyNumberFormat="1" applyFont="1" applyFill="1" applyBorder="1" applyAlignment="1"/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42" fontId="8" fillId="0" borderId="2" xfId="0" applyNumberFormat="1" applyFont="1" applyFill="1" applyBorder="1" applyAlignme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NumberFormat="1" applyFont="1" applyFill="1" applyBorder="1" applyAlignment="1">
      <alignment horizontal="left"/>
    </xf>
    <xf numFmtId="169" fontId="2" fillId="0" borderId="0" xfId="0" applyNumberFormat="1" applyFont="1" applyFill="1" applyAlignment="1">
      <alignment horizontal="left"/>
    </xf>
    <xf numFmtId="0" fontId="11" fillId="0" borderId="0" xfId="0" applyFont="1"/>
    <xf numFmtId="169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/>
    </xf>
    <xf numFmtId="13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12" fillId="0" borderId="0" xfId="0" applyNumberFormat="1" applyFont="1" applyFill="1" applyAlignment="1"/>
    <xf numFmtId="6" fontId="12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Alignment="1"/>
    <xf numFmtId="42" fontId="13" fillId="0" borderId="0" xfId="0" applyNumberFormat="1" applyFont="1" applyFill="1" applyAlignment="1">
      <alignment horizontal="center"/>
    </xf>
    <xf numFmtId="0" fontId="10" fillId="0" borderId="6" xfId="0" applyNumberFormat="1" applyFont="1" applyFill="1" applyBorder="1" applyAlignment="1"/>
    <xf numFmtId="0" fontId="10" fillId="0" borderId="6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/>
    <xf numFmtId="166" fontId="10" fillId="0" borderId="8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>
      <alignment horizontal="center"/>
    </xf>
    <xf numFmtId="0" fontId="10" fillId="0" borderId="22" xfId="0" applyNumberFormat="1" applyFont="1" applyBorder="1" applyAlignment="1">
      <alignment horizontal="center"/>
    </xf>
    <xf numFmtId="0" fontId="10" fillId="0" borderId="23" xfId="0" applyNumberFormat="1" applyFont="1" applyBorder="1" applyAlignment="1">
      <alignment horizontal="centerContinuous" vertical="center"/>
    </xf>
    <xf numFmtId="0" fontId="10" fillId="0" borderId="24" xfId="0" applyNumberFormat="1" applyFont="1" applyBorder="1" applyAlignment="1">
      <alignment horizontal="centerContinuous" vertical="center"/>
    </xf>
    <xf numFmtId="169" fontId="10" fillId="0" borderId="22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10" fillId="0" borderId="26" xfId="0" applyNumberFormat="1" applyFont="1" applyBorder="1" applyAlignment="1">
      <alignment horizontal="center"/>
    </xf>
    <xf numFmtId="0" fontId="10" fillId="0" borderId="17" xfId="0" applyNumberFormat="1" applyFont="1" applyFill="1" applyBorder="1" applyAlignment="1">
      <alignment horizontal="centerContinuous" vertical="center"/>
    </xf>
    <xf numFmtId="0" fontId="10" fillId="0" borderId="18" xfId="0" applyNumberFormat="1" applyFont="1" applyFill="1" applyBorder="1" applyAlignment="1">
      <alignment horizontal="centerContinuous" vertical="center"/>
    </xf>
    <xf numFmtId="0" fontId="10" fillId="0" borderId="0" xfId="0" applyNumberFormat="1" applyFont="1" applyFill="1" applyBorder="1" applyAlignment="1">
      <alignment horizontal="centerContinuous" vertical="center"/>
    </xf>
    <xf numFmtId="0" fontId="10" fillId="0" borderId="17" xfId="0" applyNumberFormat="1" applyFont="1" applyFill="1" applyBorder="1" applyAlignment="1">
      <alignment horizontal="center"/>
    </xf>
    <xf numFmtId="0" fontId="10" fillId="0" borderId="18" xfId="0" applyNumberFormat="1" applyFont="1" applyFill="1" applyBorder="1" applyAlignment="1">
      <alignment horizontal="center"/>
    </xf>
    <xf numFmtId="169" fontId="10" fillId="0" borderId="26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/>
    <xf numFmtId="0" fontId="10" fillId="0" borderId="17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169" fontId="10" fillId="0" borderId="26" xfId="0" applyNumberFormat="1" applyFont="1" applyBorder="1" applyAlignment="1">
      <alignment horizontal="center"/>
    </xf>
    <xf numFmtId="9" fontId="10" fillId="0" borderId="26" xfId="0" applyNumberFormat="1" applyFont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/>
    </xf>
    <xf numFmtId="0" fontId="10" fillId="0" borderId="29" xfId="0" applyNumberFormat="1" applyFont="1" applyBorder="1" applyAlignment="1">
      <alignment horizontal="center"/>
    </xf>
    <xf numFmtId="0" fontId="10" fillId="0" borderId="28" xfId="0" applyNumberFormat="1" applyFont="1" applyFill="1" applyBorder="1" applyAlignment="1">
      <alignment horizontal="center"/>
    </xf>
    <xf numFmtId="0" fontId="10" fillId="0" borderId="29" xfId="0" applyNumberFormat="1" applyFont="1" applyFill="1" applyBorder="1" applyAlignment="1">
      <alignment horizontal="center"/>
    </xf>
    <xf numFmtId="169" fontId="10" fillId="0" borderId="27" xfId="0" applyNumberFormat="1" applyFont="1" applyBorder="1" applyAlignment="1">
      <alignment horizontal="center"/>
    </xf>
    <xf numFmtId="9" fontId="10" fillId="0" borderId="27" xfId="0" applyNumberFormat="1" applyFont="1" applyBorder="1" applyAlignment="1">
      <alignment horizontal="center"/>
    </xf>
    <xf numFmtId="169" fontId="10" fillId="0" borderId="27" xfId="0" quotePrefix="1" applyNumberFormat="1" applyFont="1" applyFill="1" applyBorder="1" applyAlignment="1">
      <alignment horizontal="center"/>
    </xf>
    <xf numFmtId="41" fontId="2" fillId="0" borderId="0" xfId="0" applyNumberFormat="1" applyFont="1" applyAlignment="1"/>
    <xf numFmtId="41" fontId="2" fillId="0" borderId="21" xfId="0" applyNumberFormat="1" applyFont="1" applyFill="1" applyBorder="1" applyAlignment="1"/>
    <xf numFmtId="41" fontId="2" fillId="0" borderId="31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7" fontId="10" fillId="0" borderId="32" xfId="0" applyNumberFormat="1" applyFont="1" applyBorder="1" applyAlignment="1">
      <alignment horizontal="center"/>
    </xf>
    <xf numFmtId="167" fontId="10" fillId="0" borderId="30" xfId="0" applyNumberFormat="1" applyFont="1" applyBorder="1" applyAlignment="1">
      <alignment horizontal="center"/>
    </xf>
    <xf numFmtId="41" fontId="2" fillId="2" borderId="21" xfId="0" applyNumberFormat="1" applyFont="1" applyFill="1" applyBorder="1" applyAlignment="1"/>
    <xf numFmtId="41" fontId="10" fillId="0" borderId="21" xfId="0" applyNumberFormat="1" applyFont="1" applyBorder="1" applyAlignment="1"/>
    <xf numFmtId="41" fontId="10" fillId="0" borderId="33" xfId="0" applyNumberFormat="1" applyFont="1" applyBorder="1" applyAlignment="1"/>
    <xf numFmtId="41" fontId="2" fillId="2" borderId="33" xfId="0" applyNumberFormat="1" applyFont="1" applyFill="1" applyBorder="1" applyAlignment="1"/>
    <xf numFmtId="41" fontId="10" fillId="2" borderId="33" xfId="0" applyNumberFormat="1" applyFont="1" applyFill="1" applyBorder="1" applyAlignment="1"/>
    <xf numFmtId="41" fontId="10" fillId="2" borderId="34" xfId="0" applyNumberFormat="1" applyFont="1" applyFill="1" applyBorder="1" applyAlignment="1"/>
    <xf numFmtId="167" fontId="10" fillId="0" borderId="35" xfId="0" applyNumberFormat="1" applyFont="1" applyBorder="1" applyAlignment="1">
      <alignment horizontal="center"/>
    </xf>
    <xf numFmtId="41" fontId="2" fillId="0" borderId="36" xfId="0" applyNumberFormat="1" applyFont="1" applyBorder="1" applyAlignment="1"/>
    <xf numFmtId="41" fontId="11" fillId="0" borderId="0" xfId="0" applyNumberFormat="1" applyFont="1"/>
    <xf numFmtId="0" fontId="16" fillId="0" borderId="0" xfId="0" applyFont="1"/>
    <xf numFmtId="0" fontId="0" fillId="0" borderId="0" xfId="0" applyNumberFormat="1" applyAlignment="1"/>
    <xf numFmtId="169" fontId="10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9" fontId="2" fillId="0" borderId="0" xfId="0" applyNumberFormat="1" applyFont="1" applyFill="1" applyAlignment="1">
      <alignment horizontal="left"/>
    </xf>
    <xf numFmtId="169" fontId="15" fillId="0" borderId="0" xfId="0" applyNumberFormat="1" applyFont="1" applyFill="1" applyAlignment="1">
      <alignment horizontal="left"/>
    </xf>
    <xf numFmtId="0" fontId="0" fillId="0" borderId="6" xfId="0" applyNumberForma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Continuous"/>
    </xf>
    <xf numFmtId="169" fontId="2" fillId="0" borderId="3" xfId="0" applyNumberFormat="1" applyFont="1" applyFill="1" applyBorder="1" applyAlignment="1">
      <alignment horizontal="centerContinuous"/>
    </xf>
    <xf numFmtId="169" fontId="2" fillId="0" borderId="5" xfId="0" applyNumberFormat="1" applyFont="1" applyFill="1" applyBorder="1" applyAlignment="1">
      <alignment horizontal="centerContinuous"/>
    </xf>
    <xf numFmtId="0" fontId="0" fillId="0" borderId="7" xfId="0" applyNumberFormat="1" applyFill="1" applyBorder="1" applyAlignment="1">
      <alignment horizontal="center"/>
    </xf>
    <xf numFmtId="169" fontId="2" fillId="0" borderId="15" xfId="0" applyNumberFormat="1" applyFont="1" applyFill="1" applyBorder="1" applyAlignment="1">
      <alignment horizontal="left"/>
    </xf>
    <xf numFmtId="169" fontId="2" fillId="0" borderId="3" xfId="0" applyNumberFormat="1" applyFont="1" applyFill="1" applyBorder="1" applyAlignment="1">
      <alignment horizontal="centerContinuous"/>
    </xf>
    <xf numFmtId="169" fontId="2" fillId="0" borderId="5" xfId="0" applyNumberFormat="1" applyFont="1" applyFill="1" applyBorder="1" applyAlignment="1">
      <alignment horizontal="centerContinuous"/>
    </xf>
    <xf numFmtId="169" fontId="2" fillId="0" borderId="4" xfId="0" applyNumberFormat="1" applyFont="1" applyFill="1" applyBorder="1" applyAlignment="1">
      <alignment horizontal="centerContinuous"/>
    </xf>
    <xf numFmtId="169" fontId="2" fillId="0" borderId="13" xfId="0" applyNumberFormat="1" applyFont="1" applyFill="1" applyBorder="1" applyAlignment="1">
      <alignment horizontal="left"/>
    </xf>
    <xf numFmtId="169" fontId="2" fillId="0" borderId="12" xfId="0" applyNumberFormat="1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69" fontId="2" fillId="0" borderId="11" xfId="0" applyNumberFormat="1" applyFont="1" applyFill="1" applyBorder="1" applyAlignment="1">
      <alignment horizontal="center"/>
    </xf>
    <xf numFmtId="169" fontId="2" fillId="0" borderId="12" xfId="0" applyNumberFormat="1" applyFont="1" applyFill="1" applyBorder="1" applyAlignment="1">
      <alignment horizontal="centerContinuous"/>
    </xf>
    <xf numFmtId="169" fontId="2" fillId="0" borderId="0" xfId="0" applyNumberFormat="1" applyFont="1" applyFill="1" applyBorder="1" applyAlignment="1">
      <alignment horizontal="centerContinuous"/>
    </xf>
    <xf numFmtId="169" fontId="2" fillId="0" borderId="11" xfId="0" applyNumberFormat="1" applyFont="1" applyFill="1" applyBorder="1" applyAlignment="1">
      <alignment horizontal="left"/>
    </xf>
    <xf numFmtId="169" fontId="2" fillId="0" borderId="12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69" fontId="2" fillId="0" borderId="10" xfId="0" applyNumberFormat="1" applyFont="1" applyFill="1" applyBorder="1" applyAlignment="1">
      <alignment horizontal="center"/>
    </xf>
    <xf numFmtId="169" fontId="2" fillId="0" borderId="1" xfId="0" applyNumberFormat="1" applyFont="1" applyFill="1" applyBorder="1" applyAlignment="1">
      <alignment horizontal="center"/>
    </xf>
    <xf numFmtId="169" fontId="2" fillId="0" borderId="9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11" xfId="0" applyNumberFormat="1" applyFont="1" applyFill="1" applyBorder="1" applyAlignment="1">
      <alignment horizontal="center" vertical="top"/>
    </xf>
    <xf numFmtId="37" fontId="2" fillId="0" borderId="0" xfId="0" applyNumberFormat="1" applyFont="1" applyFill="1" applyBorder="1" applyAlignment="1">
      <alignment horizontal="center" vertical="top"/>
    </xf>
    <xf numFmtId="169" fontId="2" fillId="0" borderId="0" xfId="0" applyNumberFormat="1" applyFont="1" applyFill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/>
    </xf>
    <xf numFmtId="0" fontId="2" fillId="0" borderId="12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/>
    </xf>
    <xf numFmtId="41" fontId="2" fillId="0" borderId="11" xfId="0" applyNumberFormat="1" applyFont="1" applyFill="1" applyBorder="1" applyAlignment="1">
      <alignment horizontal="left"/>
    </xf>
    <xf numFmtId="37" fontId="2" fillId="0" borderId="12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42" fontId="2" fillId="0" borderId="11" xfId="0" applyNumberFormat="1" applyFont="1" applyFill="1" applyBorder="1" applyAlignment="1">
      <alignment horizontal="left"/>
    </xf>
    <xf numFmtId="0" fontId="2" fillId="0" borderId="16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69" fontId="18" fillId="0" borderId="0" xfId="0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left"/>
    </xf>
    <xf numFmtId="41" fontId="10" fillId="0" borderId="0" xfId="0" applyNumberFormat="1" applyFont="1" applyFill="1" applyBorder="1" applyAlignment="1">
      <alignment horizontal="left"/>
    </xf>
    <xf numFmtId="42" fontId="2" fillId="0" borderId="39" xfId="0" applyNumberFormat="1" applyFont="1" applyFill="1" applyBorder="1" applyAlignment="1">
      <alignment horizontal="left"/>
    </xf>
    <xf numFmtId="42" fontId="10" fillId="0" borderId="20" xfId="0" applyNumberFormat="1" applyFont="1" applyFill="1" applyBorder="1" applyAlignment="1">
      <alignment horizontal="left"/>
    </xf>
    <xf numFmtId="169" fontId="2" fillId="0" borderId="10" xfId="0" applyNumberFormat="1" applyFont="1" applyFill="1" applyBorder="1" applyAlignment="1">
      <alignment horizontal="left"/>
    </xf>
    <xf numFmtId="169" fontId="2" fillId="0" borderId="1" xfId="0" applyNumberFormat="1" applyFont="1" applyFill="1" applyBorder="1" applyAlignment="1">
      <alignment horizontal="left"/>
    </xf>
    <xf numFmtId="169" fontId="18" fillId="0" borderId="1" xfId="0" applyNumberFormat="1" applyFont="1" applyFill="1" applyBorder="1" applyAlignment="1">
      <alignment horizontal="right"/>
    </xf>
    <xf numFmtId="164" fontId="18" fillId="0" borderId="9" xfId="0" applyNumberFormat="1" applyFont="1" applyFill="1" applyBorder="1" applyAlignment="1">
      <alignment horizontal="left"/>
    </xf>
    <xf numFmtId="169" fontId="2" fillId="0" borderId="9" xfId="0" applyNumberFormat="1" applyFont="1" applyFill="1" applyBorder="1" applyAlignment="1">
      <alignment horizontal="left"/>
    </xf>
    <xf numFmtId="41" fontId="0" fillId="0" borderId="0" xfId="0" applyNumberFormat="1"/>
    <xf numFmtId="43" fontId="2" fillId="0" borderId="0" xfId="0" applyNumberFormat="1" applyFont="1" applyAlignment="1"/>
    <xf numFmtId="0" fontId="19" fillId="0" borderId="0" xfId="0" applyNumberFormat="1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7" fillId="0" borderId="0" xfId="0" applyFont="1" applyFill="1" applyAlignment="1">
      <alignment horizontal="left"/>
    </xf>
    <xf numFmtId="41" fontId="20" fillId="0" borderId="0" xfId="0" applyNumberFormat="1" applyFont="1"/>
    <xf numFmtId="41" fontId="19" fillId="0" borderId="0" xfId="0" applyNumberFormat="1" applyFont="1" applyFill="1" applyBorder="1" applyAlignment="1"/>
    <xf numFmtId="9" fontId="10" fillId="0" borderId="26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/>
    <xf numFmtId="41" fontId="8" fillId="0" borderId="1" xfId="0" applyNumberFormat="1" applyFont="1" applyFill="1" applyBorder="1" applyAlignment="1" applyProtection="1">
      <protection locked="0"/>
    </xf>
    <xf numFmtId="165" fontId="8" fillId="0" borderId="2" xfId="0" applyNumberFormat="1" applyFont="1" applyFill="1" applyBorder="1" applyAlignment="1"/>
    <xf numFmtId="0" fontId="22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6" fontId="21" fillId="0" borderId="0" xfId="0" applyNumberFormat="1" applyFont="1"/>
    <xf numFmtId="164" fontId="2" fillId="0" borderId="21" xfId="0" applyNumberFormat="1" applyFont="1" applyFill="1" applyBorder="1" applyAlignment="1"/>
    <xf numFmtId="165" fontId="2" fillId="0" borderId="11" xfId="0" applyNumberFormat="1" applyFont="1" applyFill="1" applyBorder="1" applyAlignment="1">
      <alignment horizontal="left"/>
    </xf>
    <xf numFmtId="171" fontId="18" fillId="0" borderId="11" xfId="0" applyNumberFormat="1" applyFont="1" applyFill="1" applyBorder="1" applyAlignment="1">
      <alignment horizontal="right"/>
    </xf>
    <xf numFmtId="169" fontId="10" fillId="0" borderId="0" xfId="0" applyNumberFormat="1" applyFont="1" applyFill="1" applyAlignment="1">
      <alignment horizontal="left"/>
    </xf>
    <xf numFmtId="0" fontId="14" fillId="0" borderId="0" xfId="0" applyNumberFormat="1" applyFont="1" applyAlignment="1"/>
    <xf numFmtId="164" fontId="4" fillId="0" borderId="0" xfId="0" applyNumberFormat="1" applyFont="1" applyFill="1"/>
    <xf numFmtId="0" fontId="25" fillId="0" borderId="0" xfId="0" applyNumberFormat="1" applyFont="1" applyAlignment="1"/>
    <xf numFmtId="164" fontId="3" fillId="0" borderId="0" xfId="0" applyNumberFormat="1" applyFont="1" applyFill="1"/>
    <xf numFmtId="164" fontId="2" fillId="0" borderId="0" xfId="0" applyNumberFormat="1" applyFont="1" applyFill="1" applyBorder="1"/>
    <xf numFmtId="17" fontId="10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6" fillId="0" borderId="0" xfId="0" applyNumberFormat="1" applyFont="1" applyAlignment="1"/>
    <xf numFmtId="0" fontId="26" fillId="0" borderId="8" xfId="0" applyNumberFormat="1" applyFont="1" applyBorder="1" applyAlignment="1"/>
    <xf numFmtId="0" fontId="26" fillId="0" borderId="9" xfId="0" applyNumberFormat="1" applyFont="1" applyBorder="1" applyAlignment="1"/>
    <xf numFmtId="0" fontId="26" fillId="0" borderId="1" xfId="0" applyNumberFormat="1" applyFont="1" applyBorder="1" applyAlignment="1"/>
    <xf numFmtId="164" fontId="3" fillId="0" borderId="1" xfId="0" applyNumberFormat="1" applyFont="1" applyFill="1" applyBorder="1"/>
    <xf numFmtId="164" fontId="26" fillId="0" borderId="7" xfId="0" applyNumberFormat="1" applyFont="1" applyBorder="1" applyAlignment="1"/>
    <xf numFmtId="164" fontId="26" fillId="0" borderId="11" xfId="0" applyNumberFormat="1" applyFont="1" applyFill="1" applyBorder="1"/>
    <xf numFmtId="164" fontId="26" fillId="0" borderId="0" xfId="0" applyNumberFormat="1" applyFont="1" applyFill="1" applyBorder="1"/>
    <xf numFmtId="41" fontId="26" fillId="0" borderId="0" xfId="0" applyNumberFormat="1" applyFont="1" applyFill="1" applyBorder="1"/>
    <xf numFmtId="164" fontId="3" fillId="0" borderId="0" xfId="0" applyNumberFormat="1" applyFont="1" applyFill="1" applyBorder="1"/>
    <xf numFmtId="0" fontId="26" fillId="0" borderId="0" xfId="0" applyNumberFormat="1" applyFont="1" applyBorder="1" applyAlignment="1"/>
    <xf numFmtId="17" fontId="26" fillId="0" borderId="0" xfId="0" applyNumberFormat="1" applyFont="1" applyFill="1" applyBorder="1"/>
    <xf numFmtId="164" fontId="26" fillId="0" borderId="7" xfId="0" applyNumberFormat="1" applyFont="1" applyFill="1" applyBorder="1" applyAlignment="1"/>
    <xf numFmtId="164" fontId="26" fillId="4" borderId="7" xfId="0" applyNumberFormat="1" applyFont="1" applyFill="1" applyBorder="1" applyAlignment="1"/>
    <xf numFmtId="164" fontId="26" fillId="4" borderId="11" xfId="0" applyNumberFormat="1" applyFont="1" applyFill="1" applyBorder="1"/>
    <xf numFmtId="164" fontId="26" fillId="4" borderId="0" xfId="0" applyNumberFormat="1" applyFont="1" applyFill="1" applyBorder="1"/>
    <xf numFmtId="164" fontId="3" fillId="4" borderId="0" xfId="0" applyNumberFormat="1" applyFont="1" applyFill="1" applyBorder="1"/>
    <xf numFmtId="17" fontId="27" fillId="4" borderId="0" xfId="0" applyNumberFormat="1" applyFont="1" applyFill="1" applyBorder="1"/>
    <xf numFmtId="17" fontId="26" fillId="4" borderId="0" xfId="0" applyNumberFormat="1" applyFont="1" applyFill="1" applyBorder="1"/>
    <xf numFmtId="6" fontId="26" fillId="0" borderId="0" xfId="0" applyNumberFormat="1" applyFont="1" applyFill="1" applyBorder="1"/>
    <xf numFmtId="14" fontId="26" fillId="0" borderId="0" xfId="0" applyNumberFormat="1" applyFont="1" applyFill="1" applyBorder="1"/>
    <xf numFmtId="5" fontId="26" fillId="0" borderId="11" xfId="0" applyNumberFormat="1" applyFont="1" applyFill="1" applyBorder="1"/>
    <xf numFmtId="38" fontId="26" fillId="0" borderId="0" xfId="0" applyNumberFormat="1" applyFont="1" applyFill="1" applyBorder="1"/>
    <xf numFmtId="0" fontId="26" fillId="0" borderId="7" xfId="0" applyNumberFormat="1" applyFont="1" applyBorder="1" applyAlignment="1"/>
    <xf numFmtId="5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6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6" fillId="0" borderId="8" xfId="0" applyNumberFormat="1" applyFont="1" applyFill="1" applyBorder="1" applyAlignment="1"/>
    <xf numFmtId="0" fontId="26" fillId="0" borderId="9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Continuous"/>
    </xf>
    <xf numFmtId="0" fontId="26" fillId="0" borderId="7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Continuous"/>
    </xf>
    <xf numFmtId="0" fontId="26" fillId="0" borderId="6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4" xfId="0" applyFont="1" applyFill="1" applyBorder="1"/>
    <xf numFmtId="0" fontId="2" fillId="0" borderId="0" xfId="0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/>
    <xf numFmtId="0" fontId="10" fillId="0" borderId="0" xfId="0" applyFont="1" applyFill="1"/>
    <xf numFmtId="0" fontId="12" fillId="0" borderId="0" xfId="0" applyFont="1" applyFill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quotePrefix="1" applyNumberFormat="1" applyFont="1" applyFill="1" applyBorder="1" applyAlignment="1">
      <alignment horizontal="left"/>
    </xf>
    <xf numFmtId="164" fontId="30" fillId="4" borderId="0" xfId="0" applyNumberFormat="1" applyFont="1" applyFill="1" applyBorder="1"/>
    <xf numFmtId="164" fontId="2" fillId="0" borderId="36" xfId="0" applyNumberFormat="1" applyFont="1" applyBorder="1" applyAlignment="1"/>
    <xf numFmtId="164" fontId="2" fillId="2" borderId="21" xfId="0" applyNumberFormat="1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/>
    <xf numFmtId="0" fontId="6" fillId="0" borderId="1" xfId="0" quotePrefix="1" applyFont="1" applyFill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/>
    </xf>
    <xf numFmtId="41" fontId="8" fillId="0" borderId="14" xfId="0" applyNumberFormat="1" applyFont="1" applyFill="1" applyBorder="1" applyAlignment="1"/>
    <xf numFmtId="42" fontId="8" fillId="0" borderId="40" xfId="0" applyNumberFormat="1" applyFont="1" applyFill="1" applyBorder="1" applyAlignment="1"/>
    <xf numFmtId="41" fontId="2" fillId="3" borderId="21" xfId="0" applyNumberFormat="1" applyFont="1" applyFill="1" applyBorder="1" applyAlignment="1"/>
    <xf numFmtId="164" fontId="2" fillId="3" borderId="21" xfId="0" applyNumberFormat="1" applyFont="1" applyFill="1" applyBorder="1" applyAlignment="1"/>
    <xf numFmtId="41" fontId="2" fillId="3" borderId="31" xfId="0" applyNumberFormat="1" applyFont="1" applyFill="1" applyBorder="1" applyAlignment="1"/>
    <xf numFmtId="44" fontId="0" fillId="0" borderId="2" xfId="0" applyNumberFormat="1" applyBorder="1"/>
    <xf numFmtId="0" fontId="0" fillId="0" borderId="0" xfId="0" applyAlignment="1"/>
    <xf numFmtId="44" fontId="0" fillId="0" borderId="0" xfId="0" applyNumberFormat="1" applyAlignment="1"/>
    <xf numFmtId="9" fontId="0" fillId="0" borderId="0" xfId="0" applyNumberFormat="1" applyFont="1" applyAlignment="1">
      <alignment horizontal="center"/>
    </xf>
    <xf numFmtId="4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14" fontId="1" fillId="0" borderId="37" xfId="0" applyNumberFormat="1" applyFont="1" applyBorder="1" applyAlignment="1">
      <alignment horizontal="center"/>
    </xf>
    <xf numFmtId="14" fontId="1" fillId="0" borderId="4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Continuous"/>
    </xf>
    <xf numFmtId="0" fontId="1" fillId="0" borderId="38" xfId="0" applyFont="1" applyBorder="1" applyAlignment="1">
      <alignment horizontal="centerContinuous"/>
    </xf>
    <xf numFmtId="0" fontId="1" fillId="0" borderId="42" xfId="0" applyFont="1" applyBorder="1" applyAlignment="1">
      <alignment horizontal="centerContinuous"/>
    </xf>
    <xf numFmtId="10" fontId="10" fillId="0" borderId="8" xfId="0" applyNumberFormat="1" applyFont="1" applyFill="1" applyBorder="1" applyAlignment="1">
      <alignment horizontal="center"/>
    </xf>
    <xf numFmtId="14" fontId="0" fillId="0" borderId="0" xfId="0" applyNumberFormat="1"/>
    <xf numFmtId="43" fontId="0" fillId="0" borderId="0" xfId="0" applyNumberFormat="1"/>
    <xf numFmtId="0" fontId="0" fillId="4" borderId="0" xfId="0" applyFill="1"/>
    <xf numFmtId="0" fontId="7" fillId="0" borderId="0" xfId="0" applyFont="1" applyFill="1" applyAlignment="1">
      <alignment horizontal="right"/>
    </xf>
    <xf numFmtId="10" fontId="8" fillId="0" borderId="0" xfId="0" applyNumberFormat="1" applyFont="1" applyFill="1" applyAlignment="1">
      <alignment horizontal="right"/>
    </xf>
    <xf numFmtId="0" fontId="5" fillId="0" borderId="0" xfId="0" applyFont="1"/>
    <xf numFmtId="43" fontId="0" fillId="0" borderId="14" xfId="0" applyNumberFormat="1" applyFont="1" applyFill="1" applyBorder="1"/>
    <xf numFmtId="44" fontId="0" fillId="0" borderId="14" xfId="0" applyNumberFormat="1" applyFill="1" applyBorder="1"/>
    <xf numFmtId="0" fontId="0" fillId="0" borderId="14" xfId="0" applyBorder="1"/>
    <xf numFmtId="44" fontId="0" fillId="0" borderId="14" xfId="0" applyNumberFormat="1" applyBorder="1"/>
    <xf numFmtId="17" fontId="0" fillId="0" borderId="14" xfId="0" applyNumberFormat="1" applyBorder="1"/>
    <xf numFmtId="43" fontId="0" fillId="0" borderId="45" xfId="0" applyNumberFormat="1" applyFont="1" applyFill="1" applyBorder="1"/>
    <xf numFmtId="44" fontId="0" fillId="0" borderId="8" xfId="0" applyNumberFormat="1" applyFill="1" applyBorder="1"/>
    <xf numFmtId="0" fontId="0" fillId="0" borderId="1" xfId="0" applyBorder="1"/>
    <xf numFmtId="44" fontId="0" fillId="0" borderId="29" xfId="0" applyNumberFormat="1" applyBorder="1"/>
    <xf numFmtId="44" fontId="0" fillId="0" borderId="8" xfId="0" applyNumberFormat="1" applyBorder="1"/>
    <xf numFmtId="17" fontId="0" fillId="0" borderId="28" xfId="0" applyNumberFormat="1" applyBorder="1"/>
    <xf numFmtId="43" fontId="0" fillId="0" borderId="47" xfId="0" applyNumberFormat="1" applyFont="1" applyFill="1" applyBorder="1"/>
    <xf numFmtId="44" fontId="0" fillId="0" borderId="7" xfId="0" applyNumberFormat="1" applyFill="1" applyBorder="1"/>
    <xf numFmtId="44" fontId="0" fillId="0" borderId="18" xfId="0" applyNumberFormat="1" applyBorder="1"/>
    <xf numFmtId="44" fontId="0" fillId="0" borderId="7" xfId="0" applyNumberFormat="1" applyBorder="1"/>
    <xf numFmtId="17" fontId="0" fillId="0" borderId="17" xfId="0" applyNumberFormat="1" applyBorder="1"/>
    <xf numFmtId="0" fontId="0" fillId="0" borderId="4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41" fontId="8" fillId="0" borderId="3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42" fontId="0" fillId="0" borderId="0" xfId="0" applyNumberFormat="1"/>
    <xf numFmtId="43" fontId="0" fillId="0" borderId="0" xfId="0" applyNumberFormat="1" applyFill="1"/>
    <xf numFmtId="14" fontId="0" fillId="4" borderId="0" xfId="0" applyNumberFormat="1" applyFill="1" applyAlignment="1">
      <alignment horizontal="center"/>
    </xf>
    <xf numFmtId="10" fontId="0" fillId="0" borderId="48" xfId="0" applyNumberFormat="1" applyFont="1" applyBorder="1" applyAlignment="1">
      <alignment horizontal="center"/>
    </xf>
    <xf numFmtId="10" fontId="0" fillId="0" borderId="46" xfId="0" applyNumberFormat="1" applyFont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1" fontId="2" fillId="0" borderId="54" xfId="0" applyNumberFormat="1" applyFont="1" applyBorder="1" applyAlignment="1"/>
    <xf numFmtId="41" fontId="10" fillId="0" borderId="31" xfId="0" applyNumberFormat="1" applyFont="1" applyBorder="1" applyAlignment="1"/>
    <xf numFmtId="170" fontId="2" fillId="0" borderId="55" xfId="0" applyNumberFormat="1" applyFont="1" applyFill="1" applyBorder="1" applyAlignment="1">
      <alignment horizontal="right"/>
    </xf>
    <xf numFmtId="41" fontId="2" fillId="0" borderId="56" xfId="0" applyNumberFormat="1" applyFont="1" applyBorder="1" applyAlignment="1"/>
    <xf numFmtId="41" fontId="2" fillId="0" borderId="57" xfId="0" applyNumberFormat="1" applyFont="1" applyBorder="1" applyAlignment="1"/>
    <xf numFmtId="170" fontId="2" fillId="0" borderId="30" xfId="0" applyNumberFormat="1" applyFont="1" applyFill="1" applyBorder="1" applyAlignment="1">
      <alignment horizontal="right"/>
    </xf>
    <xf numFmtId="41" fontId="2" fillId="0" borderId="21" xfId="0" applyNumberFormat="1" applyFont="1" applyBorder="1" applyAlignment="1"/>
    <xf numFmtId="164" fontId="2" fillId="0" borderId="21" xfId="0" applyNumberFormat="1" applyFont="1" applyBorder="1" applyAlignment="1"/>
    <xf numFmtId="170" fontId="2" fillId="3" borderId="30" xfId="0" applyNumberFormat="1" applyFont="1" applyFill="1" applyBorder="1" applyAlignment="1">
      <alignment horizontal="right"/>
    </xf>
    <xf numFmtId="170" fontId="10" fillId="0" borderId="0" xfId="0" applyNumberFormat="1" applyFont="1" applyFill="1" applyBorder="1" applyAlignment="1">
      <alignment horizontal="left"/>
    </xf>
    <xf numFmtId="37" fontId="5" fillId="0" borderId="0" xfId="0" applyNumberFormat="1" applyFont="1"/>
    <xf numFmtId="14" fontId="0" fillId="0" borderId="0" xfId="0" applyNumberFormat="1" applyFill="1"/>
    <xf numFmtId="14" fontId="0" fillId="0" borderId="0" xfId="0" quotePrefix="1" applyNumberFormat="1"/>
    <xf numFmtId="14" fontId="0" fillId="0" borderId="0" xfId="0" quotePrefix="1" applyNumberFormat="1" applyAlignment="1">
      <alignment horizontal="right"/>
    </xf>
    <xf numFmtId="43" fontId="0" fillId="0" borderId="0" xfId="0" applyNumberFormat="1" applyFont="1"/>
    <xf numFmtId="44" fontId="0" fillId="0" borderId="40" xfId="0" applyNumberFormat="1" applyBorder="1"/>
    <xf numFmtId="4" fontId="0" fillId="0" borderId="0" xfId="0" applyNumberFormat="1"/>
    <xf numFmtId="44" fontId="0" fillId="0" borderId="0" xfId="0" applyNumberFormat="1" applyFill="1" applyAlignment="1"/>
    <xf numFmtId="14" fontId="1" fillId="0" borderId="58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0" fillId="5" borderId="0" xfId="0" applyFill="1" applyAlignment="1">
      <alignment wrapText="1"/>
    </xf>
    <xf numFmtId="0" fontId="0" fillId="6" borderId="0" xfId="0" applyFill="1"/>
    <xf numFmtId="0" fontId="0" fillId="0" borderId="5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FFCCFF"/>
      <color rgb="FF0000FF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30" sqref="D30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9.28515625" customWidth="1"/>
    <col min="4" max="8" width="18.42578125" bestFit="1" customWidth="1"/>
    <col min="9" max="9" width="1.7109375" customWidth="1"/>
    <col min="10" max="10" width="14.7109375" bestFit="1" customWidth="1"/>
    <col min="11" max="11" width="2.7109375" bestFit="1" customWidth="1"/>
  </cols>
  <sheetData>
    <row r="2" spans="1:11" x14ac:dyDescent="0.25">
      <c r="A2" s="2"/>
      <c r="B2" s="2"/>
      <c r="C2" s="2"/>
      <c r="D2" s="2"/>
      <c r="E2" s="2"/>
      <c r="F2" s="2"/>
      <c r="G2" s="2"/>
    </row>
    <row r="3" spans="1:11" x14ac:dyDescent="0.25">
      <c r="A3" s="2"/>
      <c r="B3" s="2"/>
      <c r="C3" s="2"/>
      <c r="D3" s="2"/>
      <c r="E3" s="2"/>
      <c r="F3" s="2"/>
      <c r="G3" s="2"/>
    </row>
    <row r="4" spans="1:11" x14ac:dyDescent="0.25">
      <c r="A4" s="3"/>
      <c r="B4" s="3"/>
      <c r="C4" s="3"/>
      <c r="D4" s="2"/>
      <c r="E4" s="2"/>
      <c r="F4" s="2"/>
      <c r="G4" s="2"/>
    </row>
    <row r="5" spans="1:11" x14ac:dyDescent="0.25">
      <c r="A5" s="4" t="s">
        <v>5</v>
      </c>
      <c r="B5" s="5"/>
      <c r="C5" s="5"/>
      <c r="D5" s="5"/>
      <c r="E5" s="5"/>
      <c r="F5" s="5"/>
      <c r="G5" s="5"/>
    </row>
    <row r="6" spans="1:11" x14ac:dyDescent="0.25">
      <c r="A6" s="5" t="s">
        <v>205</v>
      </c>
      <c r="B6" s="5"/>
      <c r="C6" s="5"/>
      <c r="D6" s="5"/>
      <c r="E6" s="5"/>
      <c r="F6" s="5"/>
      <c r="G6" s="5"/>
      <c r="H6" s="5"/>
    </row>
    <row r="7" spans="1:11" x14ac:dyDescent="0.25">
      <c r="A7" s="5" t="s">
        <v>83</v>
      </c>
      <c r="B7" s="5"/>
      <c r="C7" s="5"/>
      <c r="D7" s="5"/>
      <c r="E7" s="5"/>
      <c r="F7" s="5"/>
      <c r="G7" s="5"/>
      <c r="H7" s="5"/>
    </row>
    <row r="8" spans="1:11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11" x14ac:dyDescent="0.25">
      <c r="A9" s="6"/>
      <c r="B9" s="6"/>
      <c r="C9" s="252"/>
      <c r="D9" s="253" t="s">
        <v>143</v>
      </c>
      <c r="E9" s="253"/>
      <c r="F9" s="253" t="s">
        <v>141</v>
      </c>
      <c r="G9" s="253"/>
      <c r="H9" s="253" t="s">
        <v>11</v>
      </c>
    </row>
    <row r="10" spans="1:11" x14ac:dyDescent="0.25">
      <c r="A10" s="7" t="s">
        <v>7</v>
      </c>
      <c r="B10" s="8"/>
      <c r="C10" s="254"/>
      <c r="D10" s="253" t="s">
        <v>10</v>
      </c>
      <c r="E10" s="253" t="s">
        <v>141</v>
      </c>
      <c r="F10" s="253" t="s">
        <v>12</v>
      </c>
      <c r="G10" s="253" t="s">
        <v>11</v>
      </c>
      <c r="H10" s="253" t="s">
        <v>12</v>
      </c>
    </row>
    <row r="11" spans="1:11" x14ac:dyDescent="0.25">
      <c r="A11" s="9" t="s">
        <v>8</v>
      </c>
      <c r="B11" s="10" t="s">
        <v>9</v>
      </c>
      <c r="C11" s="255" t="s">
        <v>144</v>
      </c>
      <c r="D11" s="256" t="s">
        <v>40</v>
      </c>
      <c r="E11" s="256" t="s">
        <v>41</v>
      </c>
      <c r="F11" s="256" t="s">
        <v>145</v>
      </c>
      <c r="G11" s="256" t="s">
        <v>146</v>
      </c>
      <c r="H11" s="256" t="s">
        <v>147</v>
      </c>
    </row>
    <row r="12" spans="1:11" x14ac:dyDescent="0.25">
      <c r="A12" s="11"/>
      <c r="B12" s="11"/>
      <c r="C12" s="11"/>
      <c r="D12" s="11"/>
      <c r="E12" s="11"/>
      <c r="F12" s="11"/>
      <c r="G12" s="11"/>
      <c r="H12" s="11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</row>
    <row r="14" spans="1:11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11" x14ac:dyDescent="0.25">
      <c r="A15" s="12">
        <f>A14+1</f>
        <v>2</v>
      </c>
      <c r="B15" s="15" t="s">
        <v>241</v>
      </c>
      <c r="C15" s="15"/>
      <c r="D15" s="16"/>
      <c r="E15" s="16"/>
      <c r="F15" s="16"/>
      <c r="G15" s="16"/>
      <c r="H15" s="16"/>
    </row>
    <row r="16" spans="1:11" x14ac:dyDescent="0.25">
      <c r="A16" s="12">
        <f t="shared" ref="A16:A38" si="0">A15+1</f>
        <v>3</v>
      </c>
      <c r="B16" s="17" t="s">
        <v>256</v>
      </c>
      <c r="C16" s="17"/>
      <c r="D16" s="18">
        <v>0</v>
      </c>
      <c r="E16" s="18">
        <v>0</v>
      </c>
      <c r="F16" s="18">
        <v>0</v>
      </c>
      <c r="G16" s="18">
        <f>'Common Lead'!G16*'Elec Lead '!C34</f>
        <v>21484686.755701002</v>
      </c>
      <c r="H16" s="18">
        <f t="shared" ref="H16:H24" si="1">+G16-F16</f>
        <v>21484686.755701002</v>
      </c>
      <c r="J16" s="312"/>
      <c r="K16" s="328">
        <f>G16+'Gas Lead '!G16-'Common Lead'!G16</f>
        <v>0</v>
      </c>
    </row>
    <row r="17" spans="1:11" x14ac:dyDescent="0.25">
      <c r="A17" s="12">
        <f t="shared" si="0"/>
        <v>4</v>
      </c>
      <c r="B17" s="19" t="s">
        <v>257</v>
      </c>
      <c r="C17" s="19"/>
      <c r="D17" s="14">
        <v>0</v>
      </c>
      <c r="E17" s="14">
        <v>0</v>
      </c>
      <c r="F17" s="14">
        <v>0</v>
      </c>
      <c r="G17" s="14">
        <f>'Common Lead'!G17*'Elec Lead '!C34</f>
        <v>-8848582.893215416</v>
      </c>
      <c r="H17" s="14">
        <f t="shared" si="1"/>
        <v>-8848582.893215416</v>
      </c>
      <c r="K17" s="328">
        <f>G17+'Gas Lead '!G17-'Common Lead'!G17</f>
        <v>0</v>
      </c>
    </row>
    <row r="18" spans="1:11" x14ac:dyDescent="0.25">
      <c r="A18" s="12">
        <f t="shared" si="0"/>
        <v>5</v>
      </c>
      <c r="B18" s="19" t="s">
        <v>258</v>
      </c>
      <c r="C18" s="19"/>
      <c r="D18" s="14">
        <v>0</v>
      </c>
      <c r="E18" s="14">
        <v>0</v>
      </c>
      <c r="F18" s="14">
        <v>0</v>
      </c>
      <c r="G18" s="14">
        <f>'Common Lead'!G18*'Elec Lead '!C34</f>
        <v>-71544.914168613555</v>
      </c>
      <c r="H18" s="14">
        <f t="shared" si="1"/>
        <v>-71544.914168613555</v>
      </c>
      <c r="K18" s="328">
        <f>G18+'Gas Lead '!G18-'Common Lead'!G18</f>
        <v>0</v>
      </c>
    </row>
    <row r="19" spans="1:11" x14ac:dyDescent="0.25">
      <c r="A19" s="12">
        <f t="shared" si="0"/>
        <v>6</v>
      </c>
      <c r="B19" s="20" t="s">
        <v>243</v>
      </c>
      <c r="C19" s="19"/>
      <c r="D19" s="257">
        <f>SUM(D16:D18)</f>
        <v>0</v>
      </c>
      <c r="E19" s="257">
        <f>SUM(E16:E18)</f>
        <v>0</v>
      </c>
      <c r="F19" s="257">
        <f>SUM(F16:F18)</f>
        <v>0</v>
      </c>
      <c r="G19" s="257">
        <f>SUM(G16:G18)</f>
        <v>12564558.948316973</v>
      </c>
      <c r="H19" s="257">
        <f>SUM(H16:H18)</f>
        <v>12564558.948316973</v>
      </c>
      <c r="J19" s="277"/>
    </row>
    <row r="20" spans="1:11" x14ac:dyDescent="0.25">
      <c r="A20" s="12"/>
      <c r="B20" s="20"/>
      <c r="C20" s="19"/>
      <c r="D20" s="257"/>
      <c r="E20" s="257"/>
      <c r="F20" s="257"/>
      <c r="G20" s="257"/>
      <c r="H20" s="257"/>
      <c r="J20" s="277"/>
    </row>
    <row r="21" spans="1:11" x14ac:dyDescent="0.25">
      <c r="A21" s="12">
        <f>A19+1</f>
        <v>7</v>
      </c>
      <c r="B21" s="15" t="s">
        <v>242</v>
      </c>
      <c r="C21" s="19"/>
      <c r="D21" s="14"/>
      <c r="E21" s="14"/>
      <c r="F21" s="14"/>
      <c r="G21" s="14"/>
      <c r="H21" s="14"/>
    </row>
    <row r="22" spans="1:11" x14ac:dyDescent="0.25">
      <c r="A22" s="12">
        <f t="shared" si="0"/>
        <v>8</v>
      </c>
      <c r="B22" s="19" t="s">
        <v>259</v>
      </c>
      <c r="C22" s="19"/>
      <c r="D22" s="14">
        <v>0</v>
      </c>
      <c r="E22" s="14">
        <v>0</v>
      </c>
      <c r="F22" s="14">
        <v>0</v>
      </c>
      <c r="G22" s="14">
        <f>'Common Lead'!G22*'Elec Lead '!C34</f>
        <v>20222349.290381495</v>
      </c>
      <c r="H22" s="14">
        <f t="shared" si="1"/>
        <v>20222349.290381495</v>
      </c>
      <c r="K22" s="328">
        <f>G22+'Gas Lead '!G22-'Common Lead'!G22</f>
        <v>0</v>
      </c>
    </row>
    <row r="23" spans="1:11" x14ac:dyDescent="0.25">
      <c r="A23" s="12">
        <f t="shared" si="0"/>
        <v>9</v>
      </c>
      <c r="B23" s="19" t="s">
        <v>260</v>
      </c>
      <c r="C23" s="19"/>
      <c r="D23" s="14">
        <v>0</v>
      </c>
      <c r="E23" s="14">
        <v>0</v>
      </c>
      <c r="F23" s="14">
        <v>0</v>
      </c>
      <c r="G23" s="14">
        <f>'Common Lead'!G23*'Elec Lead '!C34</f>
        <v>-3370391.5483969157</v>
      </c>
      <c r="H23" s="14">
        <f t="shared" si="1"/>
        <v>-3370391.5483969157</v>
      </c>
      <c r="K23" s="328">
        <f>G23+'Gas Lead '!G23-'Common Lead'!G23</f>
        <v>0</v>
      </c>
    </row>
    <row r="24" spans="1:11" x14ac:dyDescent="0.25">
      <c r="A24" s="12">
        <f t="shared" si="0"/>
        <v>10</v>
      </c>
      <c r="B24" s="19" t="s">
        <v>261</v>
      </c>
      <c r="C24" s="19"/>
      <c r="D24" s="14">
        <v>0</v>
      </c>
      <c r="E24" s="14">
        <v>0</v>
      </c>
      <c r="F24" s="14">
        <v>0</v>
      </c>
      <c r="G24" s="14">
        <f>'Common Lead'!G24*'Elec Lead '!C34</f>
        <v>-3538911.1258167643</v>
      </c>
      <c r="H24" s="14">
        <f t="shared" si="1"/>
        <v>-3538911.1258167643</v>
      </c>
      <c r="K24" s="328">
        <f>G24+'Gas Lead '!G24-'Common Lead'!G24</f>
        <v>0</v>
      </c>
    </row>
    <row r="25" spans="1:11" x14ac:dyDescent="0.25">
      <c r="A25" s="12">
        <f t="shared" si="0"/>
        <v>11</v>
      </c>
      <c r="B25" s="23" t="s">
        <v>262</v>
      </c>
      <c r="C25" s="19"/>
      <c r="D25" s="257">
        <f>SUM(D22:D24)</f>
        <v>0</v>
      </c>
      <c r="E25" s="257">
        <f t="shared" ref="E25:H25" si="2">SUM(E22:E24)</f>
        <v>0</v>
      </c>
      <c r="F25" s="257">
        <f t="shared" si="2"/>
        <v>0</v>
      </c>
      <c r="G25" s="257">
        <f t="shared" si="2"/>
        <v>13313046.616167815</v>
      </c>
      <c r="H25" s="257">
        <f t="shared" si="2"/>
        <v>13313046.616167815</v>
      </c>
    </row>
    <row r="26" spans="1:11" x14ac:dyDescent="0.25">
      <c r="A26" s="12">
        <f t="shared" si="0"/>
        <v>12</v>
      </c>
      <c r="B26" s="20"/>
      <c r="C26" s="19"/>
      <c r="D26" s="257"/>
      <c r="E26" s="257"/>
      <c r="F26" s="257"/>
      <c r="G26" s="257"/>
      <c r="H26" s="257"/>
    </row>
    <row r="27" spans="1:11" ht="15.75" thickBot="1" x14ac:dyDescent="0.3">
      <c r="A27" s="12">
        <f t="shared" si="0"/>
        <v>13</v>
      </c>
      <c r="B27" s="20" t="s">
        <v>148</v>
      </c>
      <c r="C27" s="20"/>
      <c r="D27" s="258">
        <f>D19+D25</f>
        <v>0</v>
      </c>
      <c r="E27" s="258">
        <f t="shared" ref="E27:H27" si="3">E19+E25</f>
        <v>0</v>
      </c>
      <c r="F27" s="258">
        <f t="shared" si="3"/>
        <v>0</v>
      </c>
      <c r="G27" s="258">
        <f t="shared" si="3"/>
        <v>25877605.56448479</v>
      </c>
      <c r="H27" s="258">
        <f t="shared" si="3"/>
        <v>25877605.56448479</v>
      </c>
      <c r="J27" s="266"/>
    </row>
    <row r="28" spans="1:11" ht="16.5" thickTop="1" x14ac:dyDescent="0.25">
      <c r="A28" s="12">
        <f t="shared" si="0"/>
        <v>14</v>
      </c>
      <c r="B28" s="151"/>
      <c r="C28" s="151"/>
      <c r="D28" s="152"/>
      <c r="E28" s="152"/>
      <c r="F28" s="152"/>
      <c r="G28" s="152"/>
      <c r="H28" s="154">
        <f>'Common Lead'!H27-'Gas Lead '!H27-'Elec Lead '!H27</f>
        <v>0</v>
      </c>
      <c r="J28" s="281" t="s">
        <v>240</v>
      </c>
    </row>
    <row r="29" spans="1:11" x14ac:dyDescent="0.25">
      <c r="A29" s="12">
        <f t="shared" si="0"/>
        <v>15</v>
      </c>
      <c r="B29" s="22" t="s">
        <v>14</v>
      </c>
      <c r="C29" s="22"/>
      <c r="D29" s="13"/>
      <c r="E29" s="13"/>
      <c r="F29" s="13"/>
      <c r="G29" s="13"/>
      <c r="H29" s="13"/>
    </row>
    <row r="30" spans="1:11" x14ac:dyDescent="0.25">
      <c r="A30" s="12">
        <f t="shared" si="0"/>
        <v>16</v>
      </c>
      <c r="B30" s="23" t="s">
        <v>263</v>
      </c>
      <c r="C30" s="23"/>
      <c r="D30" s="18">
        <v>0</v>
      </c>
      <c r="E30" s="18">
        <v>0</v>
      </c>
      <c r="F30" s="18">
        <v>0</v>
      </c>
      <c r="G30" s="18">
        <f>'Common Lead'!G30*'Elec Lead '!C34</f>
        <v>5248913.9956294717</v>
      </c>
      <c r="H30" s="18">
        <f>+G30-F30</f>
        <v>5248913.9956294717</v>
      </c>
      <c r="K30" s="328">
        <f>G30+'Gas Lead '!G30-'Common Lead'!G30</f>
        <v>0</v>
      </c>
    </row>
    <row r="31" spans="1:11" x14ac:dyDescent="0.25">
      <c r="A31" s="12">
        <f t="shared" si="0"/>
        <v>17</v>
      </c>
      <c r="B31" s="23" t="s">
        <v>264</v>
      </c>
      <c r="C31" s="23"/>
      <c r="D31" s="14">
        <v>0</v>
      </c>
      <c r="E31" s="14">
        <v>0</v>
      </c>
      <c r="F31" s="14">
        <v>0</v>
      </c>
      <c r="G31" s="14">
        <f>'Common Lead'!G31*'Elec Lead '!C34</f>
        <v>6740783.0967938304</v>
      </c>
      <c r="H31" s="14">
        <f>+G31-F31</f>
        <v>6740783.0967938304</v>
      </c>
      <c r="K31" s="328">
        <f>G31+'Gas Lead '!G31-'Common Lead'!G31</f>
        <v>0</v>
      </c>
    </row>
    <row r="32" spans="1:11" x14ac:dyDescent="0.25">
      <c r="A32" s="12">
        <f t="shared" si="0"/>
        <v>18</v>
      </c>
      <c r="B32" s="23" t="s">
        <v>265</v>
      </c>
      <c r="C32" s="23"/>
      <c r="D32" s="14">
        <v>0</v>
      </c>
      <c r="E32" s="14">
        <v>0</v>
      </c>
      <c r="F32" s="14">
        <v>0</v>
      </c>
      <c r="G32" s="14">
        <f>'Common Lead'!G32*'Elec Lead '!C34</f>
        <v>197130.45445184459</v>
      </c>
      <c r="H32" s="14">
        <f>+G32-F32</f>
        <v>197130.45445184459</v>
      </c>
      <c r="K32" s="328">
        <f>G32+'Gas Lead '!G32-'Common Lead'!G32</f>
        <v>0</v>
      </c>
    </row>
    <row r="33" spans="1:10" ht="15.75" thickBot="1" x14ac:dyDescent="0.3">
      <c r="A33" s="12">
        <f t="shared" si="0"/>
        <v>19</v>
      </c>
      <c r="B33" s="23" t="s">
        <v>18</v>
      </c>
      <c r="C33" s="23"/>
      <c r="D33" s="21">
        <f t="shared" ref="D33:E33" si="4">SUM(D30:D32)</f>
        <v>0</v>
      </c>
      <c r="E33" s="21">
        <f t="shared" si="4"/>
        <v>0</v>
      </c>
      <c r="F33" s="21">
        <f>SUM(F30:F32)</f>
        <v>0</v>
      </c>
      <c r="G33" s="21">
        <f>SUM(G30:G32)</f>
        <v>12186827.546875145</v>
      </c>
      <c r="H33" s="21">
        <f>SUM(H30:H32)</f>
        <v>12186827.546875145</v>
      </c>
    </row>
    <row r="34" spans="1:10" ht="16.5" thickTop="1" x14ac:dyDescent="0.25">
      <c r="A34" s="12">
        <f t="shared" si="0"/>
        <v>20</v>
      </c>
      <c r="B34" s="279" t="s">
        <v>239</v>
      </c>
      <c r="C34" s="280">
        <f>[1]Lead!$E$35</f>
        <v>0.66190000000000004</v>
      </c>
      <c r="D34" s="155"/>
      <c r="E34" s="155"/>
      <c r="F34" s="155"/>
      <c r="G34" s="155"/>
      <c r="H34" s="155"/>
    </row>
    <row r="35" spans="1:10" x14ac:dyDescent="0.25">
      <c r="A35" s="12">
        <f t="shared" si="0"/>
        <v>21</v>
      </c>
      <c r="B35" s="24" t="s">
        <v>15</v>
      </c>
      <c r="C35" s="24"/>
      <c r="D35" s="14"/>
      <c r="E35" s="14"/>
      <c r="F35" s="14"/>
      <c r="G35" s="14">
        <f>G33</f>
        <v>12186827.546875145</v>
      </c>
      <c r="H35" s="18">
        <f>+G35-F35</f>
        <v>12186827.546875145</v>
      </c>
    </row>
    <row r="36" spans="1:10" x14ac:dyDescent="0.25">
      <c r="A36" s="12">
        <f t="shared" si="0"/>
        <v>22</v>
      </c>
      <c r="B36" s="24"/>
      <c r="C36" s="24"/>
      <c r="D36" s="14"/>
      <c r="E36" s="14"/>
      <c r="F36" s="14"/>
      <c r="G36" s="14"/>
      <c r="H36" s="14"/>
    </row>
    <row r="37" spans="1:10" x14ac:dyDescent="0.25">
      <c r="A37" s="12">
        <f t="shared" si="0"/>
        <v>23</v>
      </c>
      <c r="B37" s="24" t="s">
        <v>16</v>
      </c>
      <c r="C37" s="157">
        <v>0.21</v>
      </c>
      <c r="D37" s="158"/>
      <c r="E37" s="158"/>
      <c r="F37" s="158"/>
      <c r="G37" s="158">
        <f>-G35*C37</f>
        <v>-2559233.7848437806</v>
      </c>
      <c r="H37" s="158">
        <f>+G37-F37</f>
        <v>-2559233.7848437806</v>
      </c>
    </row>
    <row r="38" spans="1:10" ht="15.75" thickBot="1" x14ac:dyDescent="0.3">
      <c r="A38" s="12">
        <f t="shared" si="0"/>
        <v>24</v>
      </c>
      <c r="B38" s="24" t="s">
        <v>17</v>
      </c>
      <c r="C38" s="24"/>
      <c r="D38" s="159">
        <f t="shared" ref="D38:F38" si="5">-D35-D37</f>
        <v>0</v>
      </c>
      <c r="E38" s="159">
        <f t="shared" si="5"/>
        <v>0</v>
      </c>
      <c r="F38" s="159">
        <f t="shared" si="5"/>
        <v>0</v>
      </c>
      <c r="G38" s="159">
        <f>-G35-G37</f>
        <v>-9627593.7620313652</v>
      </c>
      <c r="H38" s="159">
        <f>-H35-H37</f>
        <v>-9627593.7620313652</v>
      </c>
    </row>
    <row r="39" spans="1:10" ht="15.75" thickTop="1" x14ac:dyDescent="0.25">
      <c r="A39" s="12"/>
      <c r="D39" s="154"/>
      <c r="E39" s="154"/>
      <c r="F39" s="154"/>
      <c r="G39" s="154"/>
      <c r="H39" s="154">
        <f>'Common Lead'!H38-'Gas Lead '!H38-'Elec Lead '!H38</f>
        <v>0</v>
      </c>
      <c r="J39" s="281" t="s">
        <v>240</v>
      </c>
    </row>
    <row r="40" spans="1:10" x14ac:dyDescent="0.25">
      <c r="A40" s="12"/>
      <c r="B40" s="247"/>
      <c r="C40" s="247"/>
      <c r="D40" s="13"/>
      <c r="E40" s="13"/>
      <c r="F40" s="13"/>
      <c r="G40" s="13"/>
      <c r="H40" s="13"/>
    </row>
    <row r="41" spans="1:10" x14ac:dyDescent="0.25">
      <c r="A41" s="12"/>
      <c r="B41" s="247"/>
      <c r="C41" s="247"/>
      <c r="D41" s="13"/>
      <c r="E41" s="13"/>
      <c r="F41" s="13"/>
      <c r="G41" s="13"/>
      <c r="H41" s="13"/>
    </row>
    <row r="42" spans="1:10" x14ac:dyDescent="0.25">
      <c r="A42" s="12"/>
      <c r="B42" s="247"/>
      <c r="C42" s="247"/>
    </row>
  </sheetData>
  <pageMargins left="0.7" right="0.7" top="0.75" bottom="0.75" header="0.3" footer="0.3"/>
  <pageSetup scale="52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C37" sqref="C37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9.28515625" customWidth="1"/>
    <col min="4" max="8" width="18.42578125" bestFit="1" customWidth="1"/>
    <col min="9" max="9" width="1.7109375" customWidth="1"/>
    <col min="11" max="11" width="14.7109375" bestFit="1" customWidth="1"/>
  </cols>
  <sheetData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3"/>
      <c r="B4" s="3"/>
      <c r="C4" s="3"/>
      <c r="D4" s="2"/>
      <c r="E4" s="2"/>
      <c r="F4" s="2"/>
      <c r="G4" s="2"/>
    </row>
    <row r="5" spans="1:8" x14ac:dyDescent="0.25">
      <c r="A5" s="4" t="s">
        <v>5</v>
      </c>
      <c r="B5" s="5"/>
      <c r="C5" s="5"/>
      <c r="D5" s="5"/>
      <c r="E5" s="5"/>
      <c r="F5" s="5"/>
      <c r="G5" s="5"/>
    </row>
    <row r="6" spans="1:8" x14ac:dyDescent="0.25">
      <c r="A6" s="5" t="s">
        <v>205</v>
      </c>
      <c r="B6" s="5"/>
      <c r="C6" s="5"/>
      <c r="D6" s="5"/>
      <c r="E6" s="5"/>
      <c r="F6" s="5"/>
      <c r="G6" s="5"/>
      <c r="H6" s="5"/>
    </row>
    <row r="7" spans="1:8" x14ac:dyDescent="0.25">
      <c r="A7" s="5" t="s">
        <v>83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252"/>
      <c r="D9" s="253" t="s">
        <v>143</v>
      </c>
      <c r="E9" s="253"/>
      <c r="F9" s="253" t="s">
        <v>141</v>
      </c>
      <c r="G9" s="253"/>
      <c r="H9" s="253" t="s">
        <v>11</v>
      </c>
    </row>
    <row r="10" spans="1:8" x14ac:dyDescent="0.25">
      <c r="A10" s="7" t="s">
        <v>7</v>
      </c>
      <c r="B10" s="8"/>
      <c r="C10" s="254"/>
      <c r="D10" s="253" t="s">
        <v>10</v>
      </c>
      <c r="E10" s="253" t="s">
        <v>141</v>
      </c>
      <c r="F10" s="253" t="s">
        <v>12</v>
      </c>
      <c r="G10" s="253" t="s">
        <v>11</v>
      </c>
      <c r="H10" s="253" t="s">
        <v>12</v>
      </c>
    </row>
    <row r="11" spans="1:8" x14ac:dyDescent="0.25">
      <c r="A11" s="9" t="s">
        <v>8</v>
      </c>
      <c r="B11" s="10" t="s">
        <v>9</v>
      </c>
      <c r="C11" s="255" t="s">
        <v>144</v>
      </c>
      <c r="D11" s="256" t="s">
        <v>40</v>
      </c>
      <c r="E11" s="256" t="s">
        <v>41</v>
      </c>
      <c r="F11" s="256" t="s">
        <v>145</v>
      </c>
      <c r="G11" s="256" t="s">
        <v>146</v>
      </c>
      <c r="H11" s="256" t="s">
        <v>147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4" spans="1:8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8" x14ac:dyDescent="0.25">
      <c r="A15" s="12">
        <f>A14+1</f>
        <v>2</v>
      </c>
      <c r="B15" s="15" t="s">
        <v>241</v>
      </c>
      <c r="C15" s="15"/>
      <c r="D15" s="16"/>
      <c r="E15" s="16"/>
      <c r="F15" s="16"/>
      <c r="G15" s="16"/>
      <c r="H15" s="16"/>
    </row>
    <row r="16" spans="1:8" x14ac:dyDescent="0.25">
      <c r="A16" s="12">
        <f t="shared" ref="A16:A38" si="0">A15+1</f>
        <v>3</v>
      </c>
      <c r="B16" s="17" t="s">
        <v>256</v>
      </c>
      <c r="C16" s="17"/>
      <c r="D16" s="18">
        <v>0</v>
      </c>
      <c r="E16" s="18">
        <v>0</v>
      </c>
      <c r="F16" s="18">
        <v>0</v>
      </c>
      <c r="G16" s="18">
        <f>'Common Lead'!G16*'Gas Lead '!C34</f>
        <v>10974426.034299001</v>
      </c>
      <c r="H16" s="18">
        <f t="shared" ref="H16:H24" si="1">+G16-F16</f>
        <v>10974426.034299001</v>
      </c>
    </row>
    <row r="17" spans="1:11" x14ac:dyDescent="0.25">
      <c r="A17" s="12">
        <f t="shared" si="0"/>
        <v>4</v>
      </c>
      <c r="B17" s="19" t="s">
        <v>257</v>
      </c>
      <c r="C17" s="19"/>
      <c r="D17" s="14">
        <v>0</v>
      </c>
      <c r="E17" s="14">
        <v>0</v>
      </c>
      <c r="F17" s="14">
        <v>0</v>
      </c>
      <c r="G17" s="14">
        <f>'Common Lead'!G17*'Gas Lead '!C34</f>
        <v>-4519875.9271734888</v>
      </c>
      <c r="H17" s="14">
        <f t="shared" si="1"/>
        <v>-4519875.9271734888</v>
      </c>
    </row>
    <row r="18" spans="1:11" x14ac:dyDescent="0.25">
      <c r="A18" s="12">
        <f t="shared" si="0"/>
        <v>5</v>
      </c>
      <c r="B18" s="19" t="s">
        <v>258</v>
      </c>
      <c r="C18" s="19"/>
      <c r="D18" s="14">
        <v>0</v>
      </c>
      <c r="E18" s="14">
        <v>0</v>
      </c>
      <c r="F18" s="14">
        <v>0</v>
      </c>
      <c r="G18" s="14">
        <f>'Common Lead'!G18*'Gas Lead '!C34</f>
        <v>-36545.302130847929</v>
      </c>
      <c r="H18" s="14">
        <f t="shared" si="1"/>
        <v>-36545.302130847929</v>
      </c>
    </row>
    <row r="19" spans="1:11" x14ac:dyDescent="0.25">
      <c r="A19" s="12">
        <f t="shared" si="0"/>
        <v>6</v>
      </c>
      <c r="B19" s="20" t="s">
        <v>243</v>
      </c>
      <c r="C19" s="19"/>
      <c r="D19" s="257">
        <f>SUM(D16:D18)</f>
        <v>0</v>
      </c>
      <c r="E19" s="257">
        <f>SUM(E16:E18)</f>
        <v>0</v>
      </c>
      <c r="F19" s="257">
        <f>SUM(F16:F18)</f>
        <v>0</v>
      </c>
      <c r="G19" s="257">
        <f>SUM(G16:G18)</f>
        <v>6418004.8049946642</v>
      </c>
      <c r="H19" s="257">
        <f>SUM(H16:H18)</f>
        <v>6418004.8049946642</v>
      </c>
      <c r="K19" s="277"/>
    </row>
    <row r="20" spans="1:11" x14ac:dyDescent="0.25">
      <c r="A20" s="12"/>
      <c r="B20" s="20"/>
      <c r="C20" s="19"/>
      <c r="D20" s="257"/>
      <c r="E20" s="257"/>
      <c r="F20" s="257"/>
      <c r="G20" s="257"/>
      <c r="H20" s="257"/>
      <c r="K20" s="277"/>
    </row>
    <row r="21" spans="1:11" x14ac:dyDescent="0.25">
      <c r="A21" s="12">
        <f>A19+1</f>
        <v>7</v>
      </c>
      <c r="B21" s="15" t="s">
        <v>242</v>
      </c>
      <c r="C21" s="19"/>
      <c r="D21" s="14"/>
      <c r="E21" s="14"/>
      <c r="F21" s="14"/>
      <c r="G21" s="14"/>
      <c r="H21" s="14"/>
    </row>
    <row r="22" spans="1:11" x14ac:dyDescent="0.25">
      <c r="A22" s="12">
        <f t="shared" si="0"/>
        <v>8</v>
      </c>
      <c r="B22" s="19" t="s">
        <v>259</v>
      </c>
      <c r="C22" s="19"/>
      <c r="D22" s="14">
        <v>0</v>
      </c>
      <c r="E22" s="14">
        <v>0</v>
      </c>
      <c r="F22" s="14">
        <v>0</v>
      </c>
      <c r="G22" s="14">
        <f>'Common Lead'!G22*'Gas Lead '!C34</f>
        <v>10329621.234443244</v>
      </c>
      <c r="H22" s="14">
        <f t="shared" si="1"/>
        <v>10329621.234443244</v>
      </c>
    </row>
    <row r="23" spans="1:11" x14ac:dyDescent="0.25">
      <c r="A23" s="12">
        <f t="shared" si="0"/>
        <v>9</v>
      </c>
      <c r="B23" s="19" t="s">
        <v>260</v>
      </c>
      <c r="C23" s="19"/>
      <c r="D23" s="14">
        <v>0</v>
      </c>
      <c r="E23" s="14">
        <v>0</v>
      </c>
      <c r="F23" s="14">
        <v>0</v>
      </c>
      <c r="G23" s="14">
        <f>'Common Lead'!G23*'Gas Lead '!C34</f>
        <v>-1721603.539073874</v>
      </c>
      <c r="H23" s="14">
        <f t="shared" si="1"/>
        <v>-1721603.539073874</v>
      </c>
    </row>
    <row r="24" spans="1:11" x14ac:dyDescent="0.25">
      <c r="A24" s="12">
        <f t="shared" si="0"/>
        <v>10</v>
      </c>
      <c r="B24" s="19" t="s">
        <v>261</v>
      </c>
      <c r="C24" s="19"/>
      <c r="D24" s="14">
        <v>0</v>
      </c>
      <c r="E24" s="14">
        <v>0</v>
      </c>
      <c r="F24" s="14">
        <v>0</v>
      </c>
      <c r="G24" s="14">
        <f>'Common Lead'!G24*'Gas Lead '!C34</f>
        <v>-1807683.7160275693</v>
      </c>
      <c r="H24" s="14">
        <f t="shared" si="1"/>
        <v>-1807683.7160275693</v>
      </c>
    </row>
    <row r="25" spans="1:11" x14ac:dyDescent="0.25">
      <c r="A25" s="12">
        <f t="shared" si="0"/>
        <v>11</v>
      </c>
      <c r="B25" s="23" t="s">
        <v>262</v>
      </c>
      <c r="C25" s="19"/>
      <c r="D25" s="257">
        <f>SUM(D22:D24)</f>
        <v>0</v>
      </c>
      <c r="E25" s="257">
        <f t="shared" ref="E25:H25" si="2">SUM(E22:E24)</f>
        <v>0</v>
      </c>
      <c r="F25" s="257">
        <f t="shared" si="2"/>
        <v>0</v>
      </c>
      <c r="G25" s="257">
        <f>SUM(G22:G24)</f>
        <v>6800333.9793418013</v>
      </c>
      <c r="H25" s="257">
        <f t="shared" si="2"/>
        <v>6800333.9793418013</v>
      </c>
      <c r="K25" s="277"/>
    </row>
    <row r="26" spans="1:11" x14ac:dyDescent="0.25">
      <c r="A26" s="12">
        <f t="shared" si="0"/>
        <v>12</v>
      </c>
      <c r="B26" s="20"/>
      <c r="C26" s="19"/>
      <c r="D26" s="257"/>
      <c r="E26" s="257"/>
      <c r="F26" s="257"/>
      <c r="G26" s="257"/>
      <c r="H26" s="257"/>
      <c r="K26" s="277"/>
    </row>
    <row r="27" spans="1:11" ht="15.75" thickBot="1" x14ac:dyDescent="0.3">
      <c r="A27" s="12">
        <f t="shared" si="0"/>
        <v>13</v>
      </c>
      <c r="B27" s="20" t="s">
        <v>148</v>
      </c>
      <c r="C27" s="20"/>
      <c r="D27" s="258">
        <f>D19+D25</f>
        <v>0</v>
      </c>
      <c r="E27" s="258">
        <f t="shared" ref="E27:H27" si="3">E19+E25</f>
        <v>0</v>
      </c>
      <c r="F27" s="258">
        <f t="shared" si="3"/>
        <v>0</v>
      </c>
      <c r="G27" s="258">
        <f t="shared" si="3"/>
        <v>13218338.784336466</v>
      </c>
      <c r="H27" s="258">
        <f t="shared" si="3"/>
        <v>13218338.784336466</v>
      </c>
      <c r="K27" s="266"/>
    </row>
    <row r="28" spans="1:11" ht="16.5" thickTop="1" x14ac:dyDescent="0.25">
      <c r="A28" s="12">
        <f t="shared" si="0"/>
        <v>14</v>
      </c>
      <c r="B28" s="151"/>
      <c r="C28" s="151"/>
      <c r="D28" s="152"/>
      <c r="E28" s="152"/>
      <c r="F28" s="152"/>
      <c r="G28" s="152"/>
      <c r="H28" s="154">
        <f>'Common Lead'!H27-'Elec Lead '!H27-'Gas Lead '!H27</f>
        <v>0</v>
      </c>
      <c r="I28" s="281" t="s">
        <v>240</v>
      </c>
    </row>
    <row r="29" spans="1:11" x14ac:dyDescent="0.25">
      <c r="A29" s="12">
        <f t="shared" si="0"/>
        <v>15</v>
      </c>
      <c r="B29" s="22" t="s">
        <v>14</v>
      </c>
      <c r="C29" s="22"/>
      <c r="D29" s="13"/>
      <c r="E29" s="13"/>
      <c r="F29" s="13"/>
      <c r="G29" s="13"/>
      <c r="H29" s="13"/>
    </row>
    <row r="30" spans="1:11" x14ac:dyDescent="0.25">
      <c r="A30" s="12">
        <f t="shared" si="0"/>
        <v>16</v>
      </c>
      <c r="B30" s="23" t="s">
        <v>263</v>
      </c>
      <c r="C30" s="23"/>
      <c r="D30" s="18">
        <v>0</v>
      </c>
      <c r="E30" s="18">
        <v>0</v>
      </c>
      <c r="F30" s="18">
        <v>0</v>
      </c>
      <c r="G30" s="18">
        <f>'Common Lead'!G30*'Gas Lead '!C34</f>
        <v>2681157.0054726158</v>
      </c>
      <c r="H30" s="18">
        <f>+G30-F30</f>
        <v>2681157.0054726158</v>
      </c>
    </row>
    <row r="31" spans="1:11" x14ac:dyDescent="0.25">
      <c r="A31" s="12">
        <f t="shared" si="0"/>
        <v>17</v>
      </c>
      <c r="B31" s="23" t="s">
        <v>264</v>
      </c>
      <c r="C31" s="23"/>
      <c r="D31" s="14">
        <v>0</v>
      </c>
      <c r="E31" s="14">
        <v>0</v>
      </c>
      <c r="F31" s="14">
        <v>0</v>
      </c>
      <c r="G31" s="14">
        <f>'Common Lead'!G31*'Gas Lead '!C34</f>
        <v>3443207.0781477471</v>
      </c>
      <c r="H31" s="14">
        <f>+G31-F31</f>
        <v>3443207.0781477471</v>
      </c>
    </row>
    <row r="32" spans="1:11" x14ac:dyDescent="0.25">
      <c r="A32" s="12">
        <f t="shared" si="0"/>
        <v>18</v>
      </c>
      <c r="B32" s="23" t="s">
        <v>265</v>
      </c>
      <c r="C32" s="23"/>
      <c r="D32" s="14"/>
      <c r="E32" s="14"/>
      <c r="F32" s="14"/>
      <c r="G32" s="14">
        <f>'Common Lead'!G32*C34</f>
        <v>100694.67691519663</v>
      </c>
      <c r="H32" s="14"/>
    </row>
    <row r="33" spans="1:9" x14ac:dyDescent="0.25">
      <c r="A33" s="12">
        <f t="shared" si="0"/>
        <v>19</v>
      </c>
      <c r="B33" s="23" t="s">
        <v>18</v>
      </c>
      <c r="C33" s="23"/>
      <c r="D33" s="310">
        <f>SUM(D30:D32)</f>
        <v>0</v>
      </c>
      <c r="E33" s="310">
        <f t="shared" ref="E33:H33" si="4">SUM(E30:E32)</f>
        <v>0</v>
      </c>
      <c r="F33" s="310">
        <f t="shared" si="4"/>
        <v>0</v>
      </c>
      <c r="G33" s="310">
        <f t="shared" si="4"/>
        <v>6225058.7605355596</v>
      </c>
      <c r="H33" s="310">
        <f t="shared" si="4"/>
        <v>6124364.0836203629</v>
      </c>
    </row>
    <row r="34" spans="1:9" ht="15.75" x14ac:dyDescent="0.25">
      <c r="A34" s="12">
        <f t="shared" si="0"/>
        <v>20</v>
      </c>
      <c r="B34" s="279" t="s">
        <v>239</v>
      </c>
      <c r="C34" s="280">
        <f>[1]Lead!$F$35</f>
        <v>0.33810000000000001</v>
      </c>
      <c r="D34" s="155"/>
      <c r="E34" s="155"/>
      <c r="F34" s="155"/>
      <c r="G34" s="155"/>
      <c r="H34" s="155"/>
    </row>
    <row r="35" spans="1:9" x14ac:dyDescent="0.25">
      <c r="A35" s="12">
        <f t="shared" si="0"/>
        <v>21</v>
      </c>
      <c r="B35" s="24" t="s">
        <v>15</v>
      </c>
      <c r="C35" s="24"/>
      <c r="D35" s="14"/>
      <c r="E35" s="14"/>
      <c r="F35" s="14"/>
      <c r="G35" s="14">
        <f>G33</f>
        <v>6225058.7605355596</v>
      </c>
      <c r="H35" s="18">
        <f>+G35-F35</f>
        <v>6225058.7605355596</v>
      </c>
    </row>
    <row r="36" spans="1:9" x14ac:dyDescent="0.25">
      <c r="A36" s="12">
        <f t="shared" si="0"/>
        <v>22</v>
      </c>
      <c r="B36" s="24"/>
      <c r="C36" s="24"/>
      <c r="D36" s="14"/>
      <c r="E36" s="14"/>
      <c r="F36" s="14"/>
      <c r="G36" s="14"/>
      <c r="H36" s="14"/>
    </row>
    <row r="37" spans="1:9" x14ac:dyDescent="0.25">
      <c r="A37" s="12">
        <f t="shared" si="0"/>
        <v>23</v>
      </c>
      <c r="B37" s="24" t="s">
        <v>16</v>
      </c>
      <c r="C37" s="157">
        <v>0.21</v>
      </c>
      <c r="D37" s="158"/>
      <c r="E37" s="158"/>
      <c r="F37" s="158"/>
      <c r="G37" s="158">
        <f>-G35*C37</f>
        <v>-1307262.3397124675</v>
      </c>
      <c r="H37" s="158">
        <f>+G37-F37</f>
        <v>-1307262.3397124675</v>
      </c>
    </row>
    <row r="38" spans="1:9" ht="15.75" thickBot="1" x14ac:dyDescent="0.3">
      <c r="A38" s="12">
        <f t="shared" si="0"/>
        <v>24</v>
      </c>
      <c r="B38" s="24" t="s">
        <v>17</v>
      </c>
      <c r="C38" s="24"/>
      <c r="D38" s="159">
        <f t="shared" ref="D38:F38" si="5">-D35-D37</f>
        <v>0</v>
      </c>
      <c r="E38" s="159">
        <f t="shared" si="5"/>
        <v>0</v>
      </c>
      <c r="F38" s="159">
        <f t="shared" si="5"/>
        <v>0</v>
      </c>
      <c r="G38" s="159">
        <f>-G35-G37</f>
        <v>-4917796.4208230916</v>
      </c>
      <c r="H38" s="159">
        <f>-H35-H37</f>
        <v>-4917796.4208230916</v>
      </c>
    </row>
    <row r="39" spans="1:9" ht="15.75" thickTop="1" x14ac:dyDescent="0.25">
      <c r="A39" s="12"/>
      <c r="D39" s="154"/>
      <c r="E39" s="154"/>
      <c r="F39" s="154"/>
      <c r="G39" s="154"/>
      <c r="H39" s="154">
        <f>'Common Lead'!H38-'Elec Lead '!H38-'Gas Lead '!H38</f>
        <v>0</v>
      </c>
      <c r="I39" s="281" t="s">
        <v>240</v>
      </c>
    </row>
    <row r="40" spans="1:9" x14ac:dyDescent="0.25">
      <c r="A40" s="12"/>
      <c r="B40" s="247"/>
      <c r="C40" s="247"/>
      <c r="D40" s="13"/>
      <c r="E40" s="13"/>
      <c r="F40" s="13"/>
      <c r="G40" s="13"/>
      <c r="H40" s="13"/>
    </row>
    <row r="41" spans="1:9" x14ac:dyDescent="0.25">
      <c r="A41" s="12"/>
      <c r="B41" s="247"/>
      <c r="C41" s="247"/>
      <c r="D41" s="13"/>
      <c r="E41" s="13"/>
      <c r="F41" s="13"/>
      <c r="G41" s="13"/>
      <c r="H41" s="13"/>
    </row>
    <row r="42" spans="1:9" x14ac:dyDescent="0.25">
      <c r="A42" s="12"/>
      <c r="B42" s="247"/>
      <c r="C42" s="247"/>
    </row>
  </sheetData>
  <pageMargins left="0.7" right="0.7" top="0.75" bottom="0.75" header="0.3" footer="0.3"/>
  <pageSetup scale="54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40" sqref="D40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9.28515625" customWidth="1"/>
    <col min="4" max="8" width="18.42578125" bestFit="1" customWidth="1"/>
    <col min="9" max="9" width="1.7109375" customWidth="1"/>
  </cols>
  <sheetData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3"/>
      <c r="B4" s="3"/>
      <c r="C4" s="3"/>
      <c r="D4" s="2"/>
      <c r="E4" s="2"/>
      <c r="F4" s="2"/>
      <c r="G4" s="2"/>
    </row>
    <row r="5" spans="1:8" x14ac:dyDescent="0.25">
      <c r="A5" s="4" t="s">
        <v>5</v>
      </c>
      <c r="B5" s="5"/>
      <c r="C5" s="5"/>
      <c r="D5" s="5"/>
      <c r="E5" s="5"/>
      <c r="F5" s="5"/>
      <c r="G5" s="5"/>
      <c r="H5" s="5"/>
    </row>
    <row r="6" spans="1:8" x14ac:dyDescent="0.25">
      <c r="A6" s="5" t="s">
        <v>205</v>
      </c>
      <c r="B6" s="5"/>
      <c r="C6" s="5"/>
      <c r="D6" s="5"/>
      <c r="E6" s="5"/>
      <c r="F6" s="5"/>
      <c r="G6" s="5"/>
      <c r="H6" s="5"/>
    </row>
    <row r="7" spans="1:8" x14ac:dyDescent="0.25">
      <c r="A7" s="5" t="s">
        <v>83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252"/>
      <c r="D9" s="253" t="s">
        <v>143</v>
      </c>
      <c r="E9" s="253"/>
      <c r="F9" s="253" t="s">
        <v>141</v>
      </c>
      <c r="G9" s="253"/>
      <c r="H9" s="253" t="s">
        <v>11</v>
      </c>
    </row>
    <row r="10" spans="1:8" x14ac:dyDescent="0.25">
      <c r="A10" s="7" t="s">
        <v>7</v>
      </c>
      <c r="B10" s="8"/>
      <c r="C10" s="254"/>
      <c r="D10" s="253" t="s">
        <v>10</v>
      </c>
      <c r="E10" s="253" t="s">
        <v>141</v>
      </c>
      <c r="F10" s="253" t="s">
        <v>12</v>
      </c>
      <c r="G10" s="253" t="s">
        <v>11</v>
      </c>
      <c r="H10" s="253" t="s">
        <v>12</v>
      </c>
    </row>
    <row r="11" spans="1:8" x14ac:dyDescent="0.25">
      <c r="A11" s="9" t="s">
        <v>8</v>
      </c>
      <c r="B11" s="10" t="s">
        <v>9</v>
      </c>
      <c r="C11" s="255" t="s">
        <v>144</v>
      </c>
      <c r="D11" s="256" t="s">
        <v>40</v>
      </c>
      <c r="E11" s="256" t="s">
        <v>41</v>
      </c>
      <c r="F11" s="256" t="s">
        <v>145</v>
      </c>
      <c r="G11" s="256" t="s">
        <v>146</v>
      </c>
      <c r="H11" s="256" t="s">
        <v>147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4" spans="1:8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8" x14ac:dyDescent="0.25">
      <c r="A15" s="12">
        <f>A14+1</f>
        <v>2</v>
      </c>
      <c r="B15" s="15" t="s">
        <v>241</v>
      </c>
      <c r="C15" s="15"/>
      <c r="D15" s="16"/>
      <c r="E15" s="16"/>
      <c r="F15" s="16"/>
      <c r="G15" s="16"/>
      <c r="H15" s="16"/>
    </row>
    <row r="16" spans="1:8" x14ac:dyDescent="0.25">
      <c r="A16" s="12">
        <f t="shared" ref="A16:A38" si="0">A15+1</f>
        <v>3</v>
      </c>
      <c r="B16" s="17" t="s">
        <v>256</v>
      </c>
      <c r="C16" s="17"/>
      <c r="D16" s="18">
        <v>0</v>
      </c>
      <c r="E16" s="18">
        <v>0</v>
      </c>
      <c r="F16" s="18">
        <v>0</v>
      </c>
      <c r="G16" s="18">
        <f>+' GTZ Additions'!C69</f>
        <v>32459112.790000003</v>
      </c>
      <c r="H16" s="18">
        <f t="shared" ref="H16:H24" si="1">+G16-F16</f>
        <v>32459112.790000003</v>
      </c>
    </row>
    <row r="17" spans="1:8" x14ac:dyDescent="0.25">
      <c r="A17" s="12">
        <f t="shared" si="0"/>
        <v>4</v>
      </c>
      <c r="B17" s="19" t="s">
        <v>257</v>
      </c>
      <c r="C17" s="19"/>
      <c r="D17" s="14">
        <v>0</v>
      </c>
      <c r="E17" s="14">
        <v>0</v>
      </c>
      <c r="F17" s="14">
        <v>0</v>
      </c>
      <c r="G17" s="14">
        <f>+' GTZ Additions'!G69</f>
        <v>-13368458.820388904</v>
      </c>
      <c r="H17" s="14">
        <f t="shared" si="1"/>
        <v>-13368458.820388904</v>
      </c>
    </row>
    <row r="18" spans="1:8" x14ac:dyDescent="0.25">
      <c r="A18" s="12">
        <f t="shared" si="0"/>
        <v>5</v>
      </c>
      <c r="B18" s="19" t="s">
        <v>258</v>
      </c>
      <c r="C18" s="19"/>
      <c r="D18" s="14">
        <v>0</v>
      </c>
      <c r="E18" s="14">
        <v>0</v>
      </c>
      <c r="F18" s="14">
        <v>0</v>
      </c>
      <c r="G18" s="14">
        <f>'DFIT '!I31</f>
        <v>-108090.21629946148</v>
      </c>
      <c r="H18" s="14">
        <f t="shared" si="1"/>
        <v>-108090.21629946148</v>
      </c>
    </row>
    <row r="19" spans="1:8" x14ac:dyDescent="0.25">
      <c r="A19" s="12">
        <f t="shared" si="0"/>
        <v>6</v>
      </c>
      <c r="B19" s="20" t="s">
        <v>243</v>
      </c>
      <c r="C19" s="19"/>
      <c r="D19" s="257">
        <f>SUM(D16:D18)</f>
        <v>0</v>
      </c>
      <c r="E19" s="257">
        <f>SUM(E16:E18)</f>
        <v>0</v>
      </c>
      <c r="F19" s="257">
        <f>SUM(F16:F18)</f>
        <v>0</v>
      </c>
      <c r="G19" s="257">
        <f>SUM(G16:G18)</f>
        <v>18982563.753311638</v>
      </c>
      <c r="H19" s="257">
        <f>SUM(H16:H18)</f>
        <v>18982563.753311638</v>
      </c>
    </row>
    <row r="20" spans="1:8" x14ac:dyDescent="0.25">
      <c r="A20" s="12"/>
      <c r="B20" s="20"/>
      <c r="C20" s="19"/>
      <c r="D20" s="257"/>
      <c r="E20" s="257"/>
      <c r="F20" s="257"/>
      <c r="G20" s="257"/>
      <c r="H20" s="257"/>
    </row>
    <row r="21" spans="1:8" x14ac:dyDescent="0.25">
      <c r="A21" s="12">
        <f>A19+1</f>
        <v>7</v>
      </c>
      <c r="B21" s="15" t="s">
        <v>242</v>
      </c>
      <c r="C21" s="19"/>
      <c r="D21" s="14"/>
      <c r="E21" s="14"/>
      <c r="F21" s="14"/>
      <c r="G21" s="14"/>
      <c r="H21" s="14"/>
    </row>
    <row r="22" spans="1:8" x14ac:dyDescent="0.25">
      <c r="A22" s="12">
        <f t="shared" si="0"/>
        <v>8</v>
      </c>
      <c r="B22" s="19" t="s">
        <v>259</v>
      </c>
      <c r="C22" s="19"/>
      <c r="D22" s="18">
        <v>0</v>
      </c>
      <c r="E22" s="18">
        <v>0</v>
      </c>
      <c r="F22" s="18">
        <v>0</v>
      </c>
      <c r="G22" s="18">
        <f>'GTZ Com Amort of Def Depr'!E37</f>
        <v>30551970.524824739</v>
      </c>
      <c r="H22" s="18">
        <f>+G22-F22</f>
        <v>30551970.524824739</v>
      </c>
    </row>
    <row r="23" spans="1:8" x14ac:dyDescent="0.25">
      <c r="A23" s="12">
        <f t="shared" si="0"/>
        <v>9</v>
      </c>
      <c r="B23" s="19" t="s">
        <v>260</v>
      </c>
      <c r="C23" s="19"/>
      <c r="D23" s="14">
        <v>0</v>
      </c>
      <c r="E23" s="14">
        <v>0</v>
      </c>
      <c r="F23" s="14">
        <v>0</v>
      </c>
      <c r="G23" s="14">
        <f>'GTZ Com Amort of Def Depr'!H37</f>
        <v>-5091995.0874707894</v>
      </c>
      <c r="H23" s="14">
        <f t="shared" si="1"/>
        <v>-5091995.0874707894</v>
      </c>
    </row>
    <row r="24" spans="1:8" x14ac:dyDescent="0.25">
      <c r="A24" s="12">
        <f t="shared" si="0"/>
        <v>10</v>
      </c>
      <c r="B24" s="19" t="s">
        <v>261</v>
      </c>
      <c r="C24" s="19"/>
      <c r="D24" s="14">
        <v>0</v>
      </c>
      <c r="E24" s="14">
        <v>0</v>
      </c>
      <c r="F24" s="14">
        <v>0</v>
      </c>
      <c r="G24" s="14">
        <f>'GTZ Com Amort of Def Depr'!L37</f>
        <v>-5346594.8418443333</v>
      </c>
      <c r="H24" s="14">
        <f t="shared" si="1"/>
        <v>-5346594.8418443333</v>
      </c>
    </row>
    <row r="25" spans="1:8" x14ac:dyDescent="0.25">
      <c r="A25" s="12">
        <f t="shared" si="0"/>
        <v>11</v>
      </c>
      <c r="B25" s="23" t="s">
        <v>262</v>
      </c>
      <c r="C25" s="19"/>
      <c r="D25" s="257">
        <f>SUM(D22:D24)</f>
        <v>0</v>
      </c>
      <c r="E25" s="257">
        <f t="shared" ref="E25" si="2">SUM(E22:E24)</f>
        <v>0</v>
      </c>
      <c r="F25" s="257">
        <f>SUM(F22:F24)</f>
        <v>0</v>
      </c>
      <c r="G25" s="257">
        <f t="shared" ref="G25" si="3">SUM(G22:G24)</f>
        <v>20113380.595509619</v>
      </c>
      <c r="H25" s="257">
        <f t="shared" ref="H25" si="4">SUM(H22:H24)</f>
        <v>20113380.595509619</v>
      </c>
    </row>
    <row r="26" spans="1:8" x14ac:dyDescent="0.25">
      <c r="A26" s="12">
        <f t="shared" si="0"/>
        <v>12</v>
      </c>
      <c r="B26" s="20"/>
      <c r="C26" s="19"/>
      <c r="D26" s="257"/>
      <c r="E26" s="257"/>
      <c r="F26" s="257"/>
      <c r="G26" s="257"/>
      <c r="H26" s="257"/>
    </row>
    <row r="27" spans="1:8" ht="15.75" thickBot="1" x14ac:dyDescent="0.3">
      <c r="A27" s="12">
        <f t="shared" si="0"/>
        <v>13</v>
      </c>
      <c r="B27" s="20" t="s">
        <v>148</v>
      </c>
      <c r="C27" s="20"/>
      <c r="D27" s="258">
        <f>D19+D25</f>
        <v>0</v>
      </c>
      <c r="E27" s="258">
        <f t="shared" ref="E27:H27" si="5">E19+E25</f>
        <v>0</v>
      </c>
      <c r="F27" s="258">
        <f t="shared" si="5"/>
        <v>0</v>
      </c>
      <c r="G27" s="258">
        <f t="shared" si="5"/>
        <v>39095944.348821253</v>
      </c>
      <c r="H27" s="258">
        <f t="shared" si="5"/>
        <v>39095944.348821253</v>
      </c>
    </row>
    <row r="28" spans="1:8" ht="16.5" thickTop="1" x14ac:dyDescent="0.25">
      <c r="A28" s="12">
        <f t="shared" si="0"/>
        <v>14</v>
      </c>
      <c r="B28" s="151"/>
      <c r="C28" s="151"/>
      <c r="D28" s="152"/>
      <c r="E28" s="152"/>
      <c r="F28" s="152"/>
      <c r="G28" s="152"/>
      <c r="H28" s="152"/>
    </row>
    <row r="29" spans="1:8" x14ac:dyDescent="0.25">
      <c r="A29" s="12">
        <f t="shared" si="0"/>
        <v>15</v>
      </c>
      <c r="B29" s="22" t="s">
        <v>14</v>
      </c>
      <c r="C29" s="22"/>
      <c r="D29" s="13"/>
      <c r="E29" s="13"/>
      <c r="F29" s="13"/>
      <c r="G29" s="13"/>
      <c r="H29" s="13"/>
    </row>
    <row r="30" spans="1:8" x14ac:dyDescent="0.25">
      <c r="A30" s="12">
        <f t="shared" si="0"/>
        <v>16</v>
      </c>
      <c r="B30" s="23" t="s">
        <v>263</v>
      </c>
      <c r="C30" s="23"/>
      <c r="D30" s="18">
        <v>0</v>
      </c>
      <c r="E30" s="18">
        <v>0</v>
      </c>
      <c r="F30" s="18">
        <v>0</v>
      </c>
      <c r="G30" s="18">
        <f>+' GTZ Additions'!E68</f>
        <v>7930071.0011020871</v>
      </c>
      <c r="H30" s="18">
        <f>+G30-F30</f>
        <v>7930071.0011020871</v>
      </c>
    </row>
    <row r="31" spans="1:8" x14ac:dyDescent="0.25">
      <c r="A31" s="12">
        <f t="shared" si="0"/>
        <v>17</v>
      </c>
      <c r="B31" s="23" t="s">
        <v>264</v>
      </c>
      <c r="C31" s="23"/>
      <c r="D31" s="14">
        <v>0</v>
      </c>
      <c r="E31" s="14">
        <v>0</v>
      </c>
      <c r="F31" s="14">
        <v>0</v>
      </c>
      <c r="G31" s="14">
        <f>SUM('GTZ Com Amort of Def Depr'!F26:F37)</f>
        <v>10183990.174941577</v>
      </c>
      <c r="H31" s="14">
        <f>+G31-F31</f>
        <v>10183990.174941577</v>
      </c>
    </row>
    <row r="32" spans="1:8" x14ac:dyDescent="0.25">
      <c r="A32" s="12">
        <f t="shared" si="0"/>
        <v>18</v>
      </c>
      <c r="B32" s="23" t="s">
        <v>265</v>
      </c>
      <c r="C32" s="23"/>
      <c r="D32" s="14"/>
      <c r="E32" s="14"/>
      <c r="F32" s="14"/>
      <c r="G32" s="14">
        <f>SUM('GTZ Com Amort of CarryChrg'!F26:F37)</f>
        <v>297825.13136704121</v>
      </c>
      <c r="H32" s="14">
        <f>+G32-F32</f>
        <v>297825.13136704121</v>
      </c>
    </row>
    <row r="33" spans="1:8" ht="15.75" thickBot="1" x14ac:dyDescent="0.3">
      <c r="A33" s="12">
        <f t="shared" si="0"/>
        <v>19</v>
      </c>
      <c r="B33" s="23" t="s">
        <v>18</v>
      </c>
      <c r="C33" s="23"/>
      <c r="D33" s="21">
        <f>SUM(D30:D32)</f>
        <v>0</v>
      </c>
      <c r="E33" s="21">
        <f t="shared" ref="E33:H33" si="6">SUM(E30:E32)</f>
        <v>0</v>
      </c>
      <c r="F33" s="21">
        <f t="shared" si="6"/>
        <v>0</v>
      </c>
      <c r="G33" s="21">
        <f t="shared" si="6"/>
        <v>18411886.307410706</v>
      </c>
      <c r="H33" s="21">
        <f t="shared" si="6"/>
        <v>18411886.307410706</v>
      </c>
    </row>
    <row r="34" spans="1:8" ht="16.5" thickTop="1" x14ac:dyDescent="0.25">
      <c r="A34" s="12">
        <f t="shared" si="0"/>
        <v>20</v>
      </c>
      <c r="B34" s="279" t="s">
        <v>239</v>
      </c>
      <c r="C34" s="153"/>
      <c r="D34" s="155"/>
      <c r="E34" s="155"/>
      <c r="F34" s="155"/>
      <c r="G34" s="155"/>
      <c r="H34" s="155"/>
    </row>
    <row r="35" spans="1:8" x14ac:dyDescent="0.25">
      <c r="A35" s="12">
        <f t="shared" si="0"/>
        <v>21</v>
      </c>
      <c r="B35" s="24" t="s">
        <v>15</v>
      </c>
      <c r="C35" s="24"/>
      <c r="D35" s="14"/>
      <c r="E35" s="14"/>
      <c r="F35" s="14"/>
      <c r="G35" s="14">
        <f>G33</f>
        <v>18411886.307410706</v>
      </c>
      <c r="H35" s="18">
        <f>+G35-F35</f>
        <v>18411886.307410706</v>
      </c>
    </row>
    <row r="36" spans="1:8" x14ac:dyDescent="0.25">
      <c r="A36" s="12">
        <f t="shared" si="0"/>
        <v>22</v>
      </c>
      <c r="B36" s="24"/>
      <c r="C36" s="24"/>
      <c r="D36" s="14"/>
      <c r="E36" s="14"/>
      <c r="F36" s="14"/>
      <c r="G36" s="14"/>
      <c r="H36" s="14"/>
    </row>
    <row r="37" spans="1:8" x14ac:dyDescent="0.25">
      <c r="A37" s="12">
        <f t="shared" si="0"/>
        <v>23</v>
      </c>
      <c r="B37" s="24" t="s">
        <v>16</v>
      </c>
      <c r="C37" s="157">
        <v>0.21</v>
      </c>
      <c r="D37" s="158"/>
      <c r="E37" s="158"/>
      <c r="F37" s="158"/>
      <c r="G37" s="158">
        <f>-G35*C37</f>
        <v>-3866496.1245562481</v>
      </c>
      <c r="H37" s="158">
        <f>+G37-F37</f>
        <v>-3866496.1245562481</v>
      </c>
    </row>
    <row r="38" spans="1:8" ht="15.75" thickBot="1" x14ac:dyDescent="0.3">
      <c r="A38" s="12">
        <f t="shared" si="0"/>
        <v>24</v>
      </c>
      <c r="B38" s="24" t="s">
        <v>17</v>
      </c>
      <c r="C38" s="24"/>
      <c r="D38" s="159">
        <f t="shared" ref="D38:F38" si="7">-D35-D37</f>
        <v>0</v>
      </c>
      <c r="E38" s="159">
        <f t="shared" si="7"/>
        <v>0</v>
      </c>
      <c r="F38" s="159">
        <f t="shared" si="7"/>
        <v>0</v>
      </c>
      <c r="G38" s="159">
        <f>-G35-G37</f>
        <v>-14545390.182854459</v>
      </c>
      <c r="H38" s="159">
        <f>-H35-H37</f>
        <v>-14545390.182854459</v>
      </c>
    </row>
    <row r="39" spans="1:8" ht="15.75" thickTop="1" x14ac:dyDescent="0.25">
      <c r="A39" s="12"/>
      <c r="D39" s="154"/>
      <c r="E39" s="154"/>
      <c r="F39" s="154"/>
      <c r="G39" s="154"/>
      <c r="H39" s="154"/>
    </row>
    <row r="40" spans="1:8" x14ac:dyDescent="0.25">
      <c r="A40" s="12"/>
      <c r="B40" s="247"/>
      <c r="C40" s="247"/>
      <c r="D40" s="13"/>
      <c r="E40" s="13"/>
      <c r="F40" s="13"/>
      <c r="G40" s="13"/>
      <c r="H40" s="13"/>
    </row>
    <row r="41" spans="1:8" x14ac:dyDescent="0.25">
      <c r="A41" s="12"/>
      <c r="B41" s="247"/>
      <c r="C41" s="247"/>
      <c r="D41" s="13"/>
      <c r="E41" s="13"/>
      <c r="F41" s="13"/>
      <c r="G41" s="13"/>
      <c r="H41" s="13"/>
    </row>
    <row r="42" spans="1:8" x14ac:dyDescent="0.25">
      <c r="A42" s="12"/>
      <c r="B42" s="247"/>
      <c r="C42" s="247"/>
    </row>
  </sheetData>
  <pageMargins left="0.7" right="0.7" top="0.75" bottom="0.75" header="0.3" footer="0.3"/>
  <pageSetup scale="5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47" sqref="F47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Normal="100" workbookViewId="0">
      <pane xSplit="1" ySplit="12" topLeftCell="B58" activePane="bottomRight" state="frozen"/>
      <selection sqref="A1:A3"/>
      <selection pane="topRight" sqref="A1:A3"/>
      <selection pane="bottomLeft" sqref="A1:A3"/>
      <selection pane="bottomRight" activeCell="C70" sqref="C70"/>
    </sheetView>
  </sheetViews>
  <sheetFormatPr defaultColWidth="8.85546875" defaultRowHeight="12.75" outlineLevelRow="1" x14ac:dyDescent="0.2"/>
  <cols>
    <col min="1" max="1" width="31" style="52" customWidth="1"/>
    <col min="2" max="2" width="14.7109375" style="52" customWidth="1"/>
    <col min="3" max="3" width="17.5703125" style="52" customWidth="1"/>
    <col min="4" max="4" width="13.28515625" style="52" customWidth="1"/>
    <col min="5" max="5" width="14.42578125" style="52" customWidth="1"/>
    <col min="6" max="6" width="14.5703125" style="52" customWidth="1"/>
    <col min="7" max="7" width="15.85546875" style="52" customWidth="1"/>
    <col min="8" max="8" width="14.7109375" style="52" customWidth="1"/>
    <col min="9" max="9" width="15.85546875" style="52" customWidth="1"/>
    <col min="10" max="10" width="13.42578125" style="52" customWidth="1"/>
    <col min="11" max="11" width="13.28515625" style="52" customWidth="1"/>
    <col min="12" max="12" width="15" style="52" customWidth="1"/>
    <col min="13" max="13" width="7.28515625" style="52" bestFit="1" customWidth="1"/>
    <col min="14" max="14" width="12.85546875" style="52" bestFit="1" customWidth="1"/>
    <col min="15" max="15" width="8.85546875" style="52"/>
    <col min="16" max="16" width="9.28515625" style="52" bestFit="1" customWidth="1"/>
    <col min="17" max="16384" width="8.85546875" style="52"/>
  </cols>
  <sheetData>
    <row r="1" spans="1:16" s="30" customFormat="1" x14ac:dyDescent="0.2">
      <c r="A1" s="173" t="str">
        <f>+'Common Lead'!A6</f>
        <v>GET TO ZERO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7"/>
      <c r="M1" s="28"/>
      <c r="N1" s="27"/>
      <c r="O1" s="29"/>
      <c r="P1" s="29"/>
    </row>
    <row r="2" spans="1:16" s="30" customFormat="1" x14ac:dyDescent="0.2">
      <c r="A2" s="173" t="s">
        <v>266</v>
      </c>
      <c r="B2" s="29"/>
      <c r="C2" s="31"/>
      <c r="D2" s="32"/>
      <c r="E2" s="29"/>
      <c r="F2" s="25"/>
      <c r="G2" s="33"/>
      <c r="H2" s="34"/>
      <c r="I2" s="25"/>
      <c r="J2" s="25"/>
      <c r="K2" s="25"/>
      <c r="L2" s="35"/>
      <c r="M2" s="28"/>
      <c r="N2" s="27"/>
      <c r="O2" s="29"/>
      <c r="P2" s="29"/>
    </row>
    <row r="3" spans="1:16" s="30" customFormat="1" x14ac:dyDescent="0.2">
      <c r="A3" s="327"/>
      <c r="B3" s="29"/>
      <c r="C3" s="36"/>
      <c r="D3" s="37"/>
      <c r="E3" s="37"/>
      <c r="F3" s="25"/>
      <c r="G3" s="38"/>
      <c r="H3" s="29"/>
      <c r="I3" s="29"/>
      <c r="J3" s="39"/>
      <c r="K3" s="39"/>
      <c r="L3" s="35"/>
      <c r="M3" s="28"/>
      <c r="N3" s="33"/>
      <c r="O3" s="29"/>
      <c r="P3" s="29"/>
    </row>
    <row r="4" spans="1:16" s="30" customFormat="1" ht="6.6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30" customFormat="1" x14ac:dyDescent="0.2">
      <c r="A5" s="42" t="s">
        <v>194</v>
      </c>
      <c r="B5" s="43">
        <v>2019</v>
      </c>
      <c r="C5" s="43">
        <f>+B5+1</f>
        <v>2020</v>
      </c>
      <c r="D5" s="43">
        <f t="shared" ref="D5:E5" si="0">+C5+1</f>
        <v>2021</v>
      </c>
      <c r="E5" s="43">
        <f t="shared" si="0"/>
        <v>2022</v>
      </c>
      <c r="F5" s="43" t="s">
        <v>2</v>
      </c>
      <c r="G5" s="38"/>
      <c r="H5" s="38"/>
      <c r="I5" s="38"/>
      <c r="J5" s="38"/>
      <c r="K5" s="38"/>
      <c r="L5" s="38"/>
    </row>
    <row r="6" spans="1:16" s="30" customFormat="1" x14ac:dyDescent="0.2">
      <c r="A6" s="44" t="s">
        <v>104</v>
      </c>
      <c r="B6" s="275">
        <f>MACRS!AJ7</f>
        <v>0.16666666666666666</v>
      </c>
      <c r="C6" s="275">
        <f>MACRS!AJ8</f>
        <v>0.33333333333333331</v>
      </c>
      <c r="D6" s="275">
        <f>MACRS!AJ9</f>
        <v>0.33333333333333331</v>
      </c>
      <c r="E6" s="275">
        <f>MACRS!AJ10</f>
        <v>0.16666666666666666</v>
      </c>
      <c r="F6" s="45">
        <f>B6+C6+D6+E6</f>
        <v>0.99999999999999989</v>
      </c>
      <c r="G6" s="38"/>
      <c r="H6" s="38"/>
      <c r="I6" s="38"/>
      <c r="J6" s="38"/>
      <c r="K6" s="38"/>
      <c r="L6" s="38"/>
    </row>
    <row r="7" spans="1:16" s="30" customFormat="1" ht="7.15" customHeight="1" thickBot="1" x14ac:dyDescent="0.25">
      <c r="A7" s="46"/>
      <c r="B7" s="41"/>
      <c r="C7" s="41"/>
      <c r="D7" s="41"/>
      <c r="E7" s="41"/>
      <c r="F7" s="41"/>
      <c r="G7" s="41"/>
      <c r="H7" s="47"/>
      <c r="I7" s="47"/>
      <c r="J7" s="47"/>
      <c r="K7" s="26"/>
      <c r="L7" s="26"/>
      <c r="M7" s="26"/>
      <c r="N7" s="26"/>
    </row>
    <row r="8" spans="1:16" x14ac:dyDescent="0.2">
      <c r="A8" s="48"/>
      <c r="B8" s="49" t="s">
        <v>20</v>
      </c>
      <c r="C8" s="50"/>
      <c r="D8" s="49" t="s">
        <v>21</v>
      </c>
      <c r="E8" s="50"/>
      <c r="F8" s="49" t="s">
        <v>22</v>
      </c>
      <c r="G8" s="50"/>
      <c r="H8" s="49" t="s">
        <v>0</v>
      </c>
      <c r="I8" s="50"/>
      <c r="J8" s="51"/>
      <c r="K8" s="51"/>
      <c r="L8" s="51" t="s">
        <v>25</v>
      </c>
    </row>
    <row r="9" spans="1:16" x14ac:dyDescent="0.2">
      <c r="A9" s="53"/>
      <c r="B9" s="54"/>
      <c r="C9" s="55"/>
      <c r="D9" s="54"/>
      <c r="E9" s="55"/>
      <c r="F9" s="56"/>
      <c r="G9" s="55"/>
      <c r="H9" s="57"/>
      <c r="I9" s="58"/>
      <c r="J9" s="59" t="s">
        <v>23</v>
      </c>
      <c r="K9" s="156" t="s">
        <v>24</v>
      </c>
      <c r="L9" s="59" t="s">
        <v>26</v>
      </c>
    </row>
    <row r="10" spans="1:16" x14ac:dyDescent="0.2">
      <c r="A10" s="60"/>
      <c r="B10" s="61" t="s">
        <v>27</v>
      </c>
      <c r="C10" s="62" t="s">
        <v>28</v>
      </c>
      <c r="D10" s="61" t="s">
        <v>29</v>
      </c>
      <c r="E10" s="62" t="s">
        <v>30</v>
      </c>
      <c r="F10" s="57" t="s">
        <v>27</v>
      </c>
      <c r="G10" s="58" t="s">
        <v>28</v>
      </c>
      <c r="H10" s="57" t="s">
        <v>27</v>
      </c>
      <c r="I10" s="58" t="s">
        <v>31</v>
      </c>
      <c r="J10" s="63" t="s">
        <v>32</v>
      </c>
      <c r="K10" s="64">
        <v>0.21</v>
      </c>
      <c r="L10" s="59" t="s">
        <v>33</v>
      </c>
    </row>
    <row r="11" spans="1:16" x14ac:dyDescent="0.2">
      <c r="A11" s="60"/>
      <c r="B11" s="61"/>
      <c r="C11" s="62"/>
      <c r="D11" s="61" t="s">
        <v>34</v>
      </c>
      <c r="E11" s="58" t="s">
        <v>35</v>
      </c>
      <c r="F11" s="57" t="s">
        <v>36</v>
      </c>
      <c r="G11" s="58" t="s">
        <v>37</v>
      </c>
      <c r="H11" s="57"/>
      <c r="I11" s="58"/>
      <c r="J11" s="63"/>
      <c r="K11" s="64" t="s">
        <v>38</v>
      </c>
      <c r="L11" s="59" t="s">
        <v>39</v>
      </c>
    </row>
    <row r="12" spans="1:16" x14ac:dyDescent="0.2">
      <c r="A12" s="65" t="s">
        <v>19</v>
      </c>
      <c r="B12" s="66" t="s">
        <v>40</v>
      </c>
      <c r="C12" s="67" t="s">
        <v>41</v>
      </c>
      <c r="D12" s="66"/>
      <c r="E12" s="67" t="s">
        <v>42</v>
      </c>
      <c r="F12" s="68" t="s">
        <v>43</v>
      </c>
      <c r="G12" s="69" t="s">
        <v>44</v>
      </c>
      <c r="H12" s="68" t="s">
        <v>45</v>
      </c>
      <c r="I12" s="69" t="s">
        <v>46</v>
      </c>
      <c r="J12" s="70" t="s">
        <v>47</v>
      </c>
      <c r="K12" s="71">
        <v>0.21</v>
      </c>
      <c r="L12" s="72" t="s">
        <v>48</v>
      </c>
    </row>
    <row r="13" spans="1:16" outlineLevel="1" x14ac:dyDescent="0.2">
      <c r="A13" s="320">
        <v>43465</v>
      </c>
      <c r="B13" s="321">
        <v>0</v>
      </c>
      <c r="C13" s="321">
        <v>0</v>
      </c>
      <c r="D13" s="321">
        <v>0</v>
      </c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0</v>
      </c>
      <c r="L13" s="322">
        <v>0</v>
      </c>
    </row>
    <row r="14" spans="1:16" ht="15" x14ac:dyDescent="0.25">
      <c r="A14" s="323">
        <v>43496</v>
      </c>
      <c r="B14" s="324">
        <f>C14</f>
        <v>0</v>
      </c>
      <c r="C14" s="324">
        <f>'GTZ Forecast'!K12</f>
        <v>0</v>
      </c>
      <c r="D14" s="74">
        <f>+C14*$B$6/12</f>
        <v>0</v>
      </c>
      <c r="E14" s="170">
        <f>'GTZ Forecast'!Q12</f>
        <v>0</v>
      </c>
      <c r="F14" s="74">
        <f>-D14+F13</f>
        <v>0</v>
      </c>
      <c r="G14" s="170">
        <f>+G13-E14</f>
        <v>0</v>
      </c>
      <c r="H14" s="74">
        <f>B14+F14</f>
        <v>0</v>
      </c>
      <c r="I14" s="74">
        <f t="shared" ref="I14:I18" si="1">C14+G14</f>
        <v>0</v>
      </c>
      <c r="J14" s="74">
        <f t="shared" ref="J14:J18" si="2">I14-H14</f>
        <v>0</v>
      </c>
      <c r="K14" s="74">
        <f t="shared" ref="K14:K17" si="3">-J14*$K$10</f>
        <v>0</v>
      </c>
      <c r="L14" s="75">
        <f t="shared" ref="L14:L66" si="4">-K14+K13</f>
        <v>0</v>
      </c>
      <c r="N14" s="89"/>
      <c r="O14"/>
    </row>
    <row r="15" spans="1:16" x14ac:dyDescent="0.2">
      <c r="A15" s="323">
        <v>43524</v>
      </c>
      <c r="B15" s="324">
        <f t="shared" ref="B15:B16" si="5">C15</f>
        <v>15912578.23</v>
      </c>
      <c r="C15" s="325">
        <f>'GTZ PowerPlant'!E13</f>
        <v>15912578.23</v>
      </c>
      <c r="D15" s="325">
        <f>+C19*$B$6/11</f>
        <v>491804.7392424242</v>
      </c>
      <c r="E15" s="170">
        <f>'GTZ Forecast'!R12</f>
        <v>244415.48521875055</v>
      </c>
      <c r="F15" s="74">
        <f>-D15+F14</f>
        <v>-491804.7392424242</v>
      </c>
      <c r="G15" s="170">
        <f t="shared" ref="G15:G66" si="6">+G14-E15</f>
        <v>-244415.48521875055</v>
      </c>
      <c r="H15" s="74">
        <f t="shared" ref="H15:H17" si="7">B15+F15</f>
        <v>15420773.490757577</v>
      </c>
      <c r="I15" s="74">
        <f t="shared" si="1"/>
        <v>15668162.74478125</v>
      </c>
      <c r="J15" s="74">
        <f t="shared" si="2"/>
        <v>247389.25402367301</v>
      </c>
      <c r="K15" s="74">
        <f t="shared" si="3"/>
        <v>-51951.743344971328</v>
      </c>
      <c r="L15" s="75">
        <f t="shared" si="4"/>
        <v>51951.743344971328</v>
      </c>
    </row>
    <row r="16" spans="1:16" x14ac:dyDescent="0.2">
      <c r="A16" s="323">
        <v>43555</v>
      </c>
      <c r="B16" s="324">
        <f t="shared" si="5"/>
        <v>30770112.789999999</v>
      </c>
      <c r="C16" s="324">
        <f>'GTZ Forecast'!M12</f>
        <v>30770112.789999999</v>
      </c>
      <c r="D16" s="324">
        <f>+C19*$B$6/11</f>
        <v>491804.7392424242</v>
      </c>
      <c r="E16" s="170">
        <f>'GTZ Forecast'!S12</f>
        <v>629925.36120295175</v>
      </c>
      <c r="F16" s="74">
        <f t="shared" ref="F16:F66" si="8">-D16+F15</f>
        <v>-983609.4784848484</v>
      </c>
      <c r="G16" s="170">
        <f t="shared" si="6"/>
        <v>-874340.8464217023</v>
      </c>
      <c r="H16" s="74">
        <f t="shared" si="7"/>
        <v>29786503.311515152</v>
      </c>
      <c r="I16" s="74">
        <f t="shared" si="1"/>
        <v>29895771.943578295</v>
      </c>
      <c r="J16" s="74">
        <f t="shared" si="2"/>
        <v>109268.63206314296</v>
      </c>
      <c r="K16" s="74">
        <f t="shared" si="3"/>
        <v>-22946.412733260018</v>
      </c>
      <c r="L16" s="75">
        <f t="shared" si="4"/>
        <v>-29005.33061171131</v>
      </c>
    </row>
    <row r="17" spans="1:15" s="40" customFormat="1" x14ac:dyDescent="0.2">
      <c r="A17" s="323">
        <v>43585</v>
      </c>
      <c r="B17" s="324">
        <f>C17</f>
        <v>30770112.789999999</v>
      </c>
      <c r="C17" s="74">
        <f>'GTZ Forecast'!N12</f>
        <v>30770112.789999999</v>
      </c>
      <c r="D17" s="74">
        <f>+C19*$B$6/11</f>
        <v>491804.7392424242</v>
      </c>
      <c r="E17" s="170">
        <f>'GTZ Forecast'!T12</f>
        <v>629925.36120295175</v>
      </c>
      <c r="F17" s="74">
        <f t="shared" si="8"/>
        <v>-1475414.2177272725</v>
      </c>
      <c r="G17" s="170">
        <f t="shared" si="6"/>
        <v>-1504266.2076246541</v>
      </c>
      <c r="H17" s="74">
        <f t="shared" si="7"/>
        <v>29294698.572272725</v>
      </c>
      <c r="I17" s="74">
        <f t="shared" si="1"/>
        <v>29265846.582375344</v>
      </c>
      <c r="J17" s="74">
        <f t="shared" si="2"/>
        <v>-28851.989897381514</v>
      </c>
      <c r="K17" s="74">
        <f t="shared" si="3"/>
        <v>6058.9178784501182</v>
      </c>
      <c r="L17" s="75">
        <f t="shared" si="4"/>
        <v>-29005.330611710138</v>
      </c>
      <c r="N17" s="52"/>
      <c r="O17" s="52"/>
    </row>
    <row r="18" spans="1:15" s="40" customFormat="1" x14ac:dyDescent="0.2">
      <c r="A18" s="323">
        <v>43616</v>
      </c>
      <c r="B18" s="324">
        <f>C18</f>
        <v>30770112.789999999</v>
      </c>
      <c r="C18" s="74">
        <f>'GTZ Forecast'!O12</f>
        <v>30770112.789999999</v>
      </c>
      <c r="D18" s="74">
        <f>+C19*$B$6/11</f>
        <v>491804.7392424242</v>
      </c>
      <c r="E18" s="170">
        <f>'GTZ Forecast'!U12</f>
        <v>629925.36120295175</v>
      </c>
      <c r="F18" s="74">
        <f t="shared" si="8"/>
        <v>-1967218.9569696968</v>
      </c>
      <c r="G18" s="170">
        <f t="shared" si="6"/>
        <v>-2134191.5688276058</v>
      </c>
      <c r="H18" s="74">
        <f>B18+F18</f>
        <v>28802893.833030302</v>
      </c>
      <c r="I18" s="74">
        <f t="shared" si="1"/>
        <v>28635921.221172392</v>
      </c>
      <c r="J18" s="74">
        <f t="shared" si="2"/>
        <v>-166972.61185790971</v>
      </c>
      <c r="K18" s="74">
        <f t="shared" ref="K18:K66" si="9">-J18*$K$10</f>
        <v>35064.248490161037</v>
      </c>
      <c r="L18" s="75">
        <f t="shared" si="4"/>
        <v>-29005.330611710917</v>
      </c>
      <c r="M18" s="76"/>
      <c r="N18" s="52"/>
      <c r="O18" s="52"/>
    </row>
    <row r="19" spans="1:15" s="40" customFormat="1" x14ac:dyDescent="0.2">
      <c r="A19" s="323">
        <v>43646</v>
      </c>
      <c r="B19" s="324">
        <f>C19</f>
        <v>32459112.789999999</v>
      </c>
      <c r="C19" s="74">
        <f>'GTZ Forecast'!P12</f>
        <v>32459112.789999999</v>
      </c>
      <c r="D19" s="74">
        <f t="shared" ref="D19:D25" si="10">+C19*$B$6/11</f>
        <v>491804.7392424242</v>
      </c>
      <c r="E19" s="170">
        <f>'GTZ Forecast'!V12</f>
        <v>660839.25009184063</v>
      </c>
      <c r="F19" s="74">
        <f t="shared" si="8"/>
        <v>-2459023.6962121208</v>
      </c>
      <c r="G19" s="170">
        <f t="shared" si="6"/>
        <v>-2795030.8189194463</v>
      </c>
      <c r="H19" s="74">
        <f t="shared" ref="H19:I58" si="11">B19+F19</f>
        <v>30000089.093787879</v>
      </c>
      <c r="I19" s="74">
        <f t="shared" si="11"/>
        <v>29664081.971080553</v>
      </c>
      <c r="J19" s="74">
        <f t="shared" ref="J19:J55" si="12">I19-H19</f>
        <v>-336007.12270732597</v>
      </c>
      <c r="K19" s="74">
        <f t="shared" si="9"/>
        <v>70561.495768538443</v>
      </c>
      <c r="L19" s="75">
        <f t="shared" si="4"/>
        <v>-35497.247278377406</v>
      </c>
      <c r="M19" s="77"/>
      <c r="N19" s="52"/>
      <c r="O19" s="52"/>
    </row>
    <row r="20" spans="1:15" s="40" customFormat="1" x14ac:dyDescent="0.2">
      <c r="A20" s="323">
        <v>43677</v>
      </c>
      <c r="B20" s="324">
        <f t="shared" ref="B20:B21" si="13">B19</f>
        <v>32459112.789999999</v>
      </c>
      <c r="C20" s="324">
        <f t="shared" ref="C20:C66" si="14">+C19</f>
        <v>32459112.789999999</v>
      </c>
      <c r="D20" s="74">
        <f t="shared" si="10"/>
        <v>491804.7392424242</v>
      </c>
      <c r="E20" s="170">
        <f t="shared" ref="E20:E49" si="15">E19</f>
        <v>660839.25009184063</v>
      </c>
      <c r="F20" s="74">
        <f t="shared" si="8"/>
        <v>-2950828.4354545451</v>
      </c>
      <c r="G20" s="170">
        <f t="shared" si="6"/>
        <v>-3455870.0690112868</v>
      </c>
      <c r="H20" s="74">
        <f t="shared" si="11"/>
        <v>29508284.354545455</v>
      </c>
      <c r="I20" s="74">
        <f t="shared" si="11"/>
        <v>29003242.720988713</v>
      </c>
      <c r="J20" s="74">
        <f t="shared" si="12"/>
        <v>-505041.63355674222</v>
      </c>
      <c r="K20" s="74">
        <f t="shared" si="9"/>
        <v>106058.74304691586</v>
      </c>
      <c r="L20" s="75">
        <f t="shared" si="4"/>
        <v>-35497.247278377414</v>
      </c>
      <c r="M20" s="77"/>
      <c r="N20" s="52"/>
      <c r="O20" s="52"/>
    </row>
    <row r="21" spans="1:15" s="40" customFormat="1" x14ac:dyDescent="0.2">
      <c r="A21" s="323">
        <v>43708</v>
      </c>
      <c r="B21" s="324">
        <f t="shared" si="13"/>
        <v>32459112.789999999</v>
      </c>
      <c r="C21" s="324">
        <f t="shared" si="14"/>
        <v>32459112.789999999</v>
      </c>
      <c r="D21" s="74">
        <f t="shared" si="10"/>
        <v>491804.7392424242</v>
      </c>
      <c r="E21" s="170">
        <f t="shared" si="15"/>
        <v>660839.25009184063</v>
      </c>
      <c r="F21" s="74">
        <f t="shared" si="8"/>
        <v>-3442633.1746969693</v>
      </c>
      <c r="G21" s="170">
        <f t="shared" si="6"/>
        <v>-4116709.3191031273</v>
      </c>
      <c r="H21" s="74">
        <f t="shared" si="11"/>
        <v>29016479.615303028</v>
      </c>
      <c r="I21" s="74">
        <f t="shared" si="11"/>
        <v>28342403.47089687</v>
      </c>
      <c r="J21" s="74">
        <f t="shared" si="12"/>
        <v>-674076.14440615848</v>
      </c>
      <c r="K21" s="74">
        <f t="shared" si="9"/>
        <v>141555.99032529327</v>
      </c>
      <c r="L21" s="75">
        <f t="shared" si="4"/>
        <v>-35497.247278377414</v>
      </c>
      <c r="M21" s="77"/>
      <c r="N21" s="150"/>
      <c r="O21" s="52"/>
    </row>
    <row r="22" spans="1:15" s="40" customFormat="1" x14ac:dyDescent="0.2">
      <c r="A22" s="323">
        <v>43738</v>
      </c>
      <c r="B22" s="74">
        <f t="shared" ref="B22:B32" si="16">B21</f>
        <v>32459112.789999999</v>
      </c>
      <c r="C22" s="324">
        <f t="shared" si="14"/>
        <v>32459112.789999999</v>
      </c>
      <c r="D22" s="74">
        <f t="shared" si="10"/>
        <v>491804.7392424242</v>
      </c>
      <c r="E22" s="170">
        <f t="shared" si="15"/>
        <v>660839.25009184063</v>
      </c>
      <c r="F22" s="74">
        <f t="shared" si="8"/>
        <v>-3934437.9139393936</v>
      </c>
      <c r="G22" s="170">
        <f t="shared" si="6"/>
        <v>-4777548.5691949679</v>
      </c>
      <c r="H22" s="74">
        <f t="shared" si="11"/>
        <v>28524674.876060605</v>
      </c>
      <c r="I22" s="74">
        <f>C22+G22</f>
        <v>27681564.22080503</v>
      </c>
      <c r="J22" s="74">
        <f t="shared" si="12"/>
        <v>-843110.65525557473</v>
      </c>
      <c r="K22" s="74">
        <f t="shared" si="9"/>
        <v>177053.23760367068</v>
      </c>
      <c r="L22" s="75">
        <f t="shared" si="4"/>
        <v>-35497.247278377414</v>
      </c>
      <c r="M22" s="77"/>
      <c r="N22" s="52"/>
      <c r="O22" s="52"/>
    </row>
    <row r="23" spans="1:15" s="40" customFormat="1" x14ac:dyDescent="0.2">
      <c r="A23" s="323">
        <v>43769</v>
      </c>
      <c r="B23" s="74">
        <f t="shared" si="16"/>
        <v>32459112.789999999</v>
      </c>
      <c r="C23" s="324">
        <f t="shared" si="14"/>
        <v>32459112.789999999</v>
      </c>
      <c r="D23" s="74">
        <f t="shared" si="10"/>
        <v>491804.7392424242</v>
      </c>
      <c r="E23" s="170">
        <f t="shared" si="15"/>
        <v>660839.25009184063</v>
      </c>
      <c r="F23" s="74">
        <f t="shared" si="8"/>
        <v>-4426242.6531818174</v>
      </c>
      <c r="G23" s="170">
        <f t="shared" si="6"/>
        <v>-5438387.8192868084</v>
      </c>
      <c r="H23" s="74">
        <f t="shared" si="11"/>
        <v>28032870.136818182</v>
      </c>
      <c r="I23" s="74">
        <f t="shared" si="11"/>
        <v>27020724.970713191</v>
      </c>
      <c r="J23" s="74">
        <f t="shared" si="12"/>
        <v>-1012145.166104991</v>
      </c>
      <c r="K23" s="74">
        <f t="shared" si="9"/>
        <v>212550.4848820481</v>
      </c>
      <c r="L23" s="75">
        <f t="shared" si="4"/>
        <v>-35497.247278377414</v>
      </c>
      <c r="M23" s="77"/>
      <c r="N23" s="52"/>
      <c r="O23" s="52"/>
    </row>
    <row r="24" spans="1:15" s="40" customFormat="1" x14ac:dyDescent="0.2">
      <c r="A24" s="323">
        <v>43799</v>
      </c>
      <c r="B24" s="74">
        <f t="shared" si="16"/>
        <v>32459112.789999999</v>
      </c>
      <c r="C24" s="324">
        <f t="shared" si="14"/>
        <v>32459112.789999999</v>
      </c>
      <c r="D24" s="74">
        <f t="shared" si="10"/>
        <v>491804.7392424242</v>
      </c>
      <c r="E24" s="170">
        <f t="shared" si="15"/>
        <v>660839.25009184063</v>
      </c>
      <c r="F24" s="74">
        <f t="shared" si="8"/>
        <v>-4918047.3924242416</v>
      </c>
      <c r="G24" s="170">
        <f t="shared" si="6"/>
        <v>-6099227.0693786489</v>
      </c>
      <c r="H24" s="74">
        <f t="shared" si="11"/>
        <v>27541065.397575758</v>
      </c>
      <c r="I24" s="74">
        <f t="shared" si="11"/>
        <v>26359885.720621351</v>
      </c>
      <c r="J24" s="74">
        <f t="shared" si="12"/>
        <v>-1181179.6769544072</v>
      </c>
      <c r="K24" s="74">
        <f t="shared" si="9"/>
        <v>248047.73216042551</v>
      </c>
      <c r="L24" s="75">
        <f t="shared" si="4"/>
        <v>-35497.247278377414</v>
      </c>
      <c r="M24" s="77"/>
      <c r="N24" s="52"/>
      <c r="O24" s="52"/>
    </row>
    <row r="25" spans="1:15" s="40" customFormat="1" x14ac:dyDescent="0.2">
      <c r="A25" s="323">
        <v>43830</v>
      </c>
      <c r="B25" s="74">
        <f t="shared" si="16"/>
        <v>32459112.789999999</v>
      </c>
      <c r="C25" s="324">
        <f t="shared" si="14"/>
        <v>32459112.789999999</v>
      </c>
      <c r="D25" s="74">
        <f t="shared" si="10"/>
        <v>491804.7392424242</v>
      </c>
      <c r="E25" s="170">
        <f t="shared" si="15"/>
        <v>660839.25009184063</v>
      </c>
      <c r="F25" s="74">
        <f t="shared" si="8"/>
        <v>-5409852.1316666659</v>
      </c>
      <c r="G25" s="170">
        <f t="shared" si="6"/>
        <v>-6760066.3194704894</v>
      </c>
      <c r="H25" s="74">
        <f t="shared" si="11"/>
        <v>27049260.658333331</v>
      </c>
      <c r="I25" s="74">
        <f t="shared" si="11"/>
        <v>25699046.470529512</v>
      </c>
      <c r="J25" s="74">
        <f t="shared" si="12"/>
        <v>-1350214.1878038198</v>
      </c>
      <c r="K25" s="74">
        <f t="shared" si="9"/>
        <v>283544.97943880217</v>
      </c>
      <c r="L25" s="75">
        <f t="shared" si="4"/>
        <v>-35497.247278376657</v>
      </c>
      <c r="M25" s="77"/>
      <c r="N25" s="52"/>
      <c r="O25" s="52"/>
    </row>
    <row r="26" spans="1:15" s="40" customFormat="1" x14ac:dyDescent="0.2">
      <c r="A26" s="323">
        <v>43861</v>
      </c>
      <c r="B26" s="74">
        <f t="shared" si="16"/>
        <v>32459112.789999999</v>
      </c>
      <c r="C26" s="324">
        <f t="shared" si="14"/>
        <v>32459112.789999999</v>
      </c>
      <c r="D26" s="74">
        <f>+C26*$C$6/12</f>
        <v>901642.02194444428</v>
      </c>
      <c r="E26" s="170">
        <f t="shared" si="15"/>
        <v>660839.25009184063</v>
      </c>
      <c r="F26" s="74">
        <f t="shared" si="8"/>
        <v>-6311494.1536111105</v>
      </c>
      <c r="G26" s="170">
        <f t="shared" si="6"/>
        <v>-7420905.5695623299</v>
      </c>
      <c r="H26" s="74">
        <f t="shared" si="11"/>
        <v>26147618.63638889</v>
      </c>
      <c r="I26" s="74">
        <f t="shared" si="11"/>
        <v>25038207.220437668</v>
      </c>
      <c r="J26" s="74">
        <f t="shared" si="12"/>
        <v>-1109411.4159512222</v>
      </c>
      <c r="K26" s="74">
        <f t="shared" si="9"/>
        <v>232976.39734975665</v>
      </c>
      <c r="L26" s="75">
        <f t="shared" si="4"/>
        <v>50568.582089045522</v>
      </c>
      <c r="M26" s="77"/>
    </row>
    <row r="27" spans="1:15" s="40" customFormat="1" x14ac:dyDescent="0.2">
      <c r="A27" s="323">
        <v>43890</v>
      </c>
      <c r="B27" s="74">
        <f t="shared" si="16"/>
        <v>32459112.789999999</v>
      </c>
      <c r="C27" s="324">
        <f t="shared" si="14"/>
        <v>32459112.789999999</v>
      </c>
      <c r="D27" s="74">
        <f t="shared" ref="D27:D36" si="17">+C27*$C$6/12</f>
        <v>901642.02194444428</v>
      </c>
      <c r="E27" s="170">
        <f t="shared" si="15"/>
        <v>660839.25009184063</v>
      </c>
      <c r="F27" s="74">
        <f t="shared" si="8"/>
        <v>-7213136.1755555551</v>
      </c>
      <c r="G27" s="170">
        <f t="shared" si="6"/>
        <v>-8081744.8196541704</v>
      </c>
      <c r="H27" s="74">
        <f t="shared" si="11"/>
        <v>25245976.614444442</v>
      </c>
      <c r="I27" s="74">
        <f t="shared" si="11"/>
        <v>24377367.970345829</v>
      </c>
      <c r="J27" s="74">
        <f t="shared" si="12"/>
        <v>-868608.64409861341</v>
      </c>
      <c r="K27" s="74">
        <f t="shared" si="9"/>
        <v>182407.8152607088</v>
      </c>
      <c r="L27" s="75">
        <f t="shared" si="4"/>
        <v>50568.58208904785</v>
      </c>
      <c r="M27" s="77"/>
      <c r="N27" s="52"/>
      <c r="O27" s="76"/>
    </row>
    <row r="28" spans="1:15" s="40" customFormat="1" x14ac:dyDescent="0.2">
      <c r="A28" s="323">
        <v>43921</v>
      </c>
      <c r="B28" s="74">
        <f t="shared" si="16"/>
        <v>32459112.789999999</v>
      </c>
      <c r="C28" s="324">
        <f t="shared" si="14"/>
        <v>32459112.789999999</v>
      </c>
      <c r="D28" s="74">
        <f t="shared" si="17"/>
        <v>901642.02194444428</v>
      </c>
      <c r="E28" s="170">
        <f t="shared" si="15"/>
        <v>660839.25009184063</v>
      </c>
      <c r="F28" s="74">
        <f t="shared" si="8"/>
        <v>-8114778.1974999998</v>
      </c>
      <c r="G28" s="170">
        <f t="shared" si="6"/>
        <v>-8742584.0697460119</v>
      </c>
      <c r="H28" s="74">
        <f t="shared" si="11"/>
        <v>24344334.592500001</v>
      </c>
      <c r="I28" s="74">
        <f t="shared" si="11"/>
        <v>23716528.720253989</v>
      </c>
      <c r="J28" s="74">
        <f t="shared" si="12"/>
        <v>-627805.87224601209</v>
      </c>
      <c r="K28" s="74">
        <f t="shared" si="9"/>
        <v>131839.23317166255</v>
      </c>
      <c r="L28" s="75">
        <f t="shared" si="4"/>
        <v>50568.582089046249</v>
      </c>
      <c r="M28" s="77"/>
      <c r="N28" s="76"/>
      <c r="O28" s="76"/>
    </row>
    <row r="29" spans="1:15" s="40" customFormat="1" x14ac:dyDescent="0.2">
      <c r="A29" s="323">
        <v>43951</v>
      </c>
      <c r="B29" s="74">
        <f t="shared" si="16"/>
        <v>32459112.789999999</v>
      </c>
      <c r="C29" s="324">
        <f t="shared" si="14"/>
        <v>32459112.789999999</v>
      </c>
      <c r="D29" s="74">
        <f t="shared" si="17"/>
        <v>901642.02194444428</v>
      </c>
      <c r="E29" s="170">
        <f t="shared" si="15"/>
        <v>660839.25009184063</v>
      </c>
      <c r="F29" s="74">
        <f t="shared" si="8"/>
        <v>-9016420.2194444444</v>
      </c>
      <c r="G29" s="170">
        <f t="shared" si="6"/>
        <v>-9403423.3198378533</v>
      </c>
      <c r="H29" s="74">
        <f>B29+F29</f>
        <v>23442692.570555553</v>
      </c>
      <c r="I29" s="74">
        <f t="shared" si="11"/>
        <v>23055689.470162146</v>
      </c>
      <c r="J29" s="74">
        <f t="shared" si="12"/>
        <v>-387003.10039340705</v>
      </c>
      <c r="K29" s="74">
        <f t="shared" si="9"/>
        <v>81270.65108261547</v>
      </c>
      <c r="L29" s="75">
        <f t="shared" si="4"/>
        <v>50568.582089047079</v>
      </c>
      <c r="M29" s="77"/>
      <c r="N29" s="52"/>
      <c r="O29" s="76"/>
    </row>
    <row r="30" spans="1:15" s="40" customFormat="1" x14ac:dyDescent="0.2">
      <c r="A30" s="326">
        <v>43982</v>
      </c>
      <c r="B30" s="259">
        <f t="shared" si="16"/>
        <v>32459112.789999999</v>
      </c>
      <c r="C30" s="259">
        <f t="shared" si="14"/>
        <v>32459112.789999999</v>
      </c>
      <c r="D30" s="259">
        <f t="shared" si="17"/>
        <v>901642.02194444428</v>
      </c>
      <c r="E30" s="259">
        <f t="shared" si="15"/>
        <v>660839.25009184063</v>
      </c>
      <c r="F30" s="259">
        <f t="shared" si="8"/>
        <v>-9918062.241388889</v>
      </c>
      <c r="G30" s="260">
        <f t="shared" si="6"/>
        <v>-10064262.569929695</v>
      </c>
      <c r="H30" s="259">
        <f t="shared" ref="H30:H45" si="18">B30+F30</f>
        <v>22541050.548611112</v>
      </c>
      <c r="I30" s="259">
        <f t="shared" si="11"/>
        <v>22394850.220070302</v>
      </c>
      <c r="J30" s="259">
        <f t="shared" si="12"/>
        <v>-146200.32854080945</v>
      </c>
      <c r="K30" s="259">
        <f t="shared" si="9"/>
        <v>30702.068993569985</v>
      </c>
      <c r="L30" s="261">
        <f t="shared" si="4"/>
        <v>50568.582089045485</v>
      </c>
      <c r="M30" s="77"/>
      <c r="N30" s="52"/>
      <c r="O30" s="76"/>
    </row>
    <row r="31" spans="1:15" s="40" customFormat="1" x14ac:dyDescent="0.2">
      <c r="A31" s="326">
        <v>44012</v>
      </c>
      <c r="B31" s="259">
        <f t="shared" si="16"/>
        <v>32459112.789999999</v>
      </c>
      <c r="C31" s="259">
        <f t="shared" si="14"/>
        <v>32459112.789999999</v>
      </c>
      <c r="D31" s="259">
        <f t="shared" si="17"/>
        <v>901642.02194444428</v>
      </c>
      <c r="E31" s="259">
        <f t="shared" si="15"/>
        <v>660839.25009184063</v>
      </c>
      <c r="F31" s="259">
        <f t="shared" si="8"/>
        <v>-10819704.263333334</v>
      </c>
      <c r="G31" s="260">
        <f t="shared" si="6"/>
        <v>-10725101.820021536</v>
      </c>
      <c r="H31" s="259">
        <f t="shared" si="18"/>
        <v>21639408.526666664</v>
      </c>
      <c r="I31" s="259">
        <f t="shared" si="11"/>
        <v>21734010.969978463</v>
      </c>
      <c r="J31" s="259">
        <f t="shared" si="12"/>
        <v>94602.443311799318</v>
      </c>
      <c r="K31" s="259">
        <f t="shared" si="9"/>
        <v>-19866.513095477854</v>
      </c>
      <c r="L31" s="261">
        <f t="shared" si="4"/>
        <v>50568.582089047835</v>
      </c>
      <c r="M31" s="76"/>
      <c r="O31" s="76"/>
    </row>
    <row r="32" spans="1:15" s="40" customFormat="1" x14ac:dyDescent="0.2">
      <c r="A32" s="326">
        <v>44043</v>
      </c>
      <c r="B32" s="259">
        <f t="shared" si="16"/>
        <v>32459112.789999999</v>
      </c>
      <c r="C32" s="259">
        <f t="shared" si="14"/>
        <v>32459112.789999999</v>
      </c>
      <c r="D32" s="259">
        <f t="shared" si="17"/>
        <v>901642.02194444428</v>
      </c>
      <c r="E32" s="259">
        <f t="shared" si="15"/>
        <v>660839.25009184063</v>
      </c>
      <c r="F32" s="259">
        <f t="shared" si="8"/>
        <v>-11721346.285277778</v>
      </c>
      <c r="G32" s="260">
        <f t="shared" si="6"/>
        <v>-11385941.070113378</v>
      </c>
      <c r="H32" s="259">
        <f t="shared" si="18"/>
        <v>20737766.504722223</v>
      </c>
      <c r="I32" s="259">
        <f t="shared" si="11"/>
        <v>21073171.719886623</v>
      </c>
      <c r="J32" s="259">
        <f t="shared" si="12"/>
        <v>335405.21516440064</v>
      </c>
      <c r="K32" s="259">
        <f t="shared" si="9"/>
        <v>-70435.095184524136</v>
      </c>
      <c r="L32" s="261">
        <f t="shared" si="4"/>
        <v>50568.582089046278</v>
      </c>
      <c r="M32" s="76"/>
      <c r="N32" s="76"/>
      <c r="O32" s="76"/>
    </row>
    <row r="33" spans="1:15" s="40" customFormat="1" x14ac:dyDescent="0.2">
      <c r="A33" s="326">
        <v>44074</v>
      </c>
      <c r="B33" s="259">
        <f t="shared" ref="B33:B46" si="19">B32</f>
        <v>32459112.789999999</v>
      </c>
      <c r="C33" s="259">
        <f t="shared" si="14"/>
        <v>32459112.789999999</v>
      </c>
      <c r="D33" s="259">
        <f t="shared" si="17"/>
        <v>901642.02194444428</v>
      </c>
      <c r="E33" s="259">
        <f t="shared" si="15"/>
        <v>660839.25009184063</v>
      </c>
      <c r="F33" s="259">
        <f t="shared" si="8"/>
        <v>-12622988.307222223</v>
      </c>
      <c r="G33" s="260">
        <f t="shared" si="6"/>
        <v>-12046780.320205219</v>
      </c>
      <c r="H33" s="259">
        <f t="shared" si="18"/>
        <v>19836124.482777774</v>
      </c>
      <c r="I33" s="259">
        <f t="shared" si="11"/>
        <v>20412332.46979478</v>
      </c>
      <c r="J33" s="259">
        <f t="shared" si="12"/>
        <v>576207.98701700568</v>
      </c>
      <c r="K33" s="259">
        <f t="shared" si="9"/>
        <v>-121003.67727357119</v>
      </c>
      <c r="L33" s="261">
        <f t="shared" si="4"/>
        <v>50568.58208904705</v>
      </c>
      <c r="M33" s="76"/>
      <c r="N33" s="76"/>
      <c r="O33" s="76"/>
    </row>
    <row r="34" spans="1:15" s="40" customFormat="1" x14ac:dyDescent="0.2">
      <c r="A34" s="326">
        <v>44104</v>
      </c>
      <c r="B34" s="259">
        <f t="shared" si="19"/>
        <v>32459112.789999999</v>
      </c>
      <c r="C34" s="259">
        <f t="shared" si="14"/>
        <v>32459112.789999999</v>
      </c>
      <c r="D34" s="259">
        <f t="shared" si="17"/>
        <v>901642.02194444428</v>
      </c>
      <c r="E34" s="259">
        <f t="shared" si="15"/>
        <v>660839.25009184063</v>
      </c>
      <c r="F34" s="259">
        <f t="shared" si="8"/>
        <v>-13524630.329166668</v>
      </c>
      <c r="G34" s="260">
        <f t="shared" si="6"/>
        <v>-12707619.570297061</v>
      </c>
      <c r="H34" s="259">
        <f t="shared" si="18"/>
        <v>18934482.460833333</v>
      </c>
      <c r="I34" s="259">
        <f t="shared" si="11"/>
        <v>19751493.219702937</v>
      </c>
      <c r="J34" s="259">
        <f t="shared" si="12"/>
        <v>817010.75886960328</v>
      </c>
      <c r="K34" s="259">
        <f t="shared" si="9"/>
        <v>-171572.25936261669</v>
      </c>
      <c r="L34" s="261">
        <f t="shared" si="4"/>
        <v>50568.582089045507</v>
      </c>
      <c r="M34" s="76"/>
      <c r="N34" s="76"/>
      <c r="O34" s="76"/>
    </row>
    <row r="35" spans="1:15" s="40" customFormat="1" x14ac:dyDescent="0.2">
      <c r="A35" s="326">
        <v>44135</v>
      </c>
      <c r="B35" s="259">
        <f t="shared" si="19"/>
        <v>32459112.789999999</v>
      </c>
      <c r="C35" s="259">
        <f t="shared" si="14"/>
        <v>32459112.789999999</v>
      </c>
      <c r="D35" s="259">
        <f t="shared" si="17"/>
        <v>901642.02194444428</v>
      </c>
      <c r="E35" s="259">
        <f t="shared" si="15"/>
        <v>660839.25009184063</v>
      </c>
      <c r="F35" s="259">
        <f t="shared" si="8"/>
        <v>-14426272.351111112</v>
      </c>
      <c r="G35" s="260">
        <f t="shared" si="6"/>
        <v>-13368458.820388902</v>
      </c>
      <c r="H35" s="259">
        <f t="shared" si="18"/>
        <v>18032840.438888885</v>
      </c>
      <c r="I35" s="259">
        <f t="shared" si="11"/>
        <v>19090653.969611097</v>
      </c>
      <c r="J35" s="259">
        <f t="shared" si="12"/>
        <v>1057813.530722212</v>
      </c>
      <c r="K35" s="259">
        <f t="shared" si="9"/>
        <v>-222140.84145166451</v>
      </c>
      <c r="L35" s="261">
        <f t="shared" si="4"/>
        <v>50568.582089047821</v>
      </c>
      <c r="M35" s="76"/>
      <c r="N35" s="76"/>
      <c r="O35" s="76"/>
    </row>
    <row r="36" spans="1:15" s="40" customFormat="1" x14ac:dyDescent="0.2">
      <c r="A36" s="326">
        <v>44165</v>
      </c>
      <c r="B36" s="259">
        <f t="shared" si="19"/>
        <v>32459112.789999999</v>
      </c>
      <c r="C36" s="259">
        <f t="shared" si="14"/>
        <v>32459112.789999999</v>
      </c>
      <c r="D36" s="259">
        <f t="shared" si="17"/>
        <v>901642.02194444428</v>
      </c>
      <c r="E36" s="259">
        <f t="shared" si="15"/>
        <v>660839.25009184063</v>
      </c>
      <c r="F36" s="259">
        <f t="shared" si="8"/>
        <v>-15327914.373055557</v>
      </c>
      <c r="G36" s="260">
        <f t="shared" si="6"/>
        <v>-14029298.070480743</v>
      </c>
      <c r="H36" s="259">
        <f t="shared" si="18"/>
        <v>17131198.416944444</v>
      </c>
      <c r="I36" s="259">
        <f t="shared" si="11"/>
        <v>18429814.719519258</v>
      </c>
      <c r="J36" s="259">
        <f t="shared" si="12"/>
        <v>1298616.3025748134</v>
      </c>
      <c r="K36" s="259">
        <f t="shared" si="9"/>
        <v>-272709.42354071082</v>
      </c>
      <c r="L36" s="261">
        <f t="shared" si="4"/>
        <v>50568.582089046307</v>
      </c>
      <c r="M36" s="76"/>
      <c r="N36" s="76"/>
      <c r="O36" s="76"/>
    </row>
    <row r="37" spans="1:15" s="40" customFormat="1" x14ac:dyDescent="0.2">
      <c r="A37" s="326">
        <v>44196</v>
      </c>
      <c r="B37" s="259">
        <f t="shared" si="19"/>
        <v>32459112.789999999</v>
      </c>
      <c r="C37" s="259">
        <f t="shared" si="14"/>
        <v>32459112.789999999</v>
      </c>
      <c r="D37" s="259">
        <f>+C37*$C$6/12</f>
        <v>901642.02194444428</v>
      </c>
      <c r="E37" s="259">
        <f t="shared" si="15"/>
        <v>660839.25009184063</v>
      </c>
      <c r="F37" s="259">
        <f t="shared" si="8"/>
        <v>-16229556.395000001</v>
      </c>
      <c r="G37" s="260">
        <f t="shared" si="6"/>
        <v>-14690137.320572585</v>
      </c>
      <c r="H37" s="259">
        <f t="shared" si="18"/>
        <v>16229556.394999998</v>
      </c>
      <c r="I37" s="259">
        <f t="shared" si="11"/>
        <v>17768975.469427414</v>
      </c>
      <c r="J37" s="259">
        <f t="shared" si="12"/>
        <v>1539419.0744274165</v>
      </c>
      <c r="K37" s="259">
        <f t="shared" si="9"/>
        <v>-323278.00562975748</v>
      </c>
      <c r="L37" s="261">
        <f t="shared" si="4"/>
        <v>50568.582089046657</v>
      </c>
      <c r="M37" s="76"/>
      <c r="N37" s="76"/>
      <c r="O37" s="76"/>
    </row>
    <row r="38" spans="1:15" s="40" customFormat="1" x14ac:dyDescent="0.2">
      <c r="A38" s="326">
        <v>44227</v>
      </c>
      <c r="B38" s="259">
        <f t="shared" si="19"/>
        <v>32459112.789999999</v>
      </c>
      <c r="C38" s="259">
        <f t="shared" si="14"/>
        <v>32459112.789999999</v>
      </c>
      <c r="D38" s="259">
        <f>B38*$D$6/12</f>
        <v>901642.02194444428</v>
      </c>
      <c r="E38" s="259">
        <f t="shared" si="15"/>
        <v>660839.25009184063</v>
      </c>
      <c r="F38" s="259">
        <f t="shared" si="8"/>
        <v>-17131198.416944444</v>
      </c>
      <c r="G38" s="260">
        <f t="shared" si="6"/>
        <v>-15350976.570664426</v>
      </c>
      <c r="H38" s="259">
        <f t="shared" si="18"/>
        <v>15327914.373055555</v>
      </c>
      <c r="I38" s="259">
        <f t="shared" si="11"/>
        <v>17108136.219335571</v>
      </c>
      <c r="J38" s="259">
        <f t="shared" si="12"/>
        <v>1780221.846280016</v>
      </c>
      <c r="K38" s="259">
        <f t="shared" si="9"/>
        <v>-373846.58771880332</v>
      </c>
      <c r="L38" s="261">
        <f t="shared" si="4"/>
        <v>50568.582089045842</v>
      </c>
      <c r="M38" s="76"/>
      <c r="N38" s="76"/>
      <c r="O38" s="76"/>
    </row>
    <row r="39" spans="1:15" s="40" customFormat="1" x14ac:dyDescent="0.2">
      <c r="A39" s="326">
        <v>44255</v>
      </c>
      <c r="B39" s="259">
        <f t="shared" si="19"/>
        <v>32459112.789999999</v>
      </c>
      <c r="C39" s="259">
        <f t="shared" si="14"/>
        <v>32459112.789999999</v>
      </c>
      <c r="D39" s="259">
        <f t="shared" ref="D39:D45" si="20">B39*$D$6/12</f>
        <v>901642.02194444428</v>
      </c>
      <c r="E39" s="259">
        <f t="shared" si="15"/>
        <v>660839.25009184063</v>
      </c>
      <c r="F39" s="259">
        <f t="shared" si="8"/>
        <v>-18032840.438888889</v>
      </c>
      <c r="G39" s="260">
        <f t="shared" si="6"/>
        <v>-16011815.820756268</v>
      </c>
      <c r="H39" s="259">
        <f t="shared" si="18"/>
        <v>14426272.35111111</v>
      </c>
      <c r="I39" s="259">
        <f t="shared" si="11"/>
        <v>16447296.969243731</v>
      </c>
      <c r="J39" s="259">
        <f t="shared" si="12"/>
        <v>2021024.618132621</v>
      </c>
      <c r="K39" s="259">
        <f t="shared" si="9"/>
        <v>-424415.16980785038</v>
      </c>
      <c r="L39" s="261">
        <f t="shared" si="4"/>
        <v>50568.582089047064</v>
      </c>
      <c r="M39" s="76"/>
      <c r="N39" s="76"/>
      <c r="O39" s="76"/>
    </row>
    <row r="40" spans="1:15" s="40" customFormat="1" x14ac:dyDescent="0.2">
      <c r="A40" s="326">
        <v>44286</v>
      </c>
      <c r="B40" s="259">
        <f t="shared" si="19"/>
        <v>32459112.789999999</v>
      </c>
      <c r="C40" s="259">
        <f t="shared" si="14"/>
        <v>32459112.789999999</v>
      </c>
      <c r="D40" s="259">
        <f t="shared" si="20"/>
        <v>901642.02194444428</v>
      </c>
      <c r="E40" s="259">
        <f t="shared" si="15"/>
        <v>660839.25009184063</v>
      </c>
      <c r="F40" s="259">
        <f t="shared" si="8"/>
        <v>-18934482.460833333</v>
      </c>
      <c r="G40" s="260">
        <f t="shared" si="6"/>
        <v>-16672655.070848109</v>
      </c>
      <c r="H40" s="259">
        <f t="shared" si="18"/>
        <v>13524630.329166666</v>
      </c>
      <c r="I40" s="259">
        <f t="shared" si="11"/>
        <v>15786457.71915189</v>
      </c>
      <c r="J40" s="259">
        <f t="shared" si="12"/>
        <v>2261827.3899852242</v>
      </c>
      <c r="K40" s="259">
        <f t="shared" si="9"/>
        <v>-474983.7518968971</v>
      </c>
      <c r="L40" s="261">
        <f t="shared" si="4"/>
        <v>50568.582089046715</v>
      </c>
      <c r="M40" s="76"/>
      <c r="N40" s="76"/>
      <c r="O40" s="76"/>
    </row>
    <row r="41" spans="1:15" s="40" customFormat="1" x14ac:dyDescent="0.2">
      <c r="A41" s="326">
        <v>44316</v>
      </c>
      <c r="B41" s="259">
        <f t="shared" si="19"/>
        <v>32459112.789999999</v>
      </c>
      <c r="C41" s="259">
        <f t="shared" si="14"/>
        <v>32459112.789999999</v>
      </c>
      <c r="D41" s="259">
        <f t="shared" si="20"/>
        <v>901642.02194444428</v>
      </c>
      <c r="E41" s="259">
        <f t="shared" si="15"/>
        <v>660839.25009184063</v>
      </c>
      <c r="F41" s="259">
        <f t="shared" si="8"/>
        <v>-19836124.482777778</v>
      </c>
      <c r="G41" s="260">
        <f t="shared" si="6"/>
        <v>-17333494.320939951</v>
      </c>
      <c r="H41" s="259">
        <f t="shared" si="18"/>
        <v>12622988.307222221</v>
      </c>
      <c r="I41" s="259">
        <f t="shared" si="11"/>
        <v>15125618.469060048</v>
      </c>
      <c r="J41" s="259">
        <f t="shared" si="12"/>
        <v>2502630.1618378274</v>
      </c>
      <c r="K41" s="259">
        <f t="shared" si="9"/>
        <v>-525552.3339859437</v>
      </c>
      <c r="L41" s="261">
        <f t="shared" si="4"/>
        <v>50568.582089046598</v>
      </c>
      <c r="M41" s="76"/>
      <c r="N41" s="76"/>
      <c r="O41" s="76"/>
    </row>
    <row r="42" spans="1:15" s="40" customFormat="1" x14ac:dyDescent="0.2">
      <c r="A42" s="323">
        <v>44347</v>
      </c>
      <c r="B42" s="74">
        <f t="shared" si="19"/>
        <v>32459112.789999999</v>
      </c>
      <c r="C42" s="324">
        <f t="shared" si="14"/>
        <v>32459112.789999999</v>
      </c>
      <c r="D42" s="74">
        <f t="shared" si="20"/>
        <v>901642.02194444428</v>
      </c>
      <c r="E42" s="170">
        <f t="shared" si="15"/>
        <v>660839.25009184063</v>
      </c>
      <c r="F42" s="74">
        <f t="shared" si="8"/>
        <v>-20737766.504722223</v>
      </c>
      <c r="G42" s="170">
        <f t="shared" si="6"/>
        <v>-17994333.57103179</v>
      </c>
      <c r="H42" s="74">
        <f t="shared" si="18"/>
        <v>11721346.285277776</v>
      </c>
      <c r="I42" s="74">
        <f t="shared" si="11"/>
        <v>14464779.218968209</v>
      </c>
      <c r="J42" s="74">
        <f t="shared" si="12"/>
        <v>2743432.9336904325</v>
      </c>
      <c r="K42" s="74">
        <f t="shared" si="9"/>
        <v>-576120.91607499076</v>
      </c>
      <c r="L42" s="75">
        <f t="shared" si="4"/>
        <v>50568.582089047064</v>
      </c>
      <c r="M42" s="76"/>
      <c r="N42" s="76"/>
      <c r="O42" s="76"/>
    </row>
    <row r="43" spans="1:15" s="40" customFormat="1" x14ac:dyDescent="0.2">
      <c r="A43" s="323">
        <v>44377</v>
      </c>
      <c r="B43" s="74">
        <f t="shared" si="19"/>
        <v>32459112.789999999</v>
      </c>
      <c r="C43" s="324">
        <f t="shared" si="14"/>
        <v>32459112.789999999</v>
      </c>
      <c r="D43" s="74">
        <f t="shared" si="20"/>
        <v>901642.02194444428</v>
      </c>
      <c r="E43" s="170">
        <f t="shared" si="15"/>
        <v>660839.25009184063</v>
      </c>
      <c r="F43" s="74">
        <f t="shared" si="8"/>
        <v>-21639408.526666667</v>
      </c>
      <c r="G43" s="170">
        <f t="shared" si="6"/>
        <v>-18655172.82112363</v>
      </c>
      <c r="H43" s="74">
        <f t="shared" si="18"/>
        <v>10819704.263333332</v>
      </c>
      <c r="I43" s="74">
        <f t="shared" si="11"/>
        <v>13803939.968876369</v>
      </c>
      <c r="J43" s="74">
        <f t="shared" si="12"/>
        <v>2984235.7055430375</v>
      </c>
      <c r="K43" s="74">
        <f t="shared" si="9"/>
        <v>-626689.49816403782</v>
      </c>
      <c r="L43" s="75">
        <f t="shared" si="4"/>
        <v>50568.582089047064</v>
      </c>
      <c r="M43" s="76"/>
      <c r="N43" s="76"/>
      <c r="O43" s="76"/>
    </row>
    <row r="44" spans="1:15" s="40" customFormat="1" x14ac:dyDescent="0.2">
      <c r="A44" s="323">
        <v>44408</v>
      </c>
      <c r="B44" s="74">
        <f t="shared" si="19"/>
        <v>32459112.789999999</v>
      </c>
      <c r="C44" s="324">
        <f t="shared" si="14"/>
        <v>32459112.789999999</v>
      </c>
      <c r="D44" s="74">
        <f t="shared" si="20"/>
        <v>901642.02194444428</v>
      </c>
      <c r="E44" s="170">
        <f t="shared" si="15"/>
        <v>660839.25009184063</v>
      </c>
      <c r="F44" s="74">
        <f t="shared" si="8"/>
        <v>-22541050.548611112</v>
      </c>
      <c r="G44" s="170">
        <f t="shared" si="6"/>
        <v>-19316012.071215469</v>
      </c>
      <c r="H44" s="74">
        <f t="shared" si="18"/>
        <v>9918062.2413888872</v>
      </c>
      <c r="I44" s="74">
        <f t="shared" si="11"/>
        <v>13143100.71878453</v>
      </c>
      <c r="J44" s="74">
        <f t="shared" si="12"/>
        <v>3225038.4773956425</v>
      </c>
      <c r="K44" s="74">
        <f t="shared" si="9"/>
        <v>-677258.08025308489</v>
      </c>
      <c r="L44" s="75">
        <f t="shared" si="4"/>
        <v>50568.582089047064</v>
      </c>
      <c r="M44" s="76"/>
      <c r="N44" s="76"/>
      <c r="O44" s="76"/>
    </row>
    <row r="45" spans="1:15" s="40" customFormat="1" x14ac:dyDescent="0.2">
      <c r="A45" s="323">
        <v>44439</v>
      </c>
      <c r="B45" s="74">
        <f t="shared" si="19"/>
        <v>32459112.789999999</v>
      </c>
      <c r="C45" s="324">
        <f t="shared" si="14"/>
        <v>32459112.789999999</v>
      </c>
      <c r="D45" s="74">
        <f t="shared" si="20"/>
        <v>901642.02194444428</v>
      </c>
      <c r="E45" s="170">
        <f t="shared" si="15"/>
        <v>660839.25009184063</v>
      </c>
      <c r="F45" s="74">
        <f t="shared" si="8"/>
        <v>-23442692.570555557</v>
      </c>
      <c r="G45" s="170">
        <f t="shared" si="6"/>
        <v>-19976851.321307309</v>
      </c>
      <c r="H45" s="74">
        <f t="shared" si="18"/>
        <v>9016420.2194444425</v>
      </c>
      <c r="I45" s="74">
        <f t="shared" si="11"/>
        <v>12482261.46869269</v>
      </c>
      <c r="J45" s="74">
        <f t="shared" si="12"/>
        <v>3465841.2492482476</v>
      </c>
      <c r="K45" s="74">
        <f t="shared" si="9"/>
        <v>-727826.66234213195</v>
      </c>
      <c r="L45" s="75">
        <f t="shared" si="4"/>
        <v>50568.582089047064</v>
      </c>
      <c r="M45" s="76"/>
      <c r="N45" s="76"/>
      <c r="O45" s="76"/>
    </row>
    <row r="46" spans="1:15" s="40" customFormat="1" x14ac:dyDescent="0.2">
      <c r="A46" s="323">
        <v>44469</v>
      </c>
      <c r="B46" s="74">
        <f t="shared" si="19"/>
        <v>32459112.789999999</v>
      </c>
      <c r="C46" s="324">
        <f t="shared" si="14"/>
        <v>32459112.789999999</v>
      </c>
      <c r="D46" s="74">
        <f t="shared" ref="D46:D49" si="21">B46*$D$6/12</f>
        <v>901642.02194444428</v>
      </c>
      <c r="E46" s="170">
        <f t="shared" si="15"/>
        <v>660839.25009184063</v>
      </c>
      <c r="F46" s="74">
        <f t="shared" si="8"/>
        <v>-24344334.592500001</v>
      </c>
      <c r="G46" s="170">
        <f t="shared" si="6"/>
        <v>-20637690.571399149</v>
      </c>
      <c r="H46" s="74">
        <f t="shared" si="11"/>
        <v>8114778.1974999979</v>
      </c>
      <c r="I46" s="74">
        <f t="shared" si="11"/>
        <v>11821422.218600851</v>
      </c>
      <c r="J46" s="74">
        <f t="shared" si="12"/>
        <v>3706644.0211008526</v>
      </c>
      <c r="K46" s="74">
        <f t="shared" si="9"/>
        <v>-778395.24443117902</v>
      </c>
      <c r="L46" s="75">
        <f t="shared" si="4"/>
        <v>50568.582089047064</v>
      </c>
      <c r="M46" s="76"/>
      <c r="N46" s="76"/>
      <c r="O46" s="76"/>
    </row>
    <row r="47" spans="1:15" s="40" customFormat="1" x14ac:dyDescent="0.2">
      <c r="A47" s="323">
        <v>44500</v>
      </c>
      <c r="B47" s="74">
        <f t="shared" ref="B47:B51" si="22">B46</f>
        <v>32459112.789999999</v>
      </c>
      <c r="C47" s="324">
        <f t="shared" si="14"/>
        <v>32459112.789999999</v>
      </c>
      <c r="D47" s="74">
        <f>B47*$D$6/12</f>
        <v>901642.02194444428</v>
      </c>
      <c r="E47" s="170">
        <f t="shared" si="15"/>
        <v>660839.25009184063</v>
      </c>
      <c r="F47" s="74">
        <f t="shared" si="8"/>
        <v>-25245976.614444446</v>
      </c>
      <c r="G47" s="170">
        <f t="shared" si="6"/>
        <v>-21298529.821490988</v>
      </c>
      <c r="H47" s="74">
        <f t="shared" si="11"/>
        <v>7213136.1755555533</v>
      </c>
      <c r="I47" s="74">
        <f t="shared" si="11"/>
        <v>11160582.968509011</v>
      </c>
      <c r="J47" s="74">
        <f t="shared" si="12"/>
        <v>3947446.7929534577</v>
      </c>
      <c r="K47" s="74">
        <f t="shared" si="9"/>
        <v>-828963.82652022608</v>
      </c>
      <c r="L47" s="75">
        <f t="shared" si="4"/>
        <v>50568.582089047064</v>
      </c>
      <c r="M47" s="76"/>
      <c r="N47" s="76"/>
      <c r="O47" s="76"/>
    </row>
    <row r="48" spans="1:15" s="40" customFormat="1" x14ac:dyDescent="0.2">
      <c r="A48" s="323">
        <v>44530</v>
      </c>
      <c r="B48" s="74">
        <f t="shared" si="22"/>
        <v>32459112.789999999</v>
      </c>
      <c r="C48" s="324">
        <f t="shared" si="14"/>
        <v>32459112.789999999</v>
      </c>
      <c r="D48" s="74">
        <f t="shared" si="21"/>
        <v>901642.02194444428</v>
      </c>
      <c r="E48" s="170">
        <f t="shared" si="15"/>
        <v>660839.25009184063</v>
      </c>
      <c r="F48" s="74">
        <f t="shared" si="8"/>
        <v>-26147618.63638889</v>
      </c>
      <c r="G48" s="170">
        <f t="shared" si="6"/>
        <v>-21959369.071582828</v>
      </c>
      <c r="H48" s="74">
        <f t="shared" si="11"/>
        <v>6311494.1536111087</v>
      </c>
      <c r="I48" s="74">
        <f t="shared" si="11"/>
        <v>10499743.718417171</v>
      </c>
      <c r="J48" s="74">
        <f t="shared" si="12"/>
        <v>4188249.5648060627</v>
      </c>
      <c r="K48" s="74">
        <f t="shared" si="9"/>
        <v>-879532.40860927314</v>
      </c>
      <c r="L48" s="75">
        <f t="shared" si="4"/>
        <v>50568.582089047064</v>
      </c>
      <c r="M48" s="76"/>
      <c r="N48" s="76"/>
      <c r="O48" s="76"/>
    </row>
    <row r="49" spans="1:15" s="40" customFormat="1" x14ac:dyDescent="0.2">
      <c r="A49" s="323">
        <v>44561</v>
      </c>
      <c r="B49" s="74">
        <f t="shared" si="22"/>
        <v>32459112.789999999</v>
      </c>
      <c r="C49" s="324">
        <f t="shared" si="14"/>
        <v>32459112.789999999</v>
      </c>
      <c r="D49" s="74">
        <f t="shared" si="21"/>
        <v>901642.02194444428</v>
      </c>
      <c r="E49" s="170">
        <f t="shared" si="15"/>
        <v>660839.25009184063</v>
      </c>
      <c r="F49" s="74">
        <f t="shared" si="8"/>
        <v>-27049260.658333335</v>
      </c>
      <c r="G49" s="170">
        <f t="shared" si="6"/>
        <v>-22620208.321674667</v>
      </c>
      <c r="H49" s="74">
        <f t="shared" si="11"/>
        <v>5409852.131666664</v>
      </c>
      <c r="I49" s="74">
        <f t="shared" si="11"/>
        <v>9838904.4683253318</v>
      </c>
      <c r="J49" s="74">
        <f t="shared" si="12"/>
        <v>4429052.3366586678</v>
      </c>
      <c r="K49" s="74">
        <f t="shared" si="9"/>
        <v>-930100.99069832021</v>
      </c>
      <c r="L49" s="75">
        <f t="shared" si="4"/>
        <v>50568.582089047064</v>
      </c>
      <c r="M49" s="76"/>
      <c r="N49" s="76"/>
      <c r="O49" s="76"/>
    </row>
    <row r="50" spans="1:15" s="40" customFormat="1" x14ac:dyDescent="0.2">
      <c r="A50" s="323">
        <v>44926</v>
      </c>
      <c r="B50" s="74">
        <f t="shared" si="22"/>
        <v>32459112.789999999</v>
      </c>
      <c r="C50" s="324">
        <f t="shared" si="14"/>
        <v>32459112.789999999</v>
      </c>
      <c r="D50" s="74">
        <f>$E$6*B50</f>
        <v>5409852.1316666659</v>
      </c>
      <c r="E50" s="170">
        <f>'GTZ Forecast'!V12*12</f>
        <v>7930071.001102088</v>
      </c>
      <c r="F50" s="74">
        <f t="shared" si="8"/>
        <v>-32459112.789999999</v>
      </c>
      <c r="G50" s="170">
        <f t="shared" si="6"/>
        <v>-30550279.322776757</v>
      </c>
      <c r="H50" s="74">
        <f t="shared" si="11"/>
        <v>0</v>
      </c>
      <c r="I50" s="74">
        <f t="shared" si="11"/>
        <v>1908833.4672232419</v>
      </c>
      <c r="J50" s="74">
        <f t="shared" si="12"/>
        <v>1908833.4672232419</v>
      </c>
      <c r="K50" s="74">
        <f t="shared" si="9"/>
        <v>-400855.0281168808</v>
      </c>
      <c r="L50" s="75">
        <f t="shared" si="4"/>
        <v>-529245.96258143941</v>
      </c>
      <c r="M50" s="76"/>
      <c r="N50" s="76"/>
      <c r="O50" s="76"/>
    </row>
    <row r="51" spans="1:15" s="40" customFormat="1" x14ac:dyDescent="0.2">
      <c r="A51" s="323">
        <v>45291</v>
      </c>
      <c r="B51" s="74">
        <f t="shared" si="22"/>
        <v>32459112.789999999</v>
      </c>
      <c r="C51" s="324">
        <f t="shared" si="14"/>
        <v>32459112.789999999</v>
      </c>
      <c r="D51" s="74"/>
      <c r="E51" s="170">
        <f>C51-SUM(E15:E50)</f>
        <v>1908833.4672232419</v>
      </c>
      <c r="F51" s="74">
        <f t="shared" si="8"/>
        <v>-32459112.789999999</v>
      </c>
      <c r="G51" s="170">
        <f t="shared" si="6"/>
        <v>-32459112.789999999</v>
      </c>
      <c r="H51" s="74">
        <f t="shared" si="11"/>
        <v>0</v>
      </c>
      <c r="I51" s="74">
        <f t="shared" si="11"/>
        <v>0</v>
      </c>
      <c r="J51" s="74">
        <f t="shared" si="12"/>
        <v>0</v>
      </c>
      <c r="K51" s="74">
        <f t="shared" si="9"/>
        <v>0</v>
      </c>
      <c r="L51" s="75">
        <f t="shared" si="4"/>
        <v>-400855.0281168808</v>
      </c>
      <c r="M51" s="76"/>
      <c r="N51" s="76"/>
      <c r="O51" s="76"/>
    </row>
    <row r="52" spans="1:15" s="40" customFormat="1" x14ac:dyDescent="0.2">
      <c r="A52" s="323">
        <v>45657</v>
      </c>
      <c r="B52" s="74">
        <f t="shared" ref="B52:B66" si="23">B51</f>
        <v>32459112.789999999</v>
      </c>
      <c r="C52" s="324">
        <f t="shared" si="14"/>
        <v>32459112.789999999</v>
      </c>
      <c r="D52" s="74">
        <f>$G$6*B52</f>
        <v>0</v>
      </c>
      <c r="E52" s="170"/>
      <c r="F52" s="74">
        <f t="shared" si="8"/>
        <v>-32459112.789999999</v>
      </c>
      <c r="G52" s="170">
        <f t="shared" si="6"/>
        <v>-32459112.789999999</v>
      </c>
      <c r="H52" s="74">
        <f t="shared" si="11"/>
        <v>0</v>
      </c>
      <c r="I52" s="74">
        <f t="shared" si="11"/>
        <v>0</v>
      </c>
      <c r="J52" s="74">
        <f t="shared" si="12"/>
        <v>0</v>
      </c>
      <c r="K52" s="74">
        <f t="shared" si="9"/>
        <v>0</v>
      </c>
      <c r="L52" s="75">
        <f t="shared" si="4"/>
        <v>0</v>
      </c>
      <c r="M52" s="76"/>
      <c r="N52" s="76"/>
      <c r="O52" s="76"/>
    </row>
    <row r="53" spans="1:15" s="40" customFormat="1" x14ac:dyDescent="0.2">
      <c r="A53" s="323">
        <v>46022</v>
      </c>
      <c r="B53" s="74">
        <f t="shared" si="23"/>
        <v>32459112.789999999</v>
      </c>
      <c r="C53" s="324">
        <f t="shared" si="14"/>
        <v>32459112.789999999</v>
      </c>
      <c r="D53" s="74"/>
      <c r="E53" s="170"/>
      <c r="F53" s="74">
        <f t="shared" si="8"/>
        <v>-32459112.789999999</v>
      </c>
      <c r="G53" s="170">
        <f t="shared" si="6"/>
        <v>-32459112.789999999</v>
      </c>
      <c r="H53" s="74">
        <f t="shared" si="11"/>
        <v>0</v>
      </c>
      <c r="I53" s="74">
        <f t="shared" si="11"/>
        <v>0</v>
      </c>
      <c r="J53" s="74">
        <f t="shared" si="12"/>
        <v>0</v>
      </c>
      <c r="K53" s="74">
        <f t="shared" si="9"/>
        <v>0</v>
      </c>
      <c r="L53" s="75">
        <f t="shared" si="4"/>
        <v>0</v>
      </c>
      <c r="M53" s="76"/>
      <c r="N53" s="76"/>
      <c r="O53" s="76"/>
    </row>
    <row r="54" spans="1:15" s="40" customFormat="1" x14ac:dyDescent="0.2">
      <c r="A54" s="323">
        <v>46387</v>
      </c>
      <c r="B54" s="74">
        <f t="shared" si="23"/>
        <v>32459112.789999999</v>
      </c>
      <c r="C54" s="324">
        <f t="shared" si="14"/>
        <v>32459112.789999999</v>
      </c>
      <c r="D54" s="74"/>
      <c r="E54" s="170"/>
      <c r="F54" s="74">
        <f t="shared" si="8"/>
        <v>-32459112.789999999</v>
      </c>
      <c r="G54" s="170">
        <f t="shared" si="6"/>
        <v>-32459112.789999999</v>
      </c>
      <c r="H54" s="74">
        <f t="shared" si="11"/>
        <v>0</v>
      </c>
      <c r="I54" s="74">
        <f t="shared" si="11"/>
        <v>0</v>
      </c>
      <c r="J54" s="74">
        <f t="shared" si="12"/>
        <v>0</v>
      </c>
      <c r="K54" s="74">
        <f t="shared" si="9"/>
        <v>0</v>
      </c>
      <c r="L54" s="75">
        <f t="shared" si="4"/>
        <v>0</v>
      </c>
      <c r="M54" s="76"/>
      <c r="N54" s="76"/>
      <c r="O54" s="76"/>
    </row>
    <row r="55" spans="1:15" s="40" customFormat="1" x14ac:dyDescent="0.2">
      <c r="A55" s="323">
        <v>46752</v>
      </c>
      <c r="B55" s="74">
        <f t="shared" si="23"/>
        <v>32459112.789999999</v>
      </c>
      <c r="C55" s="324">
        <f t="shared" si="14"/>
        <v>32459112.789999999</v>
      </c>
      <c r="D55" s="74"/>
      <c r="E55" s="170"/>
      <c r="F55" s="74">
        <f t="shared" si="8"/>
        <v>-32459112.789999999</v>
      </c>
      <c r="G55" s="170">
        <f t="shared" si="6"/>
        <v>-32459112.789999999</v>
      </c>
      <c r="H55" s="74">
        <f t="shared" si="11"/>
        <v>0</v>
      </c>
      <c r="I55" s="74">
        <f t="shared" si="11"/>
        <v>0</v>
      </c>
      <c r="J55" s="74">
        <f t="shared" si="12"/>
        <v>0</v>
      </c>
      <c r="K55" s="74">
        <f t="shared" si="9"/>
        <v>0</v>
      </c>
      <c r="L55" s="75">
        <f t="shared" si="4"/>
        <v>0</v>
      </c>
      <c r="M55" s="76"/>
      <c r="N55" s="76"/>
      <c r="O55" s="76"/>
    </row>
    <row r="56" spans="1:15" s="40" customFormat="1" x14ac:dyDescent="0.2">
      <c r="A56" s="323">
        <v>47118</v>
      </c>
      <c r="B56" s="74">
        <f t="shared" si="23"/>
        <v>32459112.789999999</v>
      </c>
      <c r="C56" s="324">
        <f t="shared" si="14"/>
        <v>32459112.789999999</v>
      </c>
      <c r="D56" s="74"/>
      <c r="E56" s="170"/>
      <c r="F56" s="74">
        <f t="shared" si="8"/>
        <v>-32459112.789999999</v>
      </c>
      <c r="G56" s="170">
        <f t="shared" si="6"/>
        <v>-32459112.789999999</v>
      </c>
      <c r="H56" s="74">
        <f>B56+F56</f>
        <v>0</v>
      </c>
      <c r="I56" s="74">
        <f t="shared" si="11"/>
        <v>0</v>
      </c>
      <c r="J56" s="74">
        <f>I56-H56</f>
        <v>0</v>
      </c>
      <c r="K56" s="74">
        <f t="shared" si="9"/>
        <v>0</v>
      </c>
      <c r="L56" s="75">
        <f t="shared" si="4"/>
        <v>0</v>
      </c>
      <c r="M56" s="26"/>
      <c r="N56" s="76"/>
      <c r="O56" s="76"/>
    </row>
    <row r="57" spans="1:15" s="40" customFormat="1" ht="15" customHeight="1" x14ac:dyDescent="0.2">
      <c r="A57" s="323">
        <v>47483</v>
      </c>
      <c r="B57" s="74">
        <f t="shared" si="23"/>
        <v>32459112.789999999</v>
      </c>
      <c r="C57" s="324">
        <f t="shared" si="14"/>
        <v>32459112.789999999</v>
      </c>
      <c r="D57" s="74"/>
      <c r="E57" s="170"/>
      <c r="F57" s="74">
        <f t="shared" si="8"/>
        <v>-32459112.789999999</v>
      </c>
      <c r="G57" s="170">
        <f t="shared" si="6"/>
        <v>-32459112.789999999</v>
      </c>
      <c r="H57" s="74">
        <f>B57+F57</f>
        <v>0</v>
      </c>
      <c r="I57" s="74">
        <f t="shared" si="11"/>
        <v>0</v>
      </c>
      <c r="J57" s="74">
        <f>I57-H57</f>
        <v>0</v>
      </c>
      <c r="K57" s="74">
        <f t="shared" si="9"/>
        <v>0</v>
      </c>
      <c r="L57" s="75">
        <f t="shared" si="4"/>
        <v>0</v>
      </c>
      <c r="M57" s="26"/>
      <c r="N57" s="76"/>
      <c r="O57" s="76"/>
    </row>
    <row r="58" spans="1:15" s="40" customFormat="1" ht="15" customHeight="1" x14ac:dyDescent="0.2">
      <c r="A58" s="323">
        <v>47848</v>
      </c>
      <c r="B58" s="74">
        <f t="shared" si="23"/>
        <v>32459112.789999999</v>
      </c>
      <c r="C58" s="324">
        <f t="shared" si="14"/>
        <v>32459112.789999999</v>
      </c>
      <c r="D58" s="74"/>
      <c r="E58" s="170"/>
      <c r="F58" s="74">
        <f t="shared" si="8"/>
        <v>-32459112.789999999</v>
      </c>
      <c r="G58" s="170">
        <f t="shared" si="6"/>
        <v>-32459112.789999999</v>
      </c>
      <c r="H58" s="74">
        <f t="shared" ref="H58:I66" si="24">B58+F58</f>
        <v>0</v>
      </c>
      <c r="I58" s="74">
        <f t="shared" si="11"/>
        <v>0</v>
      </c>
      <c r="J58" s="74">
        <f t="shared" ref="J58:J66" si="25">I58-H58</f>
        <v>0</v>
      </c>
      <c r="K58" s="74">
        <f t="shared" si="9"/>
        <v>0</v>
      </c>
      <c r="L58" s="75">
        <f t="shared" si="4"/>
        <v>0</v>
      </c>
      <c r="M58" s="26"/>
      <c r="N58" s="76"/>
      <c r="O58" s="76"/>
    </row>
    <row r="59" spans="1:15" s="40" customFormat="1" ht="15" customHeight="1" x14ac:dyDescent="0.2">
      <c r="A59" s="323">
        <v>48213</v>
      </c>
      <c r="B59" s="74">
        <f t="shared" si="23"/>
        <v>32459112.789999999</v>
      </c>
      <c r="C59" s="324">
        <f t="shared" si="14"/>
        <v>32459112.789999999</v>
      </c>
      <c r="D59" s="74"/>
      <c r="E59" s="170"/>
      <c r="F59" s="74">
        <f t="shared" si="8"/>
        <v>-32459112.789999999</v>
      </c>
      <c r="G59" s="170">
        <f t="shared" si="6"/>
        <v>-32459112.789999999</v>
      </c>
      <c r="H59" s="74">
        <f t="shared" si="24"/>
        <v>0</v>
      </c>
      <c r="I59" s="74">
        <f t="shared" si="24"/>
        <v>0</v>
      </c>
      <c r="J59" s="74">
        <f t="shared" si="25"/>
        <v>0</v>
      </c>
      <c r="K59" s="74">
        <f t="shared" si="9"/>
        <v>0</v>
      </c>
      <c r="L59" s="75">
        <f t="shared" si="4"/>
        <v>0</v>
      </c>
      <c r="M59" s="26"/>
      <c r="N59" s="76"/>
      <c r="O59" s="76"/>
    </row>
    <row r="60" spans="1:15" s="40" customFormat="1" outlineLevel="1" x14ac:dyDescent="0.2">
      <c r="A60" s="323">
        <v>48579</v>
      </c>
      <c r="B60" s="74">
        <f t="shared" si="23"/>
        <v>32459112.789999999</v>
      </c>
      <c r="C60" s="324">
        <f t="shared" si="14"/>
        <v>32459112.789999999</v>
      </c>
      <c r="D60" s="74"/>
      <c r="E60" s="170"/>
      <c r="F60" s="74">
        <f t="shared" si="8"/>
        <v>-32459112.789999999</v>
      </c>
      <c r="G60" s="170">
        <f t="shared" si="6"/>
        <v>-32459112.789999999</v>
      </c>
      <c r="H60" s="74">
        <f t="shared" si="24"/>
        <v>0</v>
      </c>
      <c r="I60" s="74">
        <f t="shared" si="24"/>
        <v>0</v>
      </c>
      <c r="J60" s="74">
        <f t="shared" si="25"/>
        <v>0</v>
      </c>
      <c r="K60" s="74">
        <f t="shared" si="9"/>
        <v>0</v>
      </c>
      <c r="L60" s="75">
        <f t="shared" si="4"/>
        <v>0</v>
      </c>
      <c r="M60" s="26"/>
      <c r="N60" s="76"/>
      <c r="O60" s="76"/>
    </row>
    <row r="61" spans="1:15" s="40" customFormat="1" outlineLevel="1" x14ac:dyDescent="0.2">
      <c r="A61" s="323">
        <v>48944</v>
      </c>
      <c r="B61" s="74">
        <f t="shared" si="23"/>
        <v>32459112.789999999</v>
      </c>
      <c r="C61" s="324">
        <f t="shared" si="14"/>
        <v>32459112.789999999</v>
      </c>
      <c r="D61" s="74"/>
      <c r="E61" s="170"/>
      <c r="F61" s="74">
        <f t="shared" si="8"/>
        <v>-32459112.789999999</v>
      </c>
      <c r="G61" s="170">
        <f t="shared" si="6"/>
        <v>-32459112.789999999</v>
      </c>
      <c r="H61" s="74">
        <f t="shared" si="24"/>
        <v>0</v>
      </c>
      <c r="I61" s="74">
        <f t="shared" si="24"/>
        <v>0</v>
      </c>
      <c r="J61" s="74">
        <f t="shared" si="25"/>
        <v>0</v>
      </c>
      <c r="K61" s="74">
        <f t="shared" si="9"/>
        <v>0</v>
      </c>
      <c r="L61" s="75">
        <f t="shared" si="4"/>
        <v>0</v>
      </c>
      <c r="M61" s="26"/>
      <c r="N61" s="76"/>
      <c r="O61" s="76"/>
    </row>
    <row r="62" spans="1:15" s="40" customFormat="1" outlineLevel="1" x14ac:dyDescent="0.2">
      <c r="A62" s="323">
        <v>49309</v>
      </c>
      <c r="B62" s="74">
        <f t="shared" si="23"/>
        <v>32459112.789999999</v>
      </c>
      <c r="C62" s="324">
        <f t="shared" si="14"/>
        <v>32459112.789999999</v>
      </c>
      <c r="D62" s="74"/>
      <c r="E62" s="170"/>
      <c r="F62" s="74">
        <f t="shared" si="8"/>
        <v>-32459112.789999999</v>
      </c>
      <c r="G62" s="170">
        <f t="shared" si="6"/>
        <v>-32459112.789999999</v>
      </c>
      <c r="H62" s="74">
        <f t="shared" si="24"/>
        <v>0</v>
      </c>
      <c r="I62" s="74">
        <f t="shared" si="24"/>
        <v>0</v>
      </c>
      <c r="J62" s="74">
        <f t="shared" si="25"/>
        <v>0</v>
      </c>
      <c r="K62" s="74">
        <f t="shared" si="9"/>
        <v>0</v>
      </c>
      <c r="L62" s="75">
        <f t="shared" si="4"/>
        <v>0</v>
      </c>
      <c r="M62" s="26"/>
      <c r="N62" s="76"/>
      <c r="O62" s="76"/>
    </row>
    <row r="63" spans="1:15" s="40" customFormat="1" outlineLevel="1" x14ac:dyDescent="0.2">
      <c r="A63" s="323">
        <v>49674</v>
      </c>
      <c r="B63" s="74">
        <f t="shared" si="23"/>
        <v>32459112.789999999</v>
      </c>
      <c r="C63" s="324">
        <f t="shared" si="14"/>
        <v>32459112.789999999</v>
      </c>
      <c r="D63" s="74"/>
      <c r="E63" s="170"/>
      <c r="F63" s="74">
        <f t="shared" si="8"/>
        <v>-32459112.789999999</v>
      </c>
      <c r="G63" s="170">
        <f t="shared" si="6"/>
        <v>-32459112.789999999</v>
      </c>
      <c r="H63" s="74">
        <f t="shared" si="24"/>
        <v>0</v>
      </c>
      <c r="I63" s="74">
        <f t="shared" si="24"/>
        <v>0</v>
      </c>
      <c r="J63" s="74">
        <f t="shared" si="25"/>
        <v>0</v>
      </c>
      <c r="K63" s="74">
        <f t="shared" si="9"/>
        <v>0</v>
      </c>
      <c r="L63" s="75">
        <f t="shared" si="4"/>
        <v>0</v>
      </c>
      <c r="M63" s="26"/>
      <c r="N63" s="76"/>
      <c r="O63" s="76"/>
    </row>
    <row r="64" spans="1:15" s="40" customFormat="1" outlineLevel="1" x14ac:dyDescent="0.2">
      <c r="A64" s="323">
        <v>50040</v>
      </c>
      <c r="B64" s="74">
        <f t="shared" si="23"/>
        <v>32459112.789999999</v>
      </c>
      <c r="C64" s="324">
        <f t="shared" si="14"/>
        <v>32459112.789999999</v>
      </c>
      <c r="D64" s="74"/>
      <c r="E64" s="170"/>
      <c r="F64" s="74">
        <f t="shared" si="8"/>
        <v>-32459112.789999999</v>
      </c>
      <c r="G64" s="170">
        <f t="shared" si="6"/>
        <v>-32459112.789999999</v>
      </c>
      <c r="H64" s="74">
        <f t="shared" si="24"/>
        <v>0</v>
      </c>
      <c r="I64" s="74">
        <f>C64+G64</f>
        <v>0</v>
      </c>
      <c r="J64" s="74">
        <f t="shared" si="25"/>
        <v>0</v>
      </c>
      <c r="K64" s="74">
        <f t="shared" si="9"/>
        <v>0</v>
      </c>
      <c r="L64" s="75">
        <f t="shared" si="4"/>
        <v>0</v>
      </c>
      <c r="M64" s="26"/>
      <c r="N64" s="76"/>
      <c r="O64" s="76"/>
    </row>
    <row r="65" spans="1:15" s="40" customFormat="1" outlineLevel="1" x14ac:dyDescent="0.2">
      <c r="A65" s="323">
        <v>50405</v>
      </c>
      <c r="B65" s="74">
        <f t="shared" si="23"/>
        <v>32459112.789999999</v>
      </c>
      <c r="C65" s="324">
        <f t="shared" si="14"/>
        <v>32459112.789999999</v>
      </c>
      <c r="D65" s="74"/>
      <c r="E65" s="170"/>
      <c r="F65" s="74">
        <f t="shared" si="8"/>
        <v>-32459112.789999999</v>
      </c>
      <c r="G65" s="170">
        <f t="shared" si="6"/>
        <v>-32459112.789999999</v>
      </c>
      <c r="H65" s="74">
        <f t="shared" si="24"/>
        <v>0</v>
      </c>
      <c r="I65" s="74">
        <f t="shared" si="24"/>
        <v>0</v>
      </c>
      <c r="J65" s="74">
        <f t="shared" si="25"/>
        <v>0</v>
      </c>
      <c r="K65" s="74">
        <f t="shared" si="9"/>
        <v>0</v>
      </c>
      <c r="L65" s="75">
        <f t="shared" si="4"/>
        <v>0</v>
      </c>
      <c r="M65" s="26"/>
      <c r="N65" s="76"/>
      <c r="O65" s="76"/>
    </row>
    <row r="66" spans="1:15" s="40" customFormat="1" outlineLevel="1" x14ac:dyDescent="0.2">
      <c r="A66" s="323">
        <v>50770</v>
      </c>
      <c r="B66" s="74">
        <f t="shared" si="23"/>
        <v>32459112.789999999</v>
      </c>
      <c r="C66" s="324">
        <f t="shared" si="14"/>
        <v>32459112.789999999</v>
      </c>
      <c r="D66" s="74"/>
      <c r="E66" s="170"/>
      <c r="F66" s="74">
        <f t="shared" si="8"/>
        <v>-32459112.789999999</v>
      </c>
      <c r="G66" s="170">
        <f t="shared" si="6"/>
        <v>-32459112.789999999</v>
      </c>
      <c r="H66" s="74">
        <f t="shared" si="24"/>
        <v>0</v>
      </c>
      <c r="I66" s="74">
        <f t="shared" si="24"/>
        <v>0</v>
      </c>
      <c r="J66" s="74">
        <f t="shared" si="25"/>
        <v>0</v>
      </c>
      <c r="K66" s="74">
        <f t="shared" si="9"/>
        <v>0</v>
      </c>
      <c r="L66" s="75">
        <f t="shared" si="4"/>
        <v>0</v>
      </c>
      <c r="M66" s="26"/>
      <c r="N66" s="76"/>
      <c r="O66" s="76"/>
    </row>
    <row r="67" spans="1:15" x14ac:dyDescent="0.2">
      <c r="A67" s="86" t="s">
        <v>4</v>
      </c>
      <c r="B67" s="87"/>
      <c r="C67" s="87"/>
      <c r="D67" s="87"/>
      <c r="E67" s="87"/>
      <c r="F67" s="87"/>
      <c r="G67" s="249"/>
      <c r="H67" s="87"/>
      <c r="I67" s="87"/>
      <c r="J67" s="87"/>
      <c r="K67" s="87"/>
      <c r="L67" s="318"/>
      <c r="M67" s="26"/>
      <c r="N67" s="73"/>
      <c r="O67" s="73"/>
    </row>
    <row r="68" spans="1:15" x14ac:dyDescent="0.2">
      <c r="A68" s="79" t="s">
        <v>102</v>
      </c>
      <c r="B68" s="80"/>
      <c r="C68" s="80"/>
      <c r="D68" s="81">
        <f>SUM(D30:D41)</f>
        <v>10819704.263333334</v>
      </c>
      <c r="E68" s="81">
        <f>SUM(E30:E41)</f>
        <v>7930071.0011020871</v>
      </c>
      <c r="F68" s="80"/>
      <c r="G68" s="250"/>
      <c r="H68" s="80"/>
      <c r="I68" s="80"/>
      <c r="J68" s="80"/>
      <c r="K68" s="80"/>
      <c r="L68" s="319">
        <f>SUM(L30:L41)</f>
        <v>606822.98506855906</v>
      </c>
      <c r="M68" s="26"/>
      <c r="N68" s="73"/>
      <c r="O68" s="73"/>
    </row>
    <row r="69" spans="1:15" x14ac:dyDescent="0.2">
      <c r="A69" s="78" t="s">
        <v>103</v>
      </c>
      <c r="B69" s="82">
        <f>(B29+B41+SUM(B30:B40)*2)/24</f>
        <v>32459112.790000003</v>
      </c>
      <c r="C69" s="82">
        <f>(C29+C41+SUM(C30:C40)*2)/24</f>
        <v>32459112.790000003</v>
      </c>
      <c r="D69" s="83"/>
      <c r="E69" s="84"/>
      <c r="F69" s="82">
        <f>(F29+F41+SUM(F30:F40)*2)/24</f>
        <v>-14426272.351111112</v>
      </c>
      <c r="G69" s="82">
        <f>(G29+G41+SUM(G30:G40)*2)/24</f>
        <v>-13368458.820388904</v>
      </c>
      <c r="H69" s="82">
        <f>(H29+H41+SUM(H30:H40)*2)/24</f>
        <v>18032840.438888885</v>
      </c>
      <c r="I69" s="82">
        <f>(I29+I41+SUM(I30:I40)*2)/24</f>
        <v>19090653.969611093</v>
      </c>
      <c r="J69" s="84"/>
      <c r="K69" s="82">
        <f>(K29+K41+SUM(K30:K40)*2)/24</f>
        <v>-222140.84145166396</v>
      </c>
      <c r="L69" s="85"/>
      <c r="M69" s="26"/>
      <c r="N69" s="73"/>
    </row>
    <row r="70" spans="1:15" x14ac:dyDescent="0.2">
      <c r="A70" s="26"/>
      <c r="B70" s="26"/>
      <c r="C70" s="26"/>
      <c r="D70" s="88"/>
      <c r="E70" s="26"/>
      <c r="F70" s="26"/>
      <c r="G70" s="26"/>
      <c r="H70" s="26"/>
      <c r="I70" s="26"/>
      <c r="J70" s="26"/>
      <c r="K70" s="26"/>
      <c r="L70" s="26"/>
      <c r="M70" s="26"/>
    </row>
    <row r="71" spans="1:15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5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</sheetData>
  <pageMargins left="0.25" right="0.25" top="0.25" bottom="0.25" header="0.3" footer="0.3"/>
  <pageSetup scale="61" fitToWidth="0" fitToHeight="0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C37" sqref="C37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 x14ac:dyDescent="0.25">
      <c r="A2" s="90"/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91" t="s">
        <v>51</v>
      </c>
      <c r="B3" s="92"/>
      <c r="C3" s="93"/>
      <c r="D3" s="93"/>
      <c r="E3" s="93"/>
      <c r="F3" s="93"/>
      <c r="G3" s="93"/>
      <c r="H3" s="93"/>
      <c r="I3" s="93"/>
    </row>
    <row r="4" spans="1:9" x14ac:dyDescent="0.25">
      <c r="A4" s="91" t="str">
        <f>+'Common Lead'!A6</f>
        <v>GET TO ZERO</v>
      </c>
      <c r="B4" s="92"/>
      <c r="C4" s="93"/>
      <c r="D4" s="93"/>
      <c r="E4" s="93"/>
      <c r="F4" s="93"/>
      <c r="G4" s="93"/>
      <c r="H4" s="93"/>
      <c r="I4" s="93"/>
    </row>
    <row r="5" spans="1:9" x14ac:dyDescent="0.25">
      <c r="A5" s="91" t="s">
        <v>82</v>
      </c>
      <c r="B5" s="92"/>
      <c r="C5" s="93"/>
      <c r="D5" s="93"/>
      <c r="E5" s="93"/>
      <c r="F5" s="93"/>
      <c r="G5" s="93"/>
      <c r="H5" s="93"/>
      <c r="I5" s="93"/>
    </row>
    <row r="6" spans="1:9" x14ac:dyDescent="0.25">
      <c r="A6" s="91" t="s">
        <v>84</v>
      </c>
      <c r="B6" s="92"/>
      <c r="C6" s="93"/>
      <c r="D6" s="93"/>
      <c r="E6" s="93"/>
      <c r="F6" s="93"/>
      <c r="G6" s="93"/>
      <c r="H6" s="93"/>
      <c r="I6" s="93"/>
    </row>
    <row r="7" spans="1:9" x14ac:dyDescent="0.25">
      <c r="A7" s="91"/>
      <c r="B7" s="94"/>
      <c r="C7" s="93"/>
      <c r="D7" s="93"/>
      <c r="E7" s="93"/>
      <c r="F7" s="93"/>
      <c r="G7" s="93"/>
      <c r="H7" s="93"/>
      <c r="I7" s="93"/>
    </row>
    <row r="8" spans="1:9" x14ac:dyDescent="0.25">
      <c r="A8" s="95"/>
      <c r="B8" s="96" t="s">
        <v>52</v>
      </c>
      <c r="C8" s="97"/>
      <c r="D8" s="97"/>
      <c r="E8" s="97"/>
      <c r="F8" s="97"/>
      <c r="G8" s="97"/>
      <c r="H8" s="97"/>
      <c r="I8" s="98"/>
    </row>
    <row r="9" spans="1:9" x14ac:dyDescent="0.25">
      <c r="A9" s="99"/>
      <c r="B9" s="100"/>
      <c r="C9" s="97" t="s">
        <v>53</v>
      </c>
      <c r="D9" s="101"/>
      <c r="E9" s="102"/>
      <c r="F9" s="103" t="s">
        <v>54</v>
      </c>
      <c r="G9" s="101"/>
      <c r="H9" s="101"/>
      <c r="I9" s="104"/>
    </row>
    <row r="10" spans="1:9" x14ac:dyDescent="0.25">
      <c r="A10" s="99"/>
      <c r="B10" s="105"/>
      <c r="C10" s="106"/>
      <c r="D10" s="106"/>
      <c r="E10" s="107" t="s">
        <v>55</v>
      </c>
      <c r="F10" s="108"/>
      <c r="G10" s="109"/>
      <c r="H10" s="109"/>
      <c r="I10" s="110"/>
    </row>
    <row r="11" spans="1:9" x14ac:dyDescent="0.25">
      <c r="A11" s="99" t="s">
        <v>56</v>
      </c>
      <c r="B11" s="111" t="s">
        <v>57</v>
      </c>
      <c r="C11" s="112" t="s">
        <v>58</v>
      </c>
      <c r="D11" s="112" t="s">
        <v>59</v>
      </c>
      <c r="E11" s="107" t="s">
        <v>60</v>
      </c>
      <c r="F11" s="111" t="s">
        <v>61</v>
      </c>
      <c r="G11" s="112" t="s">
        <v>62</v>
      </c>
      <c r="H11" s="112" t="s">
        <v>63</v>
      </c>
      <c r="I11" s="107" t="s">
        <v>64</v>
      </c>
    </row>
    <row r="12" spans="1:9" x14ac:dyDescent="0.25">
      <c r="A12" s="99"/>
      <c r="B12" s="113" t="s">
        <v>58</v>
      </c>
      <c r="C12" s="114" t="s">
        <v>65</v>
      </c>
      <c r="D12" s="114" t="s">
        <v>50</v>
      </c>
      <c r="E12" s="115" t="s">
        <v>3</v>
      </c>
      <c r="F12" s="113" t="s">
        <v>66</v>
      </c>
      <c r="G12" s="114" t="s">
        <v>67</v>
      </c>
      <c r="H12" s="114" t="s">
        <v>68</v>
      </c>
      <c r="I12" s="115" t="s">
        <v>69</v>
      </c>
    </row>
    <row r="13" spans="1:9" x14ac:dyDescent="0.25">
      <c r="A13" s="99"/>
      <c r="B13" s="116" t="s">
        <v>70</v>
      </c>
      <c r="C13" s="117" t="s">
        <v>71</v>
      </c>
      <c r="D13" s="118" t="s">
        <v>72</v>
      </c>
      <c r="E13" s="119" t="s">
        <v>73</v>
      </c>
      <c r="F13" s="116" t="s">
        <v>74</v>
      </c>
      <c r="G13" s="120" t="s">
        <v>75</v>
      </c>
      <c r="H13" s="121" t="s">
        <v>76</v>
      </c>
      <c r="I13" s="119" t="s">
        <v>77</v>
      </c>
    </row>
    <row r="14" spans="1:9" x14ac:dyDescent="0.25">
      <c r="A14" s="122"/>
      <c r="B14" s="123"/>
      <c r="C14" s="124"/>
      <c r="D14" s="125"/>
      <c r="E14" s="126" t="s">
        <v>78</v>
      </c>
      <c r="F14" s="123" t="s">
        <v>79</v>
      </c>
      <c r="G14" s="127"/>
      <c r="H14" s="128"/>
      <c r="I14" s="126" t="s">
        <v>80</v>
      </c>
    </row>
    <row r="15" spans="1:9" x14ac:dyDescent="0.25">
      <c r="A15" s="95">
        <f>ROW()</f>
        <v>15</v>
      </c>
      <c r="B15" s="129"/>
      <c r="C15" s="130"/>
      <c r="D15" s="131"/>
      <c r="E15" s="132"/>
      <c r="F15" s="133"/>
      <c r="G15" s="134"/>
      <c r="H15" s="131"/>
      <c r="I15" s="132"/>
    </row>
    <row r="16" spans="1:9" x14ac:dyDescent="0.25">
      <c r="A16" s="99">
        <f>ROW()</f>
        <v>16</v>
      </c>
      <c r="B16" s="129"/>
      <c r="C16" s="130">
        <v>43951</v>
      </c>
      <c r="D16" s="131"/>
      <c r="E16" s="135">
        <f>+' GTZ Additions'!K29</f>
        <v>81270.65108261547</v>
      </c>
      <c r="F16" s="133"/>
      <c r="G16" s="134"/>
      <c r="H16" s="131"/>
      <c r="I16" s="135">
        <f>E16</f>
        <v>81270.65108261547</v>
      </c>
    </row>
    <row r="17" spans="1:9" x14ac:dyDescent="0.25">
      <c r="A17" s="99">
        <f>ROW()</f>
        <v>17</v>
      </c>
      <c r="B17" s="129">
        <v>31</v>
      </c>
      <c r="C17" s="130">
        <v>43982</v>
      </c>
      <c r="D17" s="131">
        <f>+' GTZ Additions'!L30</f>
        <v>50568.582089045485</v>
      </c>
      <c r="E17" s="171">
        <f>+E16-D17</f>
        <v>30702.068993569985</v>
      </c>
      <c r="F17" s="133">
        <f>G17-SUM(B$16:$B17)+1</f>
        <v>335</v>
      </c>
      <c r="G17" s="134">
        <f>B29</f>
        <v>365</v>
      </c>
      <c r="H17" s="131">
        <f>+F17/G17*D17</f>
        <v>46412.260273507498</v>
      </c>
      <c r="I17" s="132">
        <f t="shared" ref="I17:I28" si="0">+I16-H17</f>
        <v>34858.390809107972</v>
      </c>
    </row>
    <row r="18" spans="1:9" x14ac:dyDescent="0.25">
      <c r="A18" s="99">
        <f>ROW()</f>
        <v>18</v>
      </c>
      <c r="B18" s="129">
        <v>30</v>
      </c>
      <c r="C18" s="130">
        <v>44012</v>
      </c>
      <c r="D18" s="131">
        <f>+' GTZ Additions'!L31</f>
        <v>50568.582089047835</v>
      </c>
      <c r="E18" s="171">
        <f t="shared" ref="E18:E28" si="1">+E17-D18</f>
        <v>-19866.513095477851</v>
      </c>
      <c r="F18" s="133">
        <f>G18-SUM(B$16:$B18)+1</f>
        <v>305</v>
      </c>
      <c r="G18" s="134">
        <f>G17</f>
        <v>365</v>
      </c>
      <c r="H18" s="131">
        <f t="shared" ref="H18:H28" si="2">+F18/G18*D18</f>
        <v>42255.938457971482</v>
      </c>
      <c r="I18" s="132">
        <f t="shared" si="0"/>
        <v>-7397.5476488635104</v>
      </c>
    </row>
    <row r="19" spans="1:9" x14ac:dyDescent="0.25">
      <c r="A19" s="99">
        <f>ROW()</f>
        <v>19</v>
      </c>
      <c r="B19" s="129">
        <v>31</v>
      </c>
      <c r="C19" s="130">
        <v>44043</v>
      </c>
      <c r="D19" s="131">
        <f>+' GTZ Additions'!L32</f>
        <v>50568.582089046278</v>
      </c>
      <c r="E19" s="171">
        <f t="shared" si="1"/>
        <v>-70435.095184524136</v>
      </c>
      <c r="F19" s="133">
        <f>G19-SUM(B$16:$B19)+1</f>
        <v>274</v>
      </c>
      <c r="G19" s="134">
        <f t="shared" ref="G19:G28" si="3">G18</f>
        <v>365</v>
      </c>
      <c r="H19" s="131">
        <f t="shared" si="2"/>
        <v>37961.072581914195</v>
      </c>
      <c r="I19" s="132">
        <f t="shared" si="0"/>
        <v>-45358.620230777706</v>
      </c>
    </row>
    <row r="20" spans="1:9" x14ac:dyDescent="0.25">
      <c r="A20" s="99">
        <f>ROW()</f>
        <v>20</v>
      </c>
      <c r="B20" s="129">
        <v>31</v>
      </c>
      <c r="C20" s="130">
        <v>44074</v>
      </c>
      <c r="D20" s="131">
        <f>+' GTZ Additions'!L33</f>
        <v>50568.58208904705</v>
      </c>
      <c r="E20" s="171">
        <f t="shared" si="1"/>
        <v>-121003.67727357119</v>
      </c>
      <c r="F20" s="133">
        <f>G20-SUM(B$16:$B20)+1</f>
        <v>243</v>
      </c>
      <c r="G20" s="134">
        <f t="shared" si="3"/>
        <v>365</v>
      </c>
      <c r="H20" s="131">
        <f t="shared" si="2"/>
        <v>33666.20670585872</v>
      </c>
      <c r="I20" s="132">
        <f t="shared" si="0"/>
        <v>-79024.826936636426</v>
      </c>
    </row>
    <row r="21" spans="1:9" x14ac:dyDescent="0.25">
      <c r="A21" s="99">
        <f>ROW()</f>
        <v>21</v>
      </c>
      <c r="B21" s="129">
        <v>30</v>
      </c>
      <c r="C21" s="130">
        <v>44104</v>
      </c>
      <c r="D21" s="131">
        <f>+' GTZ Additions'!L34</f>
        <v>50568.582089045507</v>
      </c>
      <c r="E21" s="171">
        <f t="shared" si="1"/>
        <v>-171572.25936261669</v>
      </c>
      <c r="F21" s="133">
        <f>G21-SUM(B$16:$B21)+1</f>
        <v>213</v>
      </c>
      <c r="G21" s="134">
        <f t="shared" si="3"/>
        <v>365</v>
      </c>
      <c r="H21" s="131">
        <f t="shared" si="2"/>
        <v>29509.88489031971</v>
      </c>
      <c r="I21" s="132">
        <f t="shared" si="0"/>
        <v>-108534.71182695613</v>
      </c>
    </row>
    <row r="22" spans="1:9" x14ac:dyDescent="0.25">
      <c r="A22" s="99">
        <f>ROW()</f>
        <v>22</v>
      </c>
      <c r="B22" s="129">
        <v>31</v>
      </c>
      <c r="C22" s="130">
        <v>44135</v>
      </c>
      <c r="D22" s="131">
        <f>+' GTZ Additions'!L35</f>
        <v>50568.582089047821</v>
      </c>
      <c r="E22" s="171">
        <f t="shared" si="1"/>
        <v>-222140.84145166451</v>
      </c>
      <c r="F22" s="133">
        <f>G22-SUM(B$16:$B22)+1</f>
        <v>182</v>
      </c>
      <c r="G22" s="134">
        <f t="shared" si="3"/>
        <v>365</v>
      </c>
      <c r="H22" s="131">
        <f t="shared" si="2"/>
        <v>25215.019014264941</v>
      </c>
      <c r="I22" s="132">
        <f t="shared" si="0"/>
        <v>-133749.73084122108</v>
      </c>
    </row>
    <row r="23" spans="1:9" x14ac:dyDescent="0.25">
      <c r="A23" s="99">
        <f>ROW()</f>
        <v>23</v>
      </c>
      <c r="B23" s="129">
        <v>30</v>
      </c>
      <c r="C23" s="130">
        <v>44165</v>
      </c>
      <c r="D23" s="131">
        <f>+' GTZ Additions'!L36</f>
        <v>50568.582089046307</v>
      </c>
      <c r="E23" s="171">
        <f t="shared" si="1"/>
        <v>-272709.42354071082</v>
      </c>
      <c r="F23" s="133">
        <f>G23-SUM(B$16:$B23)+1</f>
        <v>152</v>
      </c>
      <c r="G23" s="134">
        <f t="shared" si="3"/>
        <v>365</v>
      </c>
      <c r="H23" s="131">
        <f t="shared" si="2"/>
        <v>21058.697198726135</v>
      </c>
      <c r="I23" s="132">
        <f t="shared" si="0"/>
        <v>-154808.42803994723</v>
      </c>
    </row>
    <row r="24" spans="1:9" x14ac:dyDescent="0.25">
      <c r="A24" s="99">
        <f>ROW()</f>
        <v>24</v>
      </c>
      <c r="B24" s="129">
        <v>31</v>
      </c>
      <c r="C24" s="130">
        <v>44196</v>
      </c>
      <c r="D24" s="131">
        <f>+' GTZ Additions'!L37</f>
        <v>50568.582089046657</v>
      </c>
      <c r="E24" s="171">
        <f t="shared" si="1"/>
        <v>-323278.00562975748</v>
      </c>
      <c r="F24" s="133">
        <f>G24-SUM(B$16:$B24)+1</f>
        <v>121</v>
      </c>
      <c r="G24" s="134">
        <f t="shared" si="3"/>
        <v>365</v>
      </c>
      <c r="H24" s="131">
        <f t="shared" si="2"/>
        <v>16763.831322670263</v>
      </c>
      <c r="I24" s="132">
        <f t="shared" si="0"/>
        <v>-171572.25936261751</v>
      </c>
    </row>
    <row r="25" spans="1:9" x14ac:dyDescent="0.25">
      <c r="A25" s="99">
        <f>ROW()</f>
        <v>25</v>
      </c>
      <c r="B25" s="129">
        <v>31</v>
      </c>
      <c r="C25" s="130">
        <v>44227</v>
      </c>
      <c r="D25" s="131">
        <f>+' GTZ Additions'!L38</f>
        <v>50568.582089045842</v>
      </c>
      <c r="E25" s="171">
        <f t="shared" si="1"/>
        <v>-373846.58771880332</v>
      </c>
      <c r="F25" s="133">
        <f>G25-SUM(B$16:$B25)+1</f>
        <v>90</v>
      </c>
      <c r="G25" s="134">
        <f t="shared" si="3"/>
        <v>365</v>
      </c>
      <c r="H25" s="131">
        <f t="shared" si="2"/>
        <v>12468.965446614042</v>
      </c>
      <c r="I25" s="132">
        <f t="shared" si="0"/>
        <v>-184041.22480923156</v>
      </c>
    </row>
    <row r="26" spans="1:9" x14ac:dyDescent="0.25">
      <c r="A26" s="99">
        <f>ROW()</f>
        <v>26</v>
      </c>
      <c r="B26" s="129">
        <v>28</v>
      </c>
      <c r="C26" s="130">
        <v>44255</v>
      </c>
      <c r="D26" s="131">
        <f>+' GTZ Additions'!L39</f>
        <v>50568.582089047064</v>
      </c>
      <c r="E26" s="171">
        <f t="shared" si="1"/>
        <v>-424415.16980785038</v>
      </c>
      <c r="F26" s="133">
        <f>G26-SUM(B$16:$B26)+1</f>
        <v>62</v>
      </c>
      <c r="G26" s="134">
        <f t="shared" si="3"/>
        <v>365</v>
      </c>
      <c r="H26" s="131">
        <f t="shared" si="2"/>
        <v>8589.731752112104</v>
      </c>
      <c r="I26" s="132">
        <f t="shared" si="0"/>
        <v>-192630.95656134366</v>
      </c>
    </row>
    <row r="27" spans="1:9" x14ac:dyDescent="0.25">
      <c r="A27" s="99">
        <f>ROW()</f>
        <v>27</v>
      </c>
      <c r="B27" s="129">
        <v>31</v>
      </c>
      <c r="C27" s="130">
        <v>44286</v>
      </c>
      <c r="D27" s="131">
        <f>+' GTZ Additions'!L40</f>
        <v>50568.582089046715</v>
      </c>
      <c r="E27" s="171">
        <f t="shared" si="1"/>
        <v>-474983.7518968971</v>
      </c>
      <c r="F27" s="133">
        <f>G27-SUM(B$16:$B27)+1</f>
        <v>31</v>
      </c>
      <c r="G27" s="134">
        <f t="shared" si="3"/>
        <v>365</v>
      </c>
      <c r="H27" s="131">
        <f t="shared" si="2"/>
        <v>4294.865876056022</v>
      </c>
      <c r="I27" s="132">
        <f t="shared" si="0"/>
        <v>-196925.82243739968</v>
      </c>
    </row>
    <row r="28" spans="1:9" x14ac:dyDescent="0.25">
      <c r="A28" s="99">
        <f>ROW()</f>
        <v>28</v>
      </c>
      <c r="B28" s="129">
        <v>30</v>
      </c>
      <c r="C28" s="130">
        <v>44316</v>
      </c>
      <c r="D28" s="131">
        <f>+' GTZ Additions'!L41</f>
        <v>50568.582089046598</v>
      </c>
      <c r="E28" s="171">
        <f t="shared" si="1"/>
        <v>-525552.3339859437</v>
      </c>
      <c r="F28" s="133">
        <f>G28-SUM(B$16:$B28)+1</f>
        <v>1</v>
      </c>
      <c r="G28" s="134">
        <f t="shared" si="3"/>
        <v>365</v>
      </c>
      <c r="H28" s="131">
        <f t="shared" si="2"/>
        <v>138.54406051793589</v>
      </c>
      <c r="I28" s="132">
        <f t="shared" si="0"/>
        <v>-197064.36649791762</v>
      </c>
    </row>
    <row r="29" spans="1:9" ht="15.75" thickBot="1" x14ac:dyDescent="0.3">
      <c r="A29" s="99">
        <f>ROW()</f>
        <v>29</v>
      </c>
      <c r="B29" s="136">
        <f>SUM(B17:B28)</f>
        <v>365</v>
      </c>
      <c r="C29" s="106"/>
      <c r="D29" s="137">
        <f>SUM(D17:D28)</f>
        <v>606822.98506855906</v>
      </c>
      <c r="E29" s="172">
        <f>+' GTZ Additions'!K41-E28</f>
        <v>0</v>
      </c>
      <c r="F29" s="105"/>
      <c r="G29" s="138"/>
      <c r="H29" s="137">
        <f>SUM(H17:H28)</f>
        <v>278335.01758053305</v>
      </c>
      <c r="I29" s="110"/>
    </row>
    <row r="30" spans="1:9" ht="16.5" thickTop="1" thickBot="1" x14ac:dyDescent="0.3">
      <c r="A30" s="99">
        <f>ROW()</f>
        <v>30</v>
      </c>
      <c r="B30" s="105"/>
      <c r="C30" s="139"/>
      <c r="D30" s="140"/>
      <c r="E30" s="132" t="s">
        <v>101</v>
      </c>
      <c r="F30" s="105"/>
      <c r="G30" s="106"/>
      <c r="H30" s="141"/>
      <c r="I30" s="110"/>
    </row>
    <row r="31" spans="1:9" ht="15.75" thickBot="1" x14ac:dyDescent="0.3">
      <c r="A31" s="99">
        <f>ROW()</f>
        <v>31</v>
      </c>
      <c r="B31" s="105" t="s">
        <v>81</v>
      </c>
      <c r="C31" s="106"/>
      <c r="D31" s="131"/>
      <c r="E31" s="142">
        <f>(E16+E28+SUM(E17:E27)*2)/24</f>
        <v>-222140.84145166396</v>
      </c>
      <c r="F31" s="105"/>
      <c r="G31" s="106"/>
      <c r="H31" s="106"/>
      <c r="I31" s="143">
        <f>(I16+I28+SUM(I17:I27)*2)/24</f>
        <v>-108090.21629946148</v>
      </c>
    </row>
    <row r="32" spans="1:9" ht="15.75" thickTop="1" x14ac:dyDescent="0.25">
      <c r="A32" s="122">
        <f>ROW()</f>
        <v>32</v>
      </c>
      <c r="B32" s="144"/>
      <c r="C32" s="145"/>
      <c r="D32" s="146"/>
      <c r="E32" s="147"/>
      <c r="F32" s="144"/>
      <c r="G32" s="145"/>
      <c r="H32" s="145"/>
      <c r="I32" s="148"/>
    </row>
    <row r="33" spans="1:9" x14ac:dyDescent="0.25">
      <c r="A33" s="92"/>
      <c r="B33" s="92"/>
      <c r="C33" s="92"/>
      <c r="D33" s="92"/>
      <c r="E33" s="92"/>
      <c r="F33" s="92"/>
      <c r="G33" s="92"/>
      <c r="H33" s="92"/>
      <c r="I33" s="92"/>
    </row>
    <row r="34" spans="1:9" x14ac:dyDescent="0.25">
      <c r="A34" s="90"/>
      <c r="B34" s="90"/>
      <c r="C34" s="90"/>
      <c r="D34" s="90"/>
      <c r="E34" s="90"/>
      <c r="F34" s="90"/>
      <c r="G34" s="90"/>
      <c r="H34" s="90"/>
      <c r="I34" s="90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AJ8" sqref="AJ8"/>
    </sheetView>
  </sheetViews>
  <sheetFormatPr defaultColWidth="9.140625" defaultRowHeight="12.75" x14ac:dyDescent="0.2"/>
  <cols>
    <col min="1" max="1" width="9.140625" style="162"/>
    <col min="2" max="2" width="1.5703125" style="162" customWidth="1"/>
    <col min="3" max="3" width="8.140625" style="162" bestFit="1" customWidth="1"/>
    <col min="4" max="4" width="12.42578125" style="162" customWidth="1"/>
    <col min="5" max="5" width="1.5703125" style="162" customWidth="1"/>
    <col min="6" max="6" width="8.140625" style="162" bestFit="1" customWidth="1"/>
    <col min="7" max="7" width="9.28515625" style="162" customWidth="1"/>
    <col min="8" max="8" width="1.5703125" style="162" customWidth="1"/>
    <col min="9" max="9" width="8.140625" style="162" bestFit="1" customWidth="1"/>
    <col min="10" max="10" width="8.28515625" style="162" customWidth="1"/>
    <col min="11" max="11" width="1.5703125" style="162" customWidth="1"/>
    <col min="12" max="13" width="8.140625" style="162" bestFit="1" customWidth="1"/>
    <col min="14" max="14" width="1.5703125" style="162" customWidth="1"/>
    <col min="15" max="16" width="8.140625" style="162" bestFit="1" customWidth="1"/>
    <col min="17" max="17" width="1.5703125" style="162" customWidth="1"/>
    <col min="18" max="19" width="8.140625" style="162" bestFit="1" customWidth="1"/>
    <col min="20" max="20" width="1.5703125" style="162" customWidth="1"/>
    <col min="21" max="22" width="8.140625" style="162" bestFit="1" customWidth="1"/>
    <col min="23" max="23" width="1.5703125" style="162" customWidth="1"/>
    <col min="24" max="25" width="8.140625" style="162" bestFit="1" customWidth="1"/>
    <col min="26" max="26" width="1.5703125" style="162" customWidth="1"/>
    <col min="27" max="28" width="8.140625" style="162" bestFit="1" customWidth="1"/>
    <col min="29" max="29" width="1.5703125" style="162" customWidth="1"/>
    <col min="30" max="31" width="9.140625" style="162"/>
    <col min="32" max="32" width="1.5703125" style="162" customWidth="1"/>
    <col min="33" max="34" width="9.140625" style="162"/>
    <col min="35" max="35" width="1" style="162" customWidth="1"/>
    <col min="36" max="37" width="9.140625" style="162"/>
    <col min="38" max="38" width="2.140625" style="162" customWidth="1"/>
    <col min="39" max="16384" width="9.140625" style="162"/>
  </cols>
  <sheetData>
    <row r="1" spans="1:144" x14ac:dyDescent="0.2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</row>
    <row r="2" spans="1:144" x14ac:dyDescent="0.2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3" spans="1:144" x14ac:dyDescent="0.2">
      <c r="A3" s="163"/>
    </row>
    <row r="4" spans="1:144" x14ac:dyDescent="0.2">
      <c r="A4" s="163" t="s">
        <v>85</v>
      </c>
    </row>
    <row r="5" spans="1:144" x14ac:dyDescent="0.2">
      <c r="C5" s="164" t="s">
        <v>86</v>
      </c>
      <c r="F5" s="164" t="s">
        <v>86</v>
      </c>
      <c r="I5" s="164" t="s">
        <v>86</v>
      </c>
      <c r="L5" s="164" t="s">
        <v>86</v>
      </c>
      <c r="O5" s="164" t="s">
        <v>86</v>
      </c>
      <c r="R5" s="164" t="s">
        <v>86</v>
      </c>
      <c r="U5" s="164" t="s">
        <v>87</v>
      </c>
      <c r="X5" s="164" t="s">
        <v>87</v>
      </c>
      <c r="AA5" s="164" t="s">
        <v>87</v>
      </c>
      <c r="AD5" s="164" t="s">
        <v>88</v>
      </c>
      <c r="AG5" s="164" t="s">
        <v>88</v>
      </c>
      <c r="AJ5" s="165" t="s">
        <v>89</v>
      </c>
      <c r="AM5" s="166" t="s">
        <v>87</v>
      </c>
    </row>
    <row r="6" spans="1:144" s="164" customFormat="1" x14ac:dyDescent="0.2">
      <c r="A6" s="167" t="s">
        <v>1</v>
      </c>
      <c r="B6" s="168"/>
      <c r="C6" s="167" t="s">
        <v>90</v>
      </c>
      <c r="D6" s="167" t="s">
        <v>91</v>
      </c>
      <c r="E6" s="168"/>
      <c r="F6" s="167" t="s">
        <v>49</v>
      </c>
      <c r="G6" s="167" t="str">
        <f>+D6</f>
        <v>Cumulative</v>
      </c>
      <c r="H6" s="168"/>
      <c r="I6" s="167" t="s">
        <v>92</v>
      </c>
      <c r="J6" s="167" t="str">
        <f>+G6</f>
        <v>Cumulative</v>
      </c>
      <c r="K6" s="168"/>
      <c r="L6" s="167" t="s">
        <v>93</v>
      </c>
      <c r="M6" s="167" t="str">
        <f>+G6</f>
        <v>Cumulative</v>
      </c>
      <c r="N6" s="168"/>
      <c r="O6" s="167" t="s">
        <v>94</v>
      </c>
      <c r="P6" s="167" t="str">
        <f>+J6</f>
        <v>Cumulative</v>
      </c>
      <c r="Q6" s="168"/>
      <c r="R6" s="167" t="s">
        <v>95</v>
      </c>
      <c r="S6" s="167" t="str">
        <f>+J6</f>
        <v>Cumulative</v>
      </c>
      <c r="T6" s="168"/>
      <c r="U6" s="167" t="s">
        <v>96</v>
      </c>
      <c r="V6" s="167" t="str">
        <f>+P6</f>
        <v>Cumulative</v>
      </c>
      <c r="W6" s="168"/>
      <c r="X6" s="167" t="s">
        <v>94</v>
      </c>
      <c r="Y6" s="167" t="str">
        <f>+S6</f>
        <v>Cumulative</v>
      </c>
      <c r="Z6" s="168"/>
      <c r="AA6" s="167" t="s">
        <v>97</v>
      </c>
      <c r="AB6" s="167" t="str">
        <f>+V6</f>
        <v>Cumulative</v>
      </c>
      <c r="AC6" s="168"/>
      <c r="AD6" s="167" t="s">
        <v>98</v>
      </c>
      <c r="AE6" s="167" t="str">
        <f>+AB6</f>
        <v>Cumulative</v>
      </c>
      <c r="AF6" s="168"/>
      <c r="AG6" s="167" t="s">
        <v>99</v>
      </c>
      <c r="AH6" s="167" t="str">
        <f>+AE6</f>
        <v>Cumulative</v>
      </c>
      <c r="AI6" s="168"/>
      <c r="AJ6" s="167" t="s">
        <v>90</v>
      </c>
      <c r="AK6" s="167" t="s">
        <v>91</v>
      </c>
      <c r="AL6" s="168"/>
      <c r="AM6" s="167" t="s">
        <v>95</v>
      </c>
      <c r="AN6" s="167" t="str">
        <f>+AE6</f>
        <v>Cumulative</v>
      </c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144" x14ac:dyDescent="0.2">
      <c r="A7" s="164">
        <v>1</v>
      </c>
      <c r="C7" s="169">
        <v>0.33329999999999999</v>
      </c>
      <c r="D7" s="169">
        <f>+C7</f>
        <v>0.33329999999999999</v>
      </c>
      <c r="E7" s="169"/>
      <c r="F7" s="169">
        <v>0.2</v>
      </c>
      <c r="G7" s="169">
        <f>+F7</f>
        <v>0.2</v>
      </c>
      <c r="H7" s="169"/>
      <c r="I7" s="169">
        <v>0.1429</v>
      </c>
      <c r="J7" s="169">
        <f>+I7</f>
        <v>0.1429</v>
      </c>
      <c r="K7" s="169"/>
      <c r="L7" s="169">
        <v>0.11111</v>
      </c>
      <c r="M7" s="169">
        <f>+L7</f>
        <v>0.11111</v>
      </c>
      <c r="N7" s="169"/>
      <c r="O7" s="169">
        <v>0.1</v>
      </c>
      <c r="P7" s="169">
        <f>+O7</f>
        <v>0.1</v>
      </c>
      <c r="Q7" s="169"/>
      <c r="R7" s="169">
        <v>8.3299999999999999E-2</v>
      </c>
      <c r="S7" s="169">
        <f>+R7</f>
        <v>8.3299999999999999E-2</v>
      </c>
      <c r="T7" s="169"/>
      <c r="U7" s="169">
        <v>0.05</v>
      </c>
      <c r="V7" s="169">
        <f>+U7</f>
        <v>0.05</v>
      </c>
      <c r="W7" s="169"/>
      <c r="X7" s="169">
        <v>7.4999999999999997E-2</v>
      </c>
      <c r="Y7" s="169">
        <f>+X7</f>
        <v>7.4999999999999997E-2</v>
      </c>
      <c r="Z7" s="169"/>
      <c r="AA7" s="169">
        <v>3.7499999999999999E-2</v>
      </c>
      <c r="AB7" s="169">
        <f>+AA7</f>
        <v>3.7499999999999999E-2</v>
      </c>
      <c r="AC7" s="169"/>
      <c r="AD7" s="169">
        <v>1.72E-2</v>
      </c>
      <c r="AE7" s="169">
        <f>+AD7</f>
        <v>1.72E-2</v>
      </c>
      <c r="AF7" s="169"/>
      <c r="AG7" s="169">
        <v>1.2840000000000001E-2</v>
      </c>
      <c r="AH7" s="169">
        <f>+AG7</f>
        <v>1.2840000000000001E-2</v>
      </c>
      <c r="AI7" s="169"/>
      <c r="AJ7" s="169">
        <f>1/3/2</f>
        <v>0.16666666666666666</v>
      </c>
      <c r="AK7" s="169">
        <f>+AJ7</f>
        <v>0.16666666666666666</v>
      </c>
      <c r="AL7" s="169"/>
      <c r="AM7" s="169">
        <v>6.25E-2</v>
      </c>
      <c r="AN7" s="169">
        <f>+AM7</f>
        <v>6.25E-2</v>
      </c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</row>
    <row r="8" spans="1:144" x14ac:dyDescent="0.2">
      <c r="A8" s="164">
        <f>+A7+1</f>
        <v>2</v>
      </c>
      <c r="C8" s="169">
        <v>0.44450000000000001</v>
      </c>
      <c r="D8" s="169">
        <f>+D7+C8</f>
        <v>0.77780000000000005</v>
      </c>
      <c r="E8" s="169"/>
      <c r="F8" s="169">
        <v>0.32</v>
      </c>
      <c r="G8" s="169">
        <f>+G7+F8</f>
        <v>0.52</v>
      </c>
      <c r="H8" s="169"/>
      <c r="I8" s="169">
        <v>0.24490000000000001</v>
      </c>
      <c r="J8" s="169">
        <f>+J7+I8</f>
        <v>0.38780000000000003</v>
      </c>
      <c r="K8" s="169"/>
      <c r="L8" s="169">
        <v>0.19753000000000001</v>
      </c>
      <c r="M8" s="169">
        <f>+M7+L8</f>
        <v>0.30864000000000003</v>
      </c>
      <c r="N8" s="169"/>
      <c r="O8" s="169">
        <v>0.18</v>
      </c>
      <c r="P8" s="169">
        <f>+P7+O8</f>
        <v>0.28000000000000003</v>
      </c>
      <c r="Q8" s="169"/>
      <c r="R8" s="169">
        <v>0.15279999999999999</v>
      </c>
      <c r="S8" s="169">
        <f>+S7+R8</f>
        <v>0.23609999999999998</v>
      </c>
      <c r="T8" s="169"/>
      <c r="U8" s="169">
        <v>9.5000000000000001E-2</v>
      </c>
      <c r="V8" s="169">
        <f>+V7+U8</f>
        <v>0.14500000000000002</v>
      </c>
      <c r="W8" s="169"/>
      <c r="X8" s="169">
        <v>0.13875000000000001</v>
      </c>
      <c r="Y8" s="169">
        <f>+Y7+X8</f>
        <v>0.21375</v>
      </c>
      <c r="Z8" s="169"/>
      <c r="AA8" s="169">
        <v>7.2190000000000004E-2</v>
      </c>
      <c r="AB8" s="169">
        <f>+AB7+AA8</f>
        <v>0.10969000000000001</v>
      </c>
      <c r="AC8" s="169"/>
      <c r="AD8" s="169">
        <v>3.175E-2</v>
      </c>
      <c r="AE8" s="169">
        <f>+AE7+AD8</f>
        <v>4.895E-2</v>
      </c>
      <c r="AF8" s="169"/>
      <c r="AG8" s="169">
        <v>2.564E-2</v>
      </c>
      <c r="AH8" s="169">
        <f>+AH7+AG8</f>
        <v>3.848E-2</v>
      </c>
      <c r="AI8" s="169"/>
      <c r="AJ8" s="169">
        <f>1/3</f>
        <v>0.33333333333333331</v>
      </c>
      <c r="AK8" s="169">
        <f>+AK7+AJ8</f>
        <v>0.5</v>
      </c>
      <c r="AL8" s="169"/>
      <c r="AM8" s="169">
        <v>0.11719</v>
      </c>
      <c r="AN8" s="169">
        <f>+AN7+AM8</f>
        <v>0.17969000000000002</v>
      </c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</row>
    <row r="9" spans="1:144" x14ac:dyDescent="0.2">
      <c r="A9" s="164">
        <f t="shared" ref="A9:A46" si="0">+A8+1</f>
        <v>3</v>
      </c>
      <c r="C9" s="169">
        <v>0.14810000000000001</v>
      </c>
      <c r="D9" s="169">
        <f>+D8+C9</f>
        <v>0.92590000000000006</v>
      </c>
      <c r="E9" s="169"/>
      <c r="F9" s="169">
        <v>0.192</v>
      </c>
      <c r="G9" s="169">
        <f>+G8+F9</f>
        <v>0.71199999999999997</v>
      </c>
      <c r="H9" s="169"/>
      <c r="I9" s="169">
        <v>0.1749</v>
      </c>
      <c r="J9" s="169">
        <f t="shared" ref="J9:J14" si="1">+J8+I9</f>
        <v>0.56269999999999998</v>
      </c>
      <c r="K9" s="169"/>
      <c r="L9" s="169">
        <v>0.15364</v>
      </c>
      <c r="M9" s="169">
        <f t="shared" ref="M9:M16" si="2">+M8+L9</f>
        <v>0.46228000000000002</v>
      </c>
      <c r="N9" s="169"/>
      <c r="O9" s="169">
        <v>0.14399999999999999</v>
      </c>
      <c r="P9" s="169">
        <f t="shared" ref="P9:P17" si="3">+P8+O9</f>
        <v>0.42400000000000004</v>
      </c>
      <c r="Q9" s="169"/>
      <c r="R9" s="169">
        <v>0.1273</v>
      </c>
      <c r="S9" s="169">
        <f t="shared" ref="S9:S19" si="4">+S8+R9</f>
        <v>0.36339999999999995</v>
      </c>
      <c r="T9" s="169"/>
      <c r="U9" s="169">
        <v>8.5500000000000007E-2</v>
      </c>
      <c r="V9" s="169">
        <f t="shared" ref="V9:V22" si="5">+V8+U9</f>
        <v>0.23050000000000004</v>
      </c>
      <c r="W9" s="169"/>
      <c r="X9" s="169">
        <v>0.11794</v>
      </c>
      <c r="Y9" s="169">
        <f t="shared" ref="Y9:Y17" si="6">+Y8+X9</f>
        <v>0.33168999999999998</v>
      </c>
      <c r="Z9" s="169"/>
      <c r="AA9" s="169">
        <v>6.6769999999999996E-2</v>
      </c>
      <c r="AB9" s="169">
        <f t="shared" ref="AB9:AB24" si="7">+AB8+AA9</f>
        <v>0.17646000000000001</v>
      </c>
      <c r="AC9" s="169"/>
      <c r="AD9" s="169">
        <v>3.175E-2</v>
      </c>
      <c r="AE9" s="169">
        <f t="shared" ref="AE9:AE38" si="8">+AE8+AD9</f>
        <v>8.0699999999999994E-2</v>
      </c>
      <c r="AF9" s="169"/>
      <c r="AG9" s="169">
        <v>2.564E-2</v>
      </c>
      <c r="AH9" s="169">
        <f t="shared" ref="AH9:AH46" si="9">+AH8+AG9</f>
        <v>6.4119999999999996E-2</v>
      </c>
      <c r="AI9" s="169"/>
      <c r="AJ9" s="169">
        <f>1/3</f>
        <v>0.33333333333333331</v>
      </c>
      <c r="AK9" s="169">
        <f>+AK8+AJ9</f>
        <v>0.83333333333333326</v>
      </c>
      <c r="AL9" s="169"/>
      <c r="AM9" s="169">
        <v>0.10255</v>
      </c>
      <c r="AN9" s="169">
        <f t="shared" ref="AN9:AN19" si="10">+AN8+AM9</f>
        <v>0.28224000000000005</v>
      </c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</row>
    <row r="10" spans="1:144" x14ac:dyDescent="0.2">
      <c r="A10" s="164">
        <f t="shared" si="0"/>
        <v>4</v>
      </c>
      <c r="C10" s="169">
        <v>7.4099999999999999E-2</v>
      </c>
      <c r="D10" s="169">
        <f>+D9+C10</f>
        <v>1</v>
      </c>
      <c r="E10" s="169"/>
      <c r="F10" s="169">
        <v>0.1152</v>
      </c>
      <c r="G10" s="169">
        <f>+G9+F10</f>
        <v>0.82719999999999994</v>
      </c>
      <c r="H10" s="169"/>
      <c r="I10" s="169">
        <v>0.1249</v>
      </c>
      <c r="J10" s="169">
        <f t="shared" si="1"/>
        <v>0.68759999999999999</v>
      </c>
      <c r="K10" s="169"/>
      <c r="L10" s="169">
        <v>0.11949</v>
      </c>
      <c r="M10" s="169">
        <f t="shared" si="2"/>
        <v>0.58177000000000001</v>
      </c>
      <c r="N10" s="169"/>
      <c r="O10" s="169">
        <v>0.1152</v>
      </c>
      <c r="P10" s="169">
        <f t="shared" si="3"/>
        <v>0.53920000000000001</v>
      </c>
      <c r="Q10" s="169"/>
      <c r="R10" s="169">
        <v>0.1061</v>
      </c>
      <c r="S10" s="169">
        <f t="shared" si="4"/>
        <v>0.46949999999999992</v>
      </c>
      <c r="T10" s="169"/>
      <c r="U10" s="169">
        <v>7.6999999999999999E-2</v>
      </c>
      <c r="V10" s="169">
        <f t="shared" si="5"/>
        <v>0.30750000000000005</v>
      </c>
      <c r="W10" s="169"/>
      <c r="X10" s="169">
        <v>0.10025000000000001</v>
      </c>
      <c r="Y10" s="169">
        <f t="shared" si="6"/>
        <v>0.43193999999999999</v>
      </c>
      <c r="Z10" s="169"/>
      <c r="AA10" s="169">
        <v>6.1769999999999999E-2</v>
      </c>
      <c r="AB10" s="169">
        <f t="shared" si="7"/>
        <v>0.23823</v>
      </c>
      <c r="AC10" s="169"/>
      <c r="AD10" s="169">
        <v>3.175E-2</v>
      </c>
      <c r="AE10" s="169">
        <f t="shared" si="8"/>
        <v>0.11244999999999999</v>
      </c>
      <c r="AF10" s="169"/>
      <c r="AG10" s="169">
        <v>2.564E-2</v>
      </c>
      <c r="AH10" s="169">
        <f t="shared" si="9"/>
        <v>8.9759999999999993E-2</v>
      </c>
      <c r="AI10" s="169"/>
      <c r="AJ10" s="169">
        <f>1/3/2</f>
        <v>0.16666666666666666</v>
      </c>
      <c r="AK10" s="169">
        <f>+AK9+AJ10</f>
        <v>0.99999999999999989</v>
      </c>
      <c r="AL10" s="169"/>
      <c r="AM10" s="169">
        <v>8.9730000000000004E-2</v>
      </c>
      <c r="AN10" s="169">
        <f t="shared" si="10"/>
        <v>0.37197000000000002</v>
      </c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</row>
    <row r="11" spans="1:144" x14ac:dyDescent="0.2">
      <c r="A11" s="164">
        <f t="shared" si="0"/>
        <v>5</v>
      </c>
      <c r="C11" s="169"/>
      <c r="D11" s="169"/>
      <c r="E11" s="169"/>
      <c r="F11" s="169">
        <v>0.1152</v>
      </c>
      <c r="G11" s="169">
        <f>+G10+F11</f>
        <v>0.9423999999999999</v>
      </c>
      <c r="H11" s="169"/>
      <c r="I11" s="169">
        <v>8.9300000000000004E-2</v>
      </c>
      <c r="J11" s="169">
        <f t="shared" si="1"/>
        <v>0.77690000000000003</v>
      </c>
      <c r="K11" s="169"/>
      <c r="L11" s="169">
        <v>9.2939999999999995E-2</v>
      </c>
      <c r="M11" s="169">
        <f t="shared" si="2"/>
        <v>0.67471000000000003</v>
      </c>
      <c r="N11" s="169"/>
      <c r="O11" s="169">
        <v>9.2200000000000004E-2</v>
      </c>
      <c r="P11" s="169">
        <f t="shared" si="3"/>
        <v>0.63139999999999996</v>
      </c>
      <c r="Q11" s="169"/>
      <c r="R11" s="169">
        <v>8.8400000000000006E-2</v>
      </c>
      <c r="S11" s="169">
        <f t="shared" si="4"/>
        <v>0.55789999999999995</v>
      </c>
      <c r="T11" s="169"/>
      <c r="U11" s="169">
        <v>6.93E-2</v>
      </c>
      <c r="V11" s="169">
        <f t="shared" si="5"/>
        <v>0.37680000000000002</v>
      </c>
      <c r="W11" s="169"/>
      <c r="X11" s="169">
        <v>8.7389999999999995E-2</v>
      </c>
      <c r="Y11" s="169">
        <f t="shared" si="6"/>
        <v>0.51932999999999996</v>
      </c>
      <c r="Z11" s="169"/>
      <c r="AA11" s="169">
        <v>5.713E-2</v>
      </c>
      <c r="AB11" s="169">
        <f t="shared" si="7"/>
        <v>0.29536000000000001</v>
      </c>
      <c r="AC11" s="169"/>
      <c r="AD11" s="169">
        <v>3.175E-2</v>
      </c>
      <c r="AE11" s="169">
        <f t="shared" si="8"/>
        <v>0.14419999999999999</v>
      </c>
      <c r="AF11" s="169"/>
      <c r="AG11" s="169">
        <v>2.564E-2</v>
      </c>
      <c r="AH11" s="169">
        <f t="shared" si="9"/>
        <v>0.11539999999999999</v>
      </c>
      <c r="AI11" s="169"/>
      <c r="AJ11" s="169"/>
      <c r="AK11" s="169"/>
      <c r="AL11" s="169"/>
      <c r="AM11" s="169">
        <v>7.8520000000000006E-2</v>
      </c>
      <c r="AN11" s="169">
        <f t="shared" si="10"/>
        <v>0.45049000000000006</v>
      </c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</row>
    <row r="12" spans="1:144" x14ac:dyDescent="0.2">
      <c r="A12" s="164">
        <f t="shared" si="0"/>
        <v>6</v>
      </c>
      <c r="C12" s="169"/>
      <c r="D12" s="169"/>
      <c r="E12" s="169"/>
      <c r="F12" s="169">
        <v>5.7599999999999998E-2</v>
      </c>
      <c r="G12" s="169">
        <f>+G11+F12</f>
        <v>0.99999999999999989</v>
      </c>
      <c r="H12" s="169"/>
      <c r="I12" s="169">
        <v>8.9200000000000002E-2</v>
      </c>
      <c r="J12" s="169">
        <f t="shared" si="1"/>
        <v>0.86610000000000009</v>
      </c>
      <c r="K12" s="169"/>
      <c r="L12" s="169">
        <v>7.2289999999999993E-2</v>
      </c>
      <c r="M12" s="169">
        <f t="shared" si="2"/>
        <v>0.747</v>
      </c>
      <c r="N12" s="169"/>
      <c r="O12" s="169">
        <v>7.3700000000000002E-2</v>
      </c>
      <c r="P12" s="169">
        <f t="shared" si="3"/>
        <v>0.70509999999999995</v>
      </c>
      <c r="Q12" s="169"/>
      <c r="R12" s="169">
        <v>7.3700000000000002E-2</v>
      </c>
      <c r="S12" s="169">
        <f t="shared" si="4"/>
        <v>0.63159999999999994</v>
      </c>
      <c r="T12" s="169"/>
      <c r="U12" s="169">
        <v>6.2300000000000001E-2</v>
      </c>
      <c r="V12" s="169">
        <f t="shared" si="5"/>
        <v>0.43910000000000005</v>
      </c>
      <c r="W12" s="169"/>
      <c r="X12" s="169">
        <v>8.7389999999999995E-2</v>
      </c>
      <c r="Y12" s="169">
        <f t="shared" si="6"/>
        <v>0.60671999999999993</v>
      </c>
      <c r="Z12" s="169"/>
      <c r="AA12" s="169">
        <v>5.2850000000000001E-2</v>
      </c>
      <c r="AB12" s="169">
        <f t="shared" si="7"/>
        <v>0.34821000000000002</v>
      </c>
      <c r="AC12" s="169"/>
      <c r="AD12" s="169">
        <v>3.175E-2</v>
      </c>
      <c r="AE12" s="169">
        <f t="shared" si="8"/>
        <v>0.17595</v>
      </c>
      <c r="AF12" s="169"/>
      <c r="AG12" s="169">
        <v>2.564E-2</v>
      </c>
      <c r="AH12" s="169">
        <f t="shared" si="9"/>
        <v>0.14104</v>
      </c>
      <c r="AI12" s="169"/>
      <c r="AJ12" s="169"/>
      <c r="AK12" s="169"/>
      <c r="AL12" s="169"/>
      <c r="AM12" s="169">
        <v>7.3270000000000002E-2</v>
      </c>
      <c r="AN12" s="169">
        <f t="shared" si="10"/>
        <v>0.52376</v>
      </c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</row>
    <row r="13" spans="1:144" x14ac:dyDescent="0.2">
      <c r="A13" s="164">
        <f t="shared" si="0"/>
        <v>7</v>
      </c>
      <c r="C13" s="169"/>
      <c r="D13" s="169"/>
      <c r="E13" s="169"/>
      <c r="F13" s="169"/>
      <c r="G13" s="169"/>
      <c r="H13" s="169"/>
      <c r="I13" s="169">
        <v>8.9300000000000004E-2</v>
      </c>
      <c r="J13" s="169">
        <f t="shared" si="1"/>
        <v>0.95540000000000014</v>
      </c>
      <c r="K13" s="169"/>
      <c r="L13" s="169">
        <v>7.2279999999999997E-2</v>
      </c>
      <c r="M13" s="169">
        <f t="shared" si="2"/>
        <v>0.81928000000000001</v>
      </c>
      <c r="N13" s="169"/>
      <c r="O13" s="169">
        <v>6.5500000000000003E-2</v>
      </c>
      <c r="P13" s="169">
        <f t="shared" si="3"/>
        <v>0.77059999999999995</v>
      </c>
      <c r="Q13" s="169"/>
      <c r="R13" s="169">
        <v>6.1400000000000003E-2</v>
      </c>
      <c r="S13" s="169">
        <f t="shared" si="4"/>
        <v>0.69299999999999995</v>
      </c>
      <c r="T13" s="169"/>
      <c r="U13" s="169">
        <v>5.8999999999999997E-2</v>
      </c>
      <c r="V13" s="169">
        <f t="shared" si="5"/>
        <v>0.49810000000000004</v>
      </c>
      <c r="W13" s="169"/>
      <c r="X13" s="169">
        <v>8.7389999999999995E-2</v>
      </c>
      <c r="Y13" s="169">
        <f t="shared" si="6"/>
        <v>0.69410999999999989</v>
      </c>
      <c r="Z13" s="169"/>
      <c r="AA13" s="169">
        <v>4.888E-2</v>
      </c>
      <c r="AB13" s="169">
        <f t="shared" si="7"/>
        <v>0.39709</v>
      </c>
      <c r="AC13" s="169"/>
      <c r="AD13" s="169">
        <v>3.175E-2</v>
      </c>
      <c r="AE13" s="169">
        <f t="shared" si="8"/>
        <v>0.2077</v>
      </c>
      <c r="AF13" s="169"/>
      <c r="AG13" s="169">
        <v>2.564E-2</v>
      </c>
      <c r="AH13" s="169">
        <f t="shared" si="9"/>
        <v>0.16667999999999999</v>
      </c>
      <c r="AI13" s="169"/>
      <c r="AJ13" s="169"/>
      <c r="AK13" s="169"/>
      <c r="AL13" s="169"/>
      <c r="AM13" s="169">
        <v>7.3270000000000002E-2</v>
      </c>
      <c r="AN13" s="169">
        <f t="shared" si="10"/>
        <v>0.59702999999999995</v>
      </c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</row>
    <row r="14" spans="1:144" x14ac:dyDescent="0.2">
      <c r="A14" s="164">
        <f t="shared" si="0"/>
        <v>8</v>
      </c>
      <c r="C14" s="169"/>
      <c r="D14" s="169"/>
      <c r="E14" s="169"/>
      <c r="F14" s="169"/>
      <c r="G14" s="169"/>
      <c r="H14" s="169"/>
      <c r="I14" s="169">
        <v>4.4600000000000001E-2</v>
      </c>
      <c r="J14" s="169">
        <f t="shared" si="1"/>
        <v>1.0000000000000002</v>
      </c>
      <c r="K14" s="169"/>
      <c r="L14" s="169">
        <v>7.2289999999999993E-2</v>
      </c>
      <c r="M14" s="169">
        <f t="shared" si="2"/>
        <v>0.89156999999999997</v>
      </c>
      <c r="N14" s="169"/>
      <c r="O14" s="169">
        <v>6.5500000000000003E-2</v>
      </c>
      <c r="P14" s="169">
        <f t="shared" si="3"/>
        <v>0.83609999999999995</v>
      </c>
      <c r="Q14" s="169"/>
      <c r="R14" s="169">
        <v>5.5800000000000002E-2</v>
      </c>
      <c r="S14" s="169">
        <f t="shared" si="4"/>
        <v>0.74879999999999991</v>
      </c>
      <c r="T14" s="169"/>
      <c r="U14" s="169">
        <v>5.8999999999999997E-2</v>
      </c>
      <c r="V14" s="169">
        <f t="shared" si="5"/>
        <v>0.55710000000000004</v>
      </c>
      <c r="W14" s="169"/>
      <c r="X14" s="169">
        <v>8.7389999999999995E-2</v>
      </c>
      <c r="Y14" s="169">
        <f t="shared" si="6"/>
        <v>0.78149999999999986</v>
      </c>
      <c r="Z14" s="169"/>
      <c r="AA14" s="169">
        <v>4.5220000000000003E-2</v>
      </c>
      <c r="AB14" s="169">
        <f t="shared" si="7"/>
        <v>0.44230999999999998</v>
      </c>
      <c r="AC14" s="169"/>
      <c r="AD14" s="169">
        <v>3.1739999999999997E-2</v>
      </c>
      <c r="AE14" s="169">
        <f t="shared" si="8"/>
        <v>0.23943999999999999</v>
      </c>
      <c r="AF14" s="169"/>
      <c r="AG14" s="169">
        <v>2.564E-2</v>
      </c>
      <c r="AH14" s="169">
        <f t="shared" si="9"/>
        <v>0.19231999999999999</v>
      </c>
      <c r="AI14" s="169"/>
      <c r="AJ14" s="169"/>
      <c r="AK14" s="169"/>
      <c r="AL14" s="169"/>
      <c r="AM14" s="169">
        <v>7.3270000000000002E-2</v>
      </c>
      <c r="AN14" s="169">
        <f t="shared" si="10"/>
        <v>0.6702999999999999</v>
      </c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</row>
    <row r="15" spans="1:144" x14ac:dyDescent="0.2">
      <c r="A15" s="164">
        <f t="shared" si="0"/>
        <v>9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>
        <v>7.2289999999999993E-2</v>
      </c>
      <c r="M15" s="169">
        <f t="shared" si="2"/>
        <v>0.96385999999999994</v>
      </c>
      <c r="N15" s="169"/>
      <c r="O15" s="169">
        <v>6.5600000000000006E-2</v>
      </c>
      <c r="P15" s="169">
        <f t="shared" si="3"/>
        <v>0.90169999999999995</v>
      </c>
      <c r="Q15" s="169"/>
      <c r="R15" s="169">
        <v>5.5800000000000002E-2</v>
      </c>
      <c r="S15" s="169">
        <f t="shared" si="4"/>
        <v>0.80459999999999987</v>
      </c>
      <c r="T15" s="169"/>
      <c r="U15" s="169">
        <v>5.91E-2</v>
      </c>
      <c r="V15" s="169">
        <f t="shared" si="5"/>
        <v>0.61620000000000008</v>
      </c>
      <c r="W15" s="169"/>
      <c r="X15" s="169">
        <v>8.7389999999999995E-2</v>
      </c>
      <c r="Y15" s="169">
        <f t="shared" si="6"/>
        <v>0.86888999999999983</v>
      </c>
      <c r="Z15" s="169"/>
      <c r="AA15" s="169">
        <v>4.462E-2</v>
      </c>
      <c r="AB15" s="169">
        <f t="shared" si="7"/>
        <v>0.48692999999999997</v>
      </c>
      <c r="AC15" s="169"/>
      <c r="AD15" s="169">
        <v>3.175E-2</v>
      </c>
      <c r="AE15" s="169">
        <f t="shared" si="8"/>
        <v>0.27118999999999999</v>
      </c>
      <c r="AF15" s="169"/>
      <c r="AG15" s="169">
        <v>2.564E-2</v>
      </c>
      <c r="AH15" s="169">
        <f t="shared" si="9"/>
        <v>0.21795999999999999</v>
      </c>
      <c r="AI15" s="169"/>
      <c r="AJ15" s="169"/>
      <c r="AK15" s="169"/>
      <c r="AL15" s="169"/>
      <c r="AM15" s="169">
        <v>7.3270000000000002E-2</v>
      </c>
      <c r="AN15" s="169">
        <f t="shared" si="10"/>
        <v>0.74356999999999984</v>
      </c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</row>
    <row r="16" spans="1:144" x14ac:dyDescent="0.2">
      <c r="A16" s="164">
        <f t="shared" si="0"/>
        <v>10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>
        <v>3.6139999999999999E-2</v>
      </c>
      <c r="M16" s="169">
        <f t="shared" si="2"/>
        <v>0.99999999999999989</v>
      </c>
      <c r="N16" s="169"/>
      <c r="O16" s="169">
        <v>6.5500000000000003E-2</v>
      </c>
      <c r="P16" s="169">
        <f t="shared" si="3"/>
        <v>0.96719999999999995</v>
      </c>
      <c r="Q16" s="169"/>
      <c r="R16" s="169">
        <v>5.5899999999999998E-2</v>
      </c>
      <c r="S16" s="169">
        <f t="shared" si="4"/>
        <v>0.86049999999999982</v>
      </c>
      <c r="T16" s="169"/>
      <c r="U16" s="169">
        <v>5.8999999999999997E-2</v>
      </c>
      <c r="V16" s="169">
        <f t="shared" si="5"/>
        <v>0.67520000000000002</v>
      </c>
      <c r="W16" s="169"/>
      <c r="X16" s="169">
        <v>8.7389999999999995E-2</v>
      </c>
      <c r="Y16" s="169">
        <f t="shared" si="6"/>
        <v>0.9562799999999998</v>
      </c>
      <c r="Z16" s="169"/>
      <c r="AA16" s="169">
        <v>4.4609999999999997E-2</v>
      </c>
      <c r="AB16" s="169">
        <f t="shared" si="7"/>
        <v>0.53154000000000001</v>
      </c>
      <c r="AC16" s="169"/>
      <c r="AD16" s="169">
        <v>3.1739999999999997E-2</v>
      </c>
      <c r="AE16" s="169">
        <f t="shared" si="8"/>
        <v>0.30292999999999998</v>
      </c>
      <c r="AF16" s="169"/>
      <c r="AG16" s="169">
        <v>2.564E-2</v>
      </c>
      <c r="AH16" s="169">
        <f t="shared" si="9"/>
        <v>0.24359999999999998</v>
      </c>
      <c r="AI16" s="169"/>
      <c r="AJ16" s="169"/>
      <c r="AK16" s="169"/>
      <c r="AL16" s="169"/>
      <c r="AM16" s="169">
        <v>7.3270000000000002E-2</v>
      </c>
      <c r="AN16" s="169">
        <f t="shared" si="10"/>
        <v>0.81683999999999979</v>
      </c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</row>
    <row r="17" spans="1:144" x14ac:dyDescent="0.2">
      <c r="A17" s="164">
        <f t="shared" si="0"/>
        <v>11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>
        <v>3.2800000000000003E-2</v>
      </c>
      <c r="P17" s="169">
        <f t="shared" si="3"/>
        <v>1</v>
      </c>
      <c r="Q17" s="169"/>
      <c r="R17" s="169">
        <v>5.5800000000000002E-2</v>
      </c>
      <c r="S17" s="169">
        <f t="shared" si="4"/>
        <v>0.91629999999999978</v>
      </c>
      <c r="T17" s="169"/>
      <c r="U17" s="169">
        <v>5.91E-2</v>
      </c>
      <c r="V17" s="169">
        <f t="shared" si="5"/>
        <v>0.73430000000000006</v>
      </c>
      <c r="W17" s="169"/>
      <c r="X17" s="169">
        <v>4.3720000000000002E-2</v>
      </c>
      <c r="Y17" s="169">
        <f t="shared" si="6"/>
        <v>0.99999999999999978</v>
      </c>
      <c r="Z17" s="169"/>
      <c r="AA17" s="169">
        <v>4.462E-2</v>
      </c>
      <c r="AB17" s="169">
        <f t="shared" si="7"/>
        <v>0.57616000000000001</v>
      </c>
      <c r="AC17" s="169"/>
      <c r="AD17" s="169">
        <v>3.175E-2</v>
      </c>
      <c r="AE17" s="169">
        <f t="shared" si="8"/>
        <v>0.33467999999999998</v>
      </c>
      <c r="AF17" s="169"/>
      <c r="AG17" s="169">
        <v>2.564E-2</v>
      </c>
      <c r="AH17" s="169">
        <f t="shared" si="9"/>
        <v>0.26923999999999998</v>
      </c>
      <c r="AI17" s="169"/>
      <c r="AJ17" s="169"/>
      <c r="AK17" s="169"/>
      <c r="AL17" s="169"/>
      <c r="AM17" s="169">
        <v>7.3270000000000002E-2</v>
      </c>
      <c r="AN17" s="169">
        <f t="shared" si="10"/>
        <v>0.89010999999999973</v>
      </c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</row>
    <row r="18" spans="1:144" x14ac:dyDescent="0.2">
      <c r="A18" s="164">
        <f t="shared" si="0"/>
        <v>12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>
        <v>5.5800000000000002E-2</v>
      </c>
      <c r="S18" s="169">
        <f t="shared" si="4"/>
        <v>0.97209999999999974</v>
      </c>
      <c r="T18" s="169"/>
      <c r="U18" s="169">
        <v>5.8999999999999997E-2</v>
      </c>
      <c r="V18" s="169">
        <f t="shared" si="5"/>
        <v>0.79330000000000012</v>
      </c>
      <c r="W18" s="169"/>
      <c r="X18" s="169"/>
      <c r="Y18" s="169"/>
      <c r="Z18" s="169"/>
      <c r="AA18" s="169">
        <v>4.4609999999999997E-2</v>
      </c>
      <c r="AB18" s="169">
        <f t="shared" si="7"/>
        <v>0.62077000000000004</v>
      </c>
      <c r="AC18" s="169"/>
      <c r="AD18" s="169">
        <v>3.1739999999999997E-2</v>
      </c>
      <c r="AE18" s="169">
        <f t="shared" si="8"/>
        <v>0.36641999999999997</v>
      </c>
      <c r="AF18" s="169"/>
      <c r="AG18" s="169">
        <v>2.564E-2</v>
      </c>
      <c r="AH18" s="169">
        <f t="shared" si="9"/>
        <v>0.29487999999999998</v>
      </c>
      <c r="AI18" s="169"/>
      <c r="AJ18" s="169"/>
      <c r="AK18" s="169"/>
      <c r="AL18" s="169"/>
      <c r="AM18" s="169">
        <v>7.3270000000000002E-2</v>
      </c>
      <c r="AN18" s="169">
        <f t="shared" si="10"/>
        <v>0.96337999999999968</v>
      </c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</row>
    <row r="19" spans="1:144" x14ac:dyDescent="0.2">
      <c r="A19" s="164">
        <f t="shared" si="0"/>
        <v>13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>
        <v>2.7900000000000001E-2</v>
      </c>
      <c r="S19" s="169">
        <f t="shared" si="4"/>
        <v>0.99999999999999978</v>
      </c>
      <c r="T19" s="169"/>
      <c r="U19" s="169">
        <v>5.91E-2</v>
      </c>
      <c r="V19" s="169">
        <f t="shared" si="5"/>
        <v>0.85240000000000016</v>
      </c>
      <c r="W19" s="169"/>
      <c r="X19" s="169"/>
      <c r="Y19" s="169"/>
      <c r="Z19" s="169"/>
      <c r="AA19" s="169">
        <v>4.462E-2</v>
      </c>
      <c r="AB19" s="169">
        <f t="shared" si="7"/>
        <v>0.66539000000000004</v>
      </c>
      <c r="AC19" s="169"/>
      <c r="AD19" s="169">
        <v>3.175E-2</v>
      </c>
      <c r="AE19" s="169">
        <f t="shared" si="8"/>
        <v>0.39816999999999997</v>
      </c>
      <c r="AF19" s="169"/>
      <c r="AG19" s="169">
        <v>2.564E-2</v>
      </c>
      <c r="AH19" s="169">
        <f t="shared" si="9"/>
        <v>0.32051999999999997</v>
      </c>
      <c r="AI19" s="169"/>
      <c r="AJ19" s="169"/>
      <c r="AK19" s="169"/>
      <c r="AL19" s="169"/>
      <c r="AM19" s="169">
        <v>3.662E-2</v>
      </c>
      <c r="AN19" s="169">
        <f t="shared" si="10"/>
        <v>0.99999999999999967</v>
      </c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</row>
    <row r="20" spans="1:144" x14ac:dyDescent="0.2">
      <c r="A20" s="164">
        <f t="shared" si="0"/>
        <v>14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>
        <v>5.8999999999999997E-2</v>
      </c>
      <c r="V20" s="169">
        <f t="shared" si="5"/>
        <v>0.91140000000000021</v>
      </c>
      <c r="W20" s="169"/>
      <c r="X20" s="169"/>
      <c r="Y20" s="169"/>
      <c r="Z20" s="169"/>
      <c r="AA20" s="169">
        <v>4.4609999999999997E-2</v>
      </c>
      <c r="AB20" s="169">
        <f t="shared" si="7"/>
        <v>0.71000000000000008</v>
      </c>
      <c r="AC20" s="169"/>
      <c r="AD20" s="169">
        <v>3.1739999999999997E-2</v>
      </c>
      <c r="AE20" s="169">
        <f t="shared" si="8"/>
        <v>0.42990999999999996</v>
      </c>
      <c r="AF20" s="169"/>
      <c r="AG20" s="169">
        <v>2.564E-2</v>
      </c>
      <c r="AH20" s="169">
        <f t="shared" si="9"/>
        <v>0.34615999999999997</v>
      </c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</row>
    <row r="21" spans="1:144" x14ac:dyDescent="0.2">
      <c r="A21" s="164">
        <f t="shared" si="0"/>
        <v>15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>
        <v>5.91E-2</v>
      </c>
      <c r="V21" s="169">
        <f t="shared" si="5"/>
        <v>0.97050000000000025</v>
      </c>
      <c r="W21" s="169"/>
      <c r="X21" s="169"/>
      <c r="Y21" s="169"/>
      <c r="Z21" s="169"/>
      <c r="AA21" s="169">
        <v>4.462E-2</v>
      </c>
      <c r="AB21" s="169">
        <f t="shared" si="7"/>
        <v>0.75462000000000007</v>
      </c>
      <c r="AC21" s="169"/>
      <c r="AD21" s="169">
        <v>3.175E-2</v>
      </c>
      <c r="AE21" s="169">
        <f t="shared" si="8"/>
        <v>0.46165999999999996</v>
      </c>
      <c r="AF21" s="169"/>
      <c r="AG21" s="169">
        <v>2.564E-2</v>
      </c>
      <c r="AH21" s="169">
        <f t="shared" si="9"/>
        <v>0.37179999999999996</v>
      </c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</row>
    <row r="22" spans="1:144" x14ac:dyDescent="0.2">
      <c r="A22" s="164">
        <f t="shared" si="0"/>
        <v>16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>
        <v>2.9499999999999998E-2</v>
      </c>
      <c r="V22" s="169">
        <f t="shared" si="5"/>
        <v>1.0000000000000002</v>
      </c>
      <c r="W22" s="169"/>
      <c r="X22" s="169"/>
      <c r="Y22" s="169"/>
      <c r="Z22" s="169"/>
      <c r="AA22" s="169">
        <v>4.4609999999999997E-2</v>
      </c>
      <c r="AB22" s="169">
        <f t="shared" si="7"/>
        <v>0.79923000000000011</v>
      </c>
      <c r="AC22" s="169"/>
      <c r="AD22" s="169">
        <v>3.1739999999999997E-2</v>
      </c>
      <c r="AE22" s="169">
        <f t="shared" si="8"/>
        <v>0.49339999999999995</v>
      </c>
      <c r="AF22" s="169"/>
      <c r="AG22" s="169">
        <v>2.564E-2</v>
      </c>
      <c r="AH22" s="169">
        <f t="shared" si="9"/>
        <v>0.39743999999999996</v>
      </c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</row>
    <row r="23" spans="1:144" x14ac:dyDescent="0.2">
      <c r="A23" s="164">
        <f t="shared" si="0"/>
        <v>17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>
        <v>4.462E-2</v>
      </c>
      <c r="AB23" s="169">
        <f t="shared" si="7"/>
        <v>0.8438500000000001</v>
      </c>
      <c r="AC23" s="169"/>
      <c r="AD23" s="169">
        <v>3.175E-2</v>
      </c>
      <c r="AE23" s="169">
        <f t="shared" si="8"/>
        <v>0.52515000000000001</v>
      </c>
      <c r="AF23" s="169"/>
      <c r="AG23" s="169">
        <v>2.564E-2</v>
      </c>
      <c r="AH23" s="169">
        <f t="shared" si="9"/>
        <v>0.42307999999999996</v>
      </c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</row>
    <row r="24" spans="1:144" x14ac:dyDescent="0.2">
      <c r="A24" s="164">
        <f t="shared" si="0"/>
        <v>18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>
        <v>4.4609999999999997E-2</v>
      </c>
      <c r="AB24" s="169">
        <f t="shared" si="7"/>
        <v>0.88846000000000014</v>
      </c>
      <c r="AC24" s="169"/>
      <c r="AD24" s="169">
        <v>3.1739999999999997E-2</v>
      </c>
      <c r="AE24" s="169">
        <f t="shared" si="8"/>
        <v>0.55689</v>
      </c>
      <c r="AF24" s="169"/>
      <c r="AG24" s="169">
        <v>2.564E-2</v>
      </c>
      <c r="AH24" s="169">
        <f t="shared" si="9"/>
        <v>0.44871999999999995</v>
      </c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</row>
    <row r="25" spans="1:144" x14ac:dyDescent="0.2">
      <c r="A25" s="164">
        <f t="shared" si="0"/>
        <v>19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>
        <v>4.462E-2</v>
      </c>
      <c r="AB25" s="169">
        <f>+AB24+AA25</f>
        <v>0.93308000000000013</v>
      </c>
      <c r="AC25" s="169"/>
      <c r="AD25" s="169">
        <v>3.175E-2</v>
      </c>
      <c r="AE25" s="169">
        <f t="shared" si="8"/>
        <v>0.58864000000000005</v>
      </c>
      <c r="AF25" s="169"/>
      <c r="AG25" s="169">
        <v>2.564E-2</v>
      </c>
      <c r="AH25" s="169">
        <f t="shared" si="9"/>
        <v>0.47435999999999995</v>
      </c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</row>
    <row r="26" spans="1:144" x14ac:dyDescent="0.2">
      <c r="A26" s="164">
        <f t="shared" si="0"/>
        <v>20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>
        <v>4.4609999999999997E-2</v>
      </c>
      <c r="AB26" s="169">
        <f>+AB25+AA26</f>
        <v>0.97769000000000017</v>
      </c>
      <c r="AC26" s="169"/>
      <c r="AD26" s="169">
        <v>3.1739999999999997E-2</v>
      </c>
      <c r="AE26" s="169">
        <f t="shared" si="8"/>
        <v>0.62038000000000004</v>
      </c>
      <c r="AF26" s="169"/>
      <c r="AG26" s="169">
        <v>2.564E-2</v>
      </c>
      <c r="AH26" s="169">
        <f t="shared" si="9"/>
        <v>0.49999999999999994</v>
      </c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</row>
    <row r="27" spans="1:144" x14ac:dyDescent="0.2">
      <c r="A27" s="164">
        <f t="shared" si="0"/>
        <v>21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>
        <v>2.231E-2</v>
      </c>
      <c r="AB27" s="169">
        <f>+AB26+AA27</f>
        <v>1.0000000000000002</v>
      </c>
      <c r="AC27" s="169"/>
      <c r="AD27" s="169">
        <v>3.175E-2</v>
      </c>
      <c r="AE27" s="169">
        <f t="shared" si="8"/>
        <v>0.6521300000000001</v>
      </c>
      <c r="AF27" s="169"/>
      <c r="AG27" s="169">
        <v>2.564E-2</v>
      </c>
      <c r="AH27" s="169">
        <f t="shared" si="9"/>
        <v>0.52564</v>
      </c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</row>
    <row r="28" spans="1:144" x14ac:dyDescent="0.2">
      <c r="A28" s="164">
        <f t="shared" si="0"/>
        <v>22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>
        <v>3.1739999999999997E-2</v>
      </c>
      <c r="AE28" s="169">
        <f t="shared" si="8"/>
        <v>0.68387000000000009</v>
      </c>
      <c r="AF28" s="169"/>
      <c r="AG28" s="169">
        <v>2.564E-2</v>
      </c>
      <c r="AH28" s="169">
        <f t="shared" si="9"/>
        <v>0.55127999999999999</v>
      </c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</row>
    <row r="29" spans="1:144" x14ac:dyDescent="0.2">
      <c r="A29" s="164">
        <f t="shared" si="0"/>
        <v>23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>
        <v>3.175E-2</v>
      </c>
      <c r="AE29" s="169">
        <f t="shared" si="8"/>
        <v>0.71562000000000014</v>
      </c>
      <c r="AF29" s="169"/>
      <c r="AG29" s="169">
        <v>2.564E-2</v>
      </c>
      <c r="AH29" s="169">
        <f t="shared" si="9"/>
        <v>0.57691999999999999</v>
      </c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</row>
    <row r="30" spans="1:144" x14ac:dyDescent="0.2">
      <c r="A30" s="164">
        <f t="shared" si="0"/>
        <v>24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>
        <v>3.1739999999999997E-2</v>
      </c>
      <c r="AE30" s="169">
        <f t="shared" si="8"/>
        <v>0.74736000000000014</v>
      </c>
      <c r="AF30" s="169"/>
      <c r="AG30" s="169">
        <v>2.564E-2</v>
      </c>
      <c r="AH30" s="169">
        <f t="shared" si="9"/>
        <v>0.60255999999999998</v>
      </c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</row>
    <row r="31" spans="1:144" x14ac:dyDescent="0.2">
      <c r="A31" s="164">
        <f t="shared" si="0"/>
        <v>25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>
        <v>3.175E-2</v>
      </c>
      <c r="AE31" s="169">
        <f t="shared" si="8"/>
        <v>0.77911000000000019</v>
      </c>
      <c r="AF31" s="169"/>
      <c r="AG31" s="169">
        <v>2.564E-2</v>
      </c>
      <c r="AH31" s="169">
        <f t="shared" si="9"/>
        <v>0.62819999999999998</v>
      </c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</row>
    <row r="32" spans="1:144" x14ac:dyDescent="0.2">
      <c r="A32" s="164">
        <f t="shared" si="0"/>
        <v>26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>
        <v>3.1739999999999997E-2</v>
      </c>
      <c r="AE32" s="169">
        <f t="shared" si="8"/>
        <v>0.81085000000000018</v>
      </c>
      <c r="AF32" s="169"/>
      <c r="AG32" s="169">
        <v>2.564E-2</v>
      </c>
      <c r="AH32" s="169">
        <f t="shared" si="9"/>
        <v>0.65383999999999998</v>
      </c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</row>
    <row r="33" spans="1:144" x14ac:dyDescent="0.2">
      <c r="A33" s="164">
        <f t="shared" si="0"/>
        <v>27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>
        <v>3.175E-2</v>
      </c>
      <c r="AE33" s="169">
        <f t="shared" si="8"/>
        <v>0.84260000000000024</v>
      </c>
      <c r="AF33" s="169"/>
      <c r="AG33" s="169">
        <v>2.564E-2</v>
      </c>
      <c r="AH33" s="169">
        <f t="shared" si="9"/>
        <v>0.67947999999999997</v>
      </c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</row>
    <row r="34" spans="1:144" x14ac:dyDescent="0.2">
      <c r="A34" s="164">
        <f t="shared" si="0"/>
        <v>28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>
        <v>3.1739999999999997E-2</v>
      </c>
      <c r="AE34" s="169">
        <f t="shared" si="8"/>
        <v>0.87434000000000023</v>
      </c>
      <c r="AF34" s="169"/>
      <c r="AG34" s="169">
        <v>2.564E-2</v>
      </c>
      <c r="AH34" s="169">
        <f t="shared" si="9"/>
        <v>0.70511999999999997</v>
      </c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</row>
    <row r="35" spans="1:144" x14ac:dyDescent="0.2">
      <c r="A35" s="164">
        <f t="shared" si="0"/>
        <v>29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>
        <v>3.175E-2</v>
      </c>
      <c r="AE35" s="169">
        <f t="shared" si="8"/>
        <v>0.90609000000000028</v>
      </c>
      <c r="AF35" s="169"/>
      <c r="AG35" s="169">
        <v>2.564E-2</v>
      </c>
      <c r="AH35" s="169">
        <f t="shared" si="9"/>
        <v>0.73075999999999997</v>
      </c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</row>
    <row r="36" spans="1:144" x14ac:dyDescent="0.2">
      <c r="A36" s="164">
        <f t="shared" si="0"/>
        <v>30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>
        <v>3.1739999999999997E-2</v>
      </c>
      <c r="AE36" s="169">
        <f t="shared" si="8"/>
        <v>0.93783000000000027</v>
      </c>
      <c r="AF36" s="169"/>
      <c r="AG36" s="169">
        <v>2.564E-2</v>
      </c>
      <c r="AH36" s="169">
        <f t="shared" si="9"/>
        <v>0.75639999999999996</v>
      </c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</row>
    <row r="37" spans="1:144" x14ac:dyDescent="0.2">
      <c r="A37" s="164">
        <f t="shared" si="0"/>
        <v>31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>
        <v>3.175E-2</v>
      </c>
      <c r="AE37" s="169">
        <f t="shared" si="8"/>
        <v>0.96958000000000033</v>
      </c>
      <c r="AF37" s="169"/>
      <c r="AG37" s="169">
        <v>2.564E-2</v>
      </c>
      <c r="AH37" s="169">
        <f t="shared" si="9"/>
        <v>0.78203999999999996</v>
      </c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</row>
    <row r="38" spans="1:144" x14ac:dyDescent="0.2">
      <c r="A38" s="164">
        <f t="shared" si="0"/>
        <v>32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>
        <v>3.0419999999999999E-2</v>
      </c>
      <c r="AE38" s="169">
        <f t="shared" si="8"/>
        <v>1.0000000000000002</v>
      </c>
      <c r="AF38" s="169"/>
      <c r="AG38" s="169">
        <v>2.564E-2</v>
      </c>
      <c r="AH38" s="169">
        <f t="shared" si="9"/>
        <v>0.80767999999999995</v>
      </c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</row>
    <row r="39" spans="1:144" x14ac:dyDescent="0.2">
      <c r="A39" s="164">
        <f t="shared" si="0"/>
        <v>33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>
        <v>2.564E-2</v>
      </c>
      <c r="AH39" s="169">
        <f t="shared" si="9"/>
        <v>0.83331999999999995</v>
      </c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</row>
    <row r="40" spans="1:144" x14ac:dyDescent="0.2">
      <c r="A40" s="164">
        <f t="shared" si="0"/>
        <v>34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>
        <v>2.564E-2</v>
      </c>
      <c r="AH40" s="169">
        <f t="shared" si="9"/>
        <v>0.85895999999999995</v>
      </c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</row>
    <row r="41" spans="1:144" x14ac:dyDescent="0.2">
      <c r="A41" s="164">
        <f t="shared" si="0"/>
        <v>35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>
        <v>2.564E-2</v>
      </c>
      <c r="AH41" s="169">
        <f t="shared" si="9"/>
        <v>0.88459999999999994</v>
      </c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</row>
    <row r="42" spans="1:144" x14ac:dyDescent="0.2">
      <c r="A42" s="164">
        <f t="shared" si="0"/>
        <v>36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>
        <v>2.564E-2</v>
      </c>
      <c r="AH42" s="169">
        <f t="shared" si="9"/>
        <v>0.91023999999999994</v>
      </c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</row>
    <row r="43" spans="1:144" x14ac:dyDescent="0.2">
      <c r="A43" s="164">
        <f t="shared" si="0"/>
        <v>37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>
        <v>2.564E-2</v>
      </c>
      <c r="AH43" s="169">
        <f t="shared" si="9"/>
        <v>0.93587999999999993</v>
      </c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</row>
    <row r="44" spans="1:144" x14ac:dyDescent="0.2">
      <c r="A44" s="164">
        <f t="shared" si="0"/>
        <v>38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>
        <v>2.564E-2</v>
      </c>
      <c r="AH44" s="169">
        <f t="shared" si="9"/>
        <v>0.96151999999999993</v>
      </c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</row>
    <row r="45" spans="1:144" x14ac:dyDescent="0.2">
      <c r="A45" s="164">
        <f t="shared" si="0"/>
        <v>39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>
        <v>2.564E-2</v>
      </c>
      <c r="AH45" s="169">
        <f t="shared" si="9"/>
        <v>0.98715999999999993</v>
      </c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</row>
    <row r="46" spans="1:144" x14ac:dyDescent="0.2">
      <c r="A46" s="164">
        <f t="shared" si="0"/>
        <v>40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>
        <v>1.2840000000000001E-2</v>
      </c>
      <c r="AH46" s="169">
        <f t="shared" si="9"/>
        <v>0.99999999999999989</v>
      </c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</row>
    <row r="47" spans="1:144" x14ac:dyDescent="0.2">
      <c r="A47" s="164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</row>
    <row r="48" spans="1:144" x14ac:dyDescent="0.2">
      <c r="A48" s="164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</row>
    <row r="49" spans="1:144" x14ac:dyDescent="0.2">
      <c r="A49" s="164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</row>
    <row r="50" spans="1:144" x14ac:dyDescent="0.2">
      <c r="A50" s="164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</row>
    <row r="51" spans="1:144" x14ac:dyDescent="0.2">
      <c r="A51" s="164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</row>
    <row r="52" spans="1:144" x14ac:dyDescent="0.2">
      <c r="A52" s="164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</row>
    <row r="53" spans="1:144" x14ac:dyDescent="0.2">
      <c r="A53" s="164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</row>
    <row r="54" spans="1:144" x14ac:dyDescent="0.2">
      <c r="A54" s="164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</row>
    <row r="55" spans="1:144" x14ac:dyDescent="0.2">
      <c r="A55" s="164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</row>
    <row r="56" spans="1:144" x14ac:dyDescent="0.2">
      <c r="A56" s="164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</row>
    <row r="57" spans="1:144" x14ac:dyDescent="0.2">
      <c r="A57" s="164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</row>
    <row r="58" spans="1:144" x14ac:dyDescent="0.2">
      <c r="A58" s="164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</row>
    <row r="59" spans="1:144" x14ac:dyDescent="0.2">
      <c r="A59" s="164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</row>
    <row r="60" spans="1:144" x14ac:dyDescent="0.2">
      <c r="A60" s="164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</row>
    <row r="61" spans="1:144" x14ac:dyDescent="0.2">
      <c r="A61" s="164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</row>
    <row r="62" spans="1:144" x14ac:dyDescent="0.2">
      <c r="A62" s="164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</row>
    <row r="63" spans="1:144" x14ac:dyDescent="0.2">
      <c r="A63" s="164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</row>
    <row r="64" spans="1:144" x14ac:dyDescent="0.2">
      <c r="A64" s="164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</row>
    <row r="65" spans="1:144" x14ac:dyDescent="0.2">
      <c r="A65" s="164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</row>
    <row r="66" spans="1:144" x14ac:dyDescent="0.2">
      <c r="A66" s="164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</row>
    <row r="67" spans="1:144" x14ac:dyDescent="0.2">
      <c r="A67" s="164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</row>
    <row r="68" spans="1:144" x14ac:dyDescent="0.2">
      <c r="A68" s="164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</row>
    <row r="69" spans="1:144" x14ac:dyDescent="0.2">
      <c r="A69" s="164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</row>
    <row r="70" spans="1:144" x14ac:dyDescent="0.2">
      <c r="A70" s="164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</row>
    <row r="71" spans="1:144" x14ac:dyDescent="0.2">
      <c r="A71" s="164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</row>
    <row r="72" spans="1:144" x14ac:dyDescent="0.2">
      <c r="A72" s="164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</row>
    <row r="73" spans="1:144" x14ac:dyDescent="0.2">
      <c r="A73" s="164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</row>
    <row r="74" spans="1:144" x14ac:dyDescent="0.2">
      <c r="A74" s="164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</row>
    <row r="75" spans="1:144" x14ac:dyDescent="0.2">
      <c r="A75" s="164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</row>
    <row r="76" spans="1:144" x14ac:dyDescent="0.2">
      <c r="A76" s="164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</row>
    <row r="77" spans="1:144" x14ac:dyDescent="0.2">
      <c r="A77" s="164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</row>
    <row r="78" spans="1:144" x14ac:dyDescent="0.2">
      <c r="A78" s="164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</row>
    <row r="79" spans="1:144" x14ac:dyDescent="0.2">
      <c r="A79" s="164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</row>
    <row r="80" spans="1:144" x14ac:dyDescent="0.2">
      <c r="A80" s="164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</row>
    <row r="81" spans="1:144" x14ac:dyDescent="0.2">
      <c r="A81" s="164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</row>
    <row r="82" spans="1:144" x14ac:dyDescent="0.2">
      <c r="A82" s="164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</row>
    <row r="83" spans="1:144" x14ac:dyDescent="0.2">
      <c r="A83" s="164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</row>
    <row r="84" spans="1:144" x14ac:dyDescent="0.2">
      <c r="A84" s="164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</row>
    <row r="85" spans="1:144" x14ac:dyDescent="0.2">
      <c r="A85" s="164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</row>
    <row r="86" spans="1:144" x14ac:dyDescent="0.2">
      <c r="A86" s="164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</row>
    <row r="87" spans="1:144" x14ac:dyDescent="0.2">
      <c r="A87" s="164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</row>
    <row r="88" spans="1:144" x14ac:dyDescent="0.2">
      <c r="A88" s="164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</row>
    <row r="89" spans="1:144" x14ac:dyDescent="0.2">
      <c r="A89" s="164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</row>
    <row r="90" spans="1:144" x14ac:dyDescent="0.2">
      <c r="A90" s="164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</row>
    <row r="91" spans="1:144" x14ac:dyDescent="0.2">
      <c r="A91" s="164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</row>
    <row r="92" spans="1:144" x14ac:dyDescent="0.2">
      <c r="A92" s="164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</row>
    <row r="93" spans="1:144" x14ac:dyDescent="0.2">
      <c r="A93" s="164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</row>
    <row r="94" spans="1:144" x14ac:dyDescent="0.2">
      <c r="A94" s="164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</row>
    <row r="95" spans="1:144" x14ac:dyDescent="0.2">
      <c r="A95" s="164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</row>
    <row r="96" spans="1:144" x14ac:dyDescent="0.2">
      <c r="A96" s="164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</row>
    <row r="97" spans="1:144" x14ac:dyDescent="0.2">
      <c r="A97" s="164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</row>
    <row r="98" spans="1:144" x14ac:dyDescent="0.2">
      <c r="A98" s="164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</row>
    <row r="99" spans="1:144" x14ac:dyDescent="0.2">
      <c r="A99" s="164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</row>
    <row r="100" spans="1:144" x14ac:dyDescent="0.2">
      <c r="A100" s="164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</row>
    <row r="101" spans="1:144" x14ac:dyDescent="0.2">
      <c r="A101" s="164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</row>
    <row r="102" spans="1:144" x14ac:dyDescent="0.2">
      <c r="A102" s="164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</row>
    <row r="103" spans="1:144" x14ac:dyDescent="0.2">
      <c r="A103" s="164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</row>
    <row r="104" spans="1:144" x14ac:dyDescent="0.2">
      <c r="A104" s="164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</row>
    <row r="105" spans="1:144" x14ac:dyDescent="0.2">
      <c r="A105" s="164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</row>
    <row r="106" spans="1:144" x14ac:dyDescent="0.2">
      <c r="A106" s="164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</row>
    <row r="107" spans="1:144" x14ac:dyDescent="0.2">
      <c r="A107" s="164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</row>
    <row r="108" spans="1:144" x14ac:dyDescent="0.2">
      <c r="A108" s="164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</row>
    <row r="109" spans="1:144" x14ac:dyDescent="0.2">
      <c r="A109" s="164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</row>
    <row r="110" spans="1:144" x14ac:dyDescent="0.2">
      <c r="A110" s="164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</row>
    <row r="111" spans="1:144" x14ac:dyDescent="0.2">
      <c r="A111" s="164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</row>
    <row r="112" spans="1:144" x14ac:dyDescent="0.2">
      <c r="A112" s="164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</row>
    <row r="113" spans="1:144" x14ac:dyDescent="0.2">
      <c r="A113" s="164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</row>
    <row r="114" spans="1:144" x14ac:dyDescent="0.2">
      <c r="A114" s="164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</row>
    <row r="115" spans="1:144" x14ac:dyDescent="0.2">
      <c r="A115" s="164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</row>
    <row r="116" spans="1:144" x14ac:dyDescent="0.2">
      <c r="A116" s="164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</row>
    <row r="117" spans="1:144" x14ac:dyDescent="0.2">
      <c r="A117" s="164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</row>
    <row r="118" spans="1:144" x14ac:dyDescent="0.2">
      <c r="A118" s="164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</row>
    <row r="119" spans="1:144" x14ac:dyDescent="0.2">
      <c r="A119" s="164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</row>
    <row r="120" spans="1:144" x14ac:dyDescent="0.2">
      <c r="A120" s="164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</row>
    <row r="121" spans="1:144" x14ac:dyDescent="0.2">
      <c r="A121" s="164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</row>
    <row r="122" spans="1:144" x14ac:dyDescent="0.2">
      <c r="A122" s="164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</row>
    <row r="123" spans="1:144" x14ac:dyDescent="0.2">
      <c r="A123" s="164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</row>
    <row r="124" spans="1:144" x14ac:dyDescent="0.2">
      <c r="A124" s="164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</row>
    <row r="125" spans="1:144" x14ac:dyDescent="0.2">
      <c r="A125" s="164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</row>
    <row r="126" spans="1:144" x14ac:dyDescent="0.2">
      <c r="A126" s="164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</row>
    <row r="127" spans="1:144" x14ac:dyDescent="0.2">
      <c r="A127" s="164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</row>
    <row r="128" spans="1:144" x14ac:dyDescent="0.2">
      <c r="A128" s="164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</row>
    <row r="129" spans="1:144" x14ac:dyDescent="0.2">
      <c r="A129" s="164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</row>
    <row r="130" spans="1:144" x14ac:dyDescent="0.2">
      <c r="A130" s="164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</row>
    <row r="131" spans="1:144" x14ac:dyDescent="0.2">
      <c r="A131" s="164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</row>
    <row r="132" spans="1:144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</row>
    <row r="133" spans="1:144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</row>
    <row r="134" spans="1:144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</row>
    <row r="135" spans="1:144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</row>
    <row r="136" spans="1:144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</row>
    <row r="137" spans="1:144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</row>
    <row r="138" spans="1:144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</row>
    <row r="139" spans="1:144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</row>
    <row r="140" spans="1:144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</row>
    <row r="141" spans="1:144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</row>
    <row r="142" spans="1:144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</row>
    <row r="143" spans="1:144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</row>
    <row r="144" spans="1:144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</row>
    <row r="145" spans="3:144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</row>
    <row r="146" spans="3:144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</row>
    <row r="147" spans="3:144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</row>
    <row r="148" spans="3:144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</row>
    <row r="149" spans="3:144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</row>
    <row r="150" spans="3:144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</row>
    <row r="151" spans="3:144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</row>
    <row r="152" spans="3:144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</row>
    <row r="153" spans="3:144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</row>
    <row r="154" spans="3:144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</row>
    <row r="155" spans="3:144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</row>
    <row r="156" spans="3:144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</row>
    <row r="157" spans="3:144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</row>
    <row r="158" spans="3:144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</row>
    <row r="159" spans="3:144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</row>
    <row r="160" spans="3:144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</row>
    <row r="161" spans="3:144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</row>
    <row r="162" spans="3:144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</row>
    <row r="163" spans="3:144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</row>
    <row r="164" spans="3:144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</row>
    <row r="165" spans="3:144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</row>
    <row r="166" spans="3:144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69"/>
      <c r="EF166" s="169"/>
      <c r="EG166" s="169"/>
      <c r="EH166" s="169"/>
      <c r="EI166" s="169"/>
      <c r="EJ166" s="169"/>
      <c r="EK166" s="169"/>
      <c r="EL166" s="169"/>
      <c r="EM166" s="169"/>
      <c r="EN166" s="169"/>
    </row>
    <row r="167" spans="3:144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</row>
    <row r="168" spans="3:144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</row>
    <row r="169" spans="3:144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</row>
    <row r="170" spans="3:144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</row>
    <row r="171" spans="3:144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</row>
    <row r="172" spans="3:144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</row>
    <row r="173" spans="3:144" x14ac:dyDescent="0.2"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</row>
    <row r="174" spans="3:144" x14ac:dyDescent="0.2"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</row>
    <row r="175" spans="3:144" x14ac:dyDescent="0.2"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</row>
    <row r="176" spans="3:144" x14ac:dyDescent="0.2"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</row>
    <row r="177" spans="3:144" x14ac:dyDescent="0.2"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</row>
    <row r="178" spans="3:144" x14ac:dyDescent="0.2"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</row>
    <row r="179" spans="3:144" x14ac:dyDescent="0.2"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</row>
    <row r="180" spans="3:144" x14ac:dyDescent="0.2"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</row>
    <row r="181" spans="3:144" x14ac:dyDescent="0.2"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</row>
    <row r="182" spans="3:144" x14ac:dyDescent="0.2"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169"/>
      <c r="EM182" s="169"/>
      <c r="EN182" s="169"/>
    </row>
    <row r="183" spans="3:144" x14ac:dyDescent="0.2"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169"/>
      <c r="EM183" s="169"/>
      <c r="EN183" s="169"/>
    </row>
    <row r="184" spans="3:144" x14ac:dyDescent="0.2"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</row>
    <row r="185" spans="3:144" x14ac:dyDescent="0.2"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</row>
    <row r="186" spans="3:144" x14ac:dyDescent="0.2"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</row>
    <row r="187" spans="3:144" x14ac:dyDescent="0.2"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</row>
    <row r="188" spans="3:144" x14ac:dyDescent="0.2"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</row>
    <row r="189" spans="3:144" x14ac:dyDescent="0.2"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</row>
    <row r="190" spans="3:144" x14ac:dyDescent="0.2"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</row>
    <row r="191" spans="3:144" x14ac:dyDescent="0.2"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</row>
    <row r="192" spans="3:144" x14ac:dyDescent="0.2"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</row>
    <row r="193" spans="3:144" x14ac:dyDescent="0.2"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</row>
    <row r="194" spans="3:144" x14ac:dyDescent="0.2"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</row>
    <row r="195" spans="3:144" x14ac:dyDescent="0.2"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</row>
    <row r="196" spans="3:144" x14ac:dyDescent="0.2"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</row>
    <row r="197" spans="3:144" x14ac:dyDescent="0.2"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</row>
    <row r="198" spans="3:144" x14ac:dyDescent="0.2"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</row>
    <row r="199" spans="3:144" x14ac:dyDescent="0.2"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</row>
    <row r="200" spans="3:144" x14ac:dyDescent="0.2"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</row>
    <row r="201" spans="3:144" x14ac:dyDescent="0.2"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</row>
    <row r="202" spans="3:144" x14ac:dyDescent="0.2"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</row>
    <row r="203" spans="3:144" x14ac:dyDescent="0.2"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</row>
    <row r="204" spans="3:144" x14ac:dyDescent="0.2"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</row>
    <row r="205" spans="3:144" x14ac:dyDescent="0.2"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</row>
    <row r="206" spans="3:144" x14ac:dyDescent="0.2"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9"/>
      <c r="EE206" s="169"/>
      <c r="EF206" s="169"/>
      <c r="EG206" s="169"/>
      <c r="EH206" s="169"/>
      <c r="EI206" s="169"/>
      <c r="EJ206" s="169"/>
      <c r="EK206" s="169"/>
      <c r="EL206" s="169"/>
      <c r="EM206" s="169"/>
      <c r="EN206" s="169"/>
    </row>
    <row r="207" spans="3:144" x14ac:dyDescent="0.2"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</row>
    <row r="208" spans="3:144" x14ac:dyDescent="0.2"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</row>
    <row r="209" spans="3:144" x14ac:dyDescent="0.2"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</row>
    <row r="210" spans="3:144" x14ac:dyDescent="0.2"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</row>
    <row r="211" spans="3:144" x14ac:dyDescent="0.2"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</row>
    <row r="212" spans="3:144" x14ac:dyDescent="0.2"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</row>
    <row r="213" spans="3:144" x14ac:dyDescent="0.2"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</row>
    <row r="214" spans="3:144" x14ac:dyDescent="0.2"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</row>
    <row r="215" spans="3:144" x14ac:dyDescent="0.2"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</row>
    <row r="216" spans="3:144" x14ac:dyDescent="0.2"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</row>
    <row r="217" spans="3:144" x14ac:dyDescent="0.2"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</row>
    <row r="218" spans="3:144" x14ac:dyDescent="0.2"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</row>
    <row r="219" spans="3:144" x14ac:dyDescent="0.2"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</row>
    <row r="220" spans="3:144" x14ac:dyDescent="0.2"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</row>
    <row r="221" spans="3:144" x14ac:dyDescent="0.2"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</row>
    <row r="222" spans="3:144" x14ac:dyDescent="0.2"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</row>
    <row r="223" spans="3:144" x14ac:dyDescent="0.2"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</row>
    <row r="224" spans="3:144" x14ac:dyDescent="0.2"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9"/>
      <c r="EE224" s="169"/>
      <c r="EF224" s="169"/>
      <c r="EG224" s="169"/>
      <c r="EH224" s="169"/>
      <c r="EI224" s="169"/>
      <c r="EJ224" s="169"/>
      <c r="EK224" s="169"/>
      <c r="EL224" s="169"/>
      <c r="EM224" s="169"/>
      <c r="EN224" s="169"/>
    </row>
    <row r="225" spans="3:144" x14ac:dyDescent="0.2"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9"/>
      <c r="EE225" s="169"/>
      <c r="EF225" s="169"/>
      <c r="EG225" s="169"/>
      <c r="EH225" s="169"/>
      <c r="EI225" s="169"/>
      <c r="EJ225" s="169"/>
      <c r="EK225" s="169"/>
      <c r="EL225" s="169"/>
      <c r="EM225" s="169"/>
      <c r="EN225" s="169"/>
    </row>
    <row r="226" spans="3:144" x14ac:dyDescent="0.2"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9"/>
      <c r="DC226" s="169"/>
      <c r="DD226" s="169"/>
      <c r="DE226" s="169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9"/>
      <c r="DQ226" s="169"/>
      <c r="DR226" s="169"/>
      <c r="DS226" s="169"/>
      <c r="DT226" s="169"/>
      <c r="DU226" s="169"/>
      <c r="DV226" s="169"/>
      <c r="DW226" s="169"/>
      <c r="DX226" s="169"/>
      <c r="DY226" s="169"/>
      <c r="DZ226" s="169"/>
      <c r="EA226" s="169"/>
      <c r="EB226" s="169"/>
      <c r="EC226" s="169"/>
      <c r="ED226" s="169"/>
      <c r="EE226" s="169"/>
      <c r="EF226" s="169"/>
      <c r="EG226" s="169"/>
      <c r="EH226" s="169"/>
      <c r="EI226" s="169"/>
      <c r="EJ226" s="169"/>
      <c r="EK226" s="169"/>
      <c r="EL226" s="169"/>
      <c r="EM226" s="169"/>
      <c r="EN226" s="169"/>
    </row>
    <row r="227" spans="3:144" x14ac:dyDescent="0.2"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</row>
    <row r="228" spans="3:144" x14ac:dyDescent="0.2"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</row>
    <row r="229" spans="3:144" x14ac:dyDescent="0.2"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</row>
    <row r="230" spans="3:144" x14ac:dyDescent="0.2"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9"/>
      <c r="EE230" s="169"/>
      <c r="EF230" s="169"/>
      <c r="EG230" s="169"/>
      <c r="EH230" s="169"/>
      <c r="EI230" s="169"/>
      <c r="EJ230" s="169"/>
      <c r="EK230" s="169"/>
      <c r="EL230" s="169"/>
      <c r="EM230" s="169"/>
      <c r="EN230" s="169"/>
    </row>
    <row r="231" spans="3:144" x14ac:dyDescent="0.2"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9"/>
      <c r="EE231" s="169"/>
      <c r="EF231" s="169"/>
      <c r="EG231" s="169"/>
      <c r="EH231" s="169"/>
      <c r="EI231" s="169"/>
      <c r="EJ231" s="169"/>
      <c r="EK231" s="169"/>
      <c r="EL231" s="169"/>
      <c r="EM231" s="169"/>
      <c r="EN231" s="169"/>
    </row>
    <row r="232" spans="3:144" x14ac:dyDescent="0.2"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</row>
    <row r="233" spans="3:144" x14ac:dyDescent="0.2"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</row>
    <row r="234" spans="3:144" x14ac:dyDescent="0.2"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</row>
    <row r="235" spans="3:144" x14ac:dyDescent="0.2"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</row>
    <row r="236" spans="3:144" x14ac:dyDescent="0.2"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9"/>
      <c r="EE236" s="169"/>
      <c r="EF236" s="169"/>
      <c r="EG236" s="169"/>
      <c r="EH236" s="169"/>
      <c r="EI236" s="169"/>
      <c r="EJ236" s="169"/>
      <c r="EK236" s="169"/>
      <c r="EL236" s="169"/>
      <c r="EM236" s="169"/>
      <c r="EN236" s="169"/>
    </row>
    <row r="237" spans="3:144" x14ac:dyDescent="0.2"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</row>
    <row r="238" spans="3:144" x14ac:dyDescent="0.2"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</row>
    <row r="239" spans="3:144" x14ac:dyDescent="0.2"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</row>
    <row r="240" spans="3:144" x14ac:dyDescent="0.2"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</row>
    <row r="241" spans="3:144" x14ac:dyDescent="0.2"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</row>
    <row r="242" spans="3:144" x14ac:dyDescent="0.2"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</row>
    <row r="243" spans="3:144" x14ac:dyDescent="0.2"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</row>
    <row r="244" spans="3:144" x14ac:dyDescent="0.2"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</row>
    <row r="245" spans="3:144" x14ac:dyDescent="0.2"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9"/>
      <c r="EE245" s="169"/>
      <c r="EF245" s="169"/>
      <c r="EG245" s="169"/>
      <c r="EH245" s="169"/>
      <c r="EI245" s="169"/>
      <c r="EJ245" s="169"/>
      <c r="EK245" s="169"/>
      <c r="EL245" s="169"/>
      <c r="EM245" s="169"/>
      <c r="EN245" s="169"/>
    </row>
    <row r="246" spans="3:144" x14ac:dyDescent="0.2"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9"/>
      <c r="EE246" s="169"/>
      <c r="EF246" s="169"/>
      <c r="EG246" s="169"/>
      <c r="EH246" s="169"/>
      <c r="EI246" s="169"/>
      <c r="EJ246" s="169"/>
      <c r="EK246" s="169"/>
      <c r="EL246" s="169"/>
      <c r="EM246" s="169"/>
      <c r="EN246" s="169"/>
    </row>
    <row r="247" spans="3:144" x14ac:dyDescent="0.2"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9"/>
      <c r="EE247" s="169"/>
      <c r="EF247" s="169"/>
      <c r="EG247" s="169"/>
      <c r="EH247" s="169"/>
      <c r="EI247" s="169"/>
      <c r="EJ247" s="169"/>
      <c r="EK247" s="169"/>
      <c r="EL247" s="169"/>
      <c r="EM247" s="169"/>
      <c r="EN247" s="169"/>
    </row>
    <row r="248" spans="3:144" x14ac:dyDescent="0.2"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9"/>
      <c r="EE248" s="169"/>
      <c r="EF248" s="169"/>
      <c r="EG248" s="169"/>
      <c r="EH248" s="169"/>
      <c r="EI248" s="169"/>
      <c r="EJ248" s="169"/>
      <c r="EK248" s="169"/>
      <c r="EL248" s="169"/>
      <c r="EM248" s="169"/>
      <c r="EN248" s="169"/>
    </row>
    <row r="249" spans="3:144" x14ac:dyDescent="0.2"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9"/>
      <c r="EE249" s="169"/>
      <c r="EF249" s="169"/>
      <c r="EG249" s="169"/>
      <c r="EH249" s="169"/>
      <c r="EI249" s="169"/>
      <c r="EJ249" s="169"/>
      <c r="EK249" s="169"/>
      <c r="EL249" s="169"/>
      <c r="EM249" s="169"/>
      <c r="EN249" s="169"/>
    </row>
    <row r="250" spans="3:144" x14ac:dyDescent="0.2"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9"/>
      <c r="EE250" s="169"/>
      <c r="EF250" s="169"/>
      <c r="EG250" s="169"/>
      <c r="EH250" s="169"/>
      <c r="EI250" s="169"/>
      <c r="EJ250" s="169"/>
      <c r="EK250" s="169"/>
      <c r="EL250" s="169"/>
      <c r="EM250" s="169"/>
      <c r="EN250" s="169"/>
    </row>
    <row r="251" spans="3:144" x14ac:dyDescent="0.2"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9"/>
      <c r="EE251" s="169"/>
      <c r="EF251" s="169"/>
      <c r="EG251" s="169"/>
      <c r="EH251" s="169"/>
      <c r="EI251" s="169"/>
      <c r="EJ251" s="169"/>
      <c r="EK251" s="169"/>
      <c r="EL251" s="169"/>
      <c r="EM251" s="169"/>
      <c r="EN251" s="169"/>
    </row>
    <row r="252" spans="3:144" x14ac:dyDescent="0.2"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9"/>
      <c r="EE252" s="169"/>
      <c r="EF252" s="169"/>
      <c r="EG252" s="169"/>
      <c r="EH252" s="169"/>
      <c r="EI252" s="169"/>
      <c r="EJ252" s="169"/>
      <c r="EK252" s="169"/>
      <c r="EL252" s="169"/>
      <c r="EM252" s="169"/>
      <c r="EN252" s="169"/>
    </row>
    <row r="253" spans="3:144" x14ac:dyDescent="0.2"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9"/>
      <c r="EE253" s="169"/>
      <c r="EF253" s="169"/>
      <c r="EG253" s="169"/>
      <c r="EH253" s="169"/>
      <c r="EI253" s="169"/>
      <c r="EJ253" s="169"/>
      <c r="EK253" s="169"/>
      <c r="EL253" s="169"/>
      <c r="EM253" s="169"/>
      <c r="EN253" s="169"/>
    </row>
    <row r="254" spans="3:144" x14ac:dyDescent="0.2"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169"/>
      <c r="DU254" s="169"/>
      <c r="DV254" s="169"/>
      <c r="DW254" s="169"/>
      <c r="DX254" s="169"/>
      <c r="DY254" s="169"/>
      <c r="DZ254" s="169"/>
      <c r="EA254" s="169"/>
      <c r="EB254" s="169"/>
      <c r="EC254" s="169"/>
      <c r="ED254" s="169"/>
      <c r="EE254" s="169"/>
      <c r="EF254" s="169"/>
      <c r="EG254" s="169"/>
      <c r="EH254" s="169"/>
      <c r="EI254" s="169"/>
      <c r="EJ254" s="169"/>
      <c r="EK254" s="169"/>
      <c r="EL254" s="169"/>
      <c r="EM254" s="169"/>
      <c r="EN254" s="169"/>
    </row>
    <row r="255" spans="3:144" x14ac:dyDescent="0.2"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69"/>
      <c r="EF255" s="169"/>
      <c r="EG255" s="169"/>
      <c r="EH255" s="169"/>
      <c r="EI255" s="169"/>
      <c r="EJ255" s="169"/>
      <c r="EK255" s="169"/>
      <c r="EL255" s="169"/>
      <c r="EM255" s="169"/>
      <c r="EN255" s="169"/>
    </row>
    <row r="256" spans="3:144" x14ac:dyDescent="0.2"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9"/>
      <c r="DC256" s="169"/>
      <c r="DD256" s="169"/>
      <c r="DE256" s="169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9"/>
      <c r="DQ256" s="169"/>
      <c r="DR256" s="169"/>
      <c r="DS256" s="169"/>
      <c r="DT256" s="169"/>
      <c r="DU256" s="169"/>
      <c r="DV256" s="169"/>
      <c r="DW256" s="169"/>
      <c r="DX256" s="169"/>
      <c r="DY256" s="169"/>
      <c r="DZ256" s="169"/>
      <c r="EA256" s="169"/>
      <c r="EB256" s="169"/>
      <c r="EC256" s="169"/>
      <c r="ED256" s="169"/>
      <c r="EE256" s="169"/>
      <c r="EF256" s="169"/>
      <c r="EG256" s="169"/>
      <c r="EH256" s="169"/>
      <c r="EI256" s="169"/>
      <c r="EJ256" s="169"/>
      <c r="EK256" s="169"/>
      <c r="EL256" s="169"/>
      <c r="EM256" s="169"/>
      <c r="EN256" s="169"/>
    </row>
    <row r="257" spans="3:144" x14ac:dyDescent="0.2"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9"/>
      <c r="EE257" s="169"/>
      <c r="EF257" s="169"/>
      <c r="EG257" s="169"/>
      <c r="EH257" s="169"/>
      <c r="EI257" s="169"/>
      <c r="EJ257" s="169"/>
      <c r="EK257" s="169"/>
      <c r="EL257" s="169"/>
      <c r="EM257" s="169"/>
      <c r="EN257" s="169"/>
    </row>
    <row r="258" spans="3:144" x14ac:dyDescent="0.2"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9"/>
      <c r="EE258" s="169"/>
      <c r="EF258" s="169"/>
      <c r="EG258" s="169"/>
      <c r="EH258" s="169"/>
      <c r="EI258" s="169"/>
      <c r="EJ258" s="169"/>
      <c r="EK258" s="169"/>
      <c r="EL258" s="169"/>
      <c r="EM258" s="169"/>
      <c r="EN258" s="169"/>
    </row>
    <row r="259" spans="3:144" x14ac:dyDescent="0.2"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9"/>
      <c r="EE259" s="169"/>
      <c r="EF259" s="169"/>
      <c r="EG259" s="169"/>
      <c r="EH259" s="169"/>
      <c r="EI259" s="169"/>
      <c r="EJ259" s="169"/>
      <c r="EK259" s="169"/>
      <c r="EL259" s="169"/>
      <c r="EM259" s="169"/>
      <c r="EN259" s="169"/>
    </row>
    <row r="260" spans="3:144" x14ac:dyDescent="0.2"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9"/>
      <c r="EE260" s="169"/>
      <c r="EF260" s="169"/>
      <c r="EG260" s="169"/>
      <c r="EH260" s="169"/>
      <c r="EI260" s="169"/>
      <c r="EJ260" s="169"/>
      <c r="EK260" s="169"/>
      <c r="EL260" s="169"/>
      <c r="EM260" s="169"/>
      <c r="EN260" s="169"/>
    </row>
    <row r="261" spans="3:144" x14ac:dyDescent="0.2"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9"/>
      <c r="DC261" s="169"/>
      <c r="DD261" s="169"/>
      <c r="DE261" s="169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9"/>
      <c r="DQ261" s="169"/>
      <c r="DR261" s="169"/>
      <c r="DS261" s="169"/>
      <c r="DT261" s="169"/>
      <c r="DU261" s="169"/>
      <c r="DV261" s="169"/>
      <c r="DW261" s="169"/>
      <c r="DX261" s="169"/>
      <c r="DY261" s="169"/>
      <c r="DZ261" s="169"/>
      <c r="EA261" s="169"/>
      <c r="EB261" s="169"/>
      <c r="EC261" s="169"/>
      <c r="ED261" s="169"/>
      <c r="EE261" s="169"/>
      <c r="EF261" s="169"/>
      <c r="EG261" s="169"/>
      <c r="EH261" s="169"/>
      <c r="EI261" s="169"/>
      <c r="EJ261" s="169"/>
      <c r="EK261" s="169"/>
      <c r="EL261" s="169"/>
      <c r="EM261" s="169"/>
      <c r="EN261" s="169"/>
    </row>
    <row r="262" spans="3:144" x14ac:dyDescent="0.2"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9"/>
      <c r="EE262" s="169"/>
      <c r="EF262" s="169"/>
      <c r="EG262" s="169"/>
      <c r="EH262" s="169"/>
      <c r="EI262" s="169"/>
      <c r="EJ262" s="169"/>
      <c r="EK262" s="169"/>
      <c r="EL262" s="169"/>
      <c r="EM262" s="169"/>
      <c r="EN262" s="169"/>
    </row>
    <row r="263" spans="3:144" x14ac:dyDescent="0.2"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9"/>
      <c r="EE263" s="169"/>
      <c r="EF263" s="169"/>
      <c r="EG263" s="169"/>
      <c r="EH263" s="169"/>
      <c r="EI263" s="169"/>
      <c r="EJ263" s="169"/>
      <c r="EK263" s="169"/>
      <c r="EL263" s="169"/>
      <c r="EM263" s="169"/>
      <c r="EN263" s="169"/>
    </row>
    <row r="264" spans="3:144" x14ac:dyDescent="0.2"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9"/>
      <c r="DC264" s="169"/>
      <c r="DD264" s="169"/>
      <c r="DE264" s="169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9"/>
      <c r="DQ264" s="169"/>
      <c r="DR264" s="169"/>
      <c r="DS264" s="169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9"/>
      <c r="EE264" s="169"/>
      <c r="EF264" s="169"/>
      <c r="EG264" s="169"/>
      <c r="EH264" s="169"/>
      <c r="EI264" s="169"/>
      <c r="EJ264" s="169"/>
      <c r="EK264" s="169"/>
      <c r="EL264" s="169"/>
      <c r="EM264" s="169"/>
      <c r="EN264" s="169"/>
    </row>
    <row r="265" spans="3:144" x14ac:dyDescent="0.2"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</row>
    <row r="266" spans="3:144" x14ac:dyDescent="0.2"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9"/>
      <c r="EE266" s="169"/>
      <c r="EF266" s="169"/>
      <c r="EG266" s="169"/>
      <c r="EH266" s="169"/>
      <c r="EI266" s="169"/>
      <c r="EJ266" s="169"/>
      <c r="EK266" s="169"/>
      <c r="EL266" s="169"/>
      <c r="EM266" s="169"/>
      <c r="EN266" s="169"/>
    </row>
    <row r="267" spans="3:144" x14ac:dyDescent="0.2"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9"/>
      <c r="EE267" s="169"/>
      <c r="EF267" s="169"/>
      <c r="EG267" s="169"/>
      <c r="EH267" s="169"/>
      <c r="EI267" s="169"/>
      <c r="EJ267" s="169"/>
      <c r="EK267" s="169"/>
      <c r="EL267" s="169"/>
      <c r="EM267" s="169"/>
      <c r="EN267" s="169"/>
    </row>
    <row r="268" spans="3:144" x14ac:dyDescent="0.2"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9"/>
      <c r="EE268" s="169"/>
      <c r="EF268" s="169"/>
      <c r="EG268" s="169"/>
      <c r="EH268" s="169"/>
      <c r="EI268" s="169"/>
      <c r="EJ268" s="169"/>
      <c r="EK268" s="169"/>
      <c r="EL268" s="169"/>
      <c r="EM268" s="169"/>
      <c r="EN268" s="169"/>
    </row>
    <row r="269" spans="3:144" x14ac:dyDescent="0.2"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9"/>
      <c r="EE269" s="169"/>
      <c r="EF269" s="169"/>
      <c r="EG269" s="169"/>
      <c r="EH269" s="169"/>
      <c r="EI269" s="169"/>
      <c r="EJ269" s="169"/>
      <c r="EK269" s="169"/>
      <c r="EL269" s="169"/>
      <c r="EM269" s="169"/>
      <c r="EN269" s="169"/>
    </row>
    <row r="270" spans="3:144" x14ac:dyDescent="0.2"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9"/>
      <c r="EE270" s="169"/>
      <c r="EF270" s="169"/>
      <c r="EG270" s="169"/>
      <c r="EH270" s="169"/>
      <c r="EI270" s="169"/>
      <c r="EJ270" s="169"/>
      <c r="EK270" s="169"/>
      <c r="EL270" s="169"/>
      <c r="EM270" s="169"/>
      <c r="EN270" s="169"/>
    </row>
    <row r="271" spans="3:144" x14ac:dyDescent="0.2"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69"/>
      <c r="EN271" s="169"/>
    </row>
    <row r="272" spans="3:144" x14ac:dyDescent="0.2"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9"/>
      <c r="EE272" s="169"/>
      <c r="EF272" s="169"/>
      <c r="EG272" s="169"/>
      <c r="EH272" s="169"/>
      <c r="EI272" s="169"/>
      <c r="EJ272" s="169"/>
      <c r="EK272" s="169"/>
      <c r="EL272" s="169"/>
      <c r="EM272" s="169"/>
      <c r="EN272" s="169"/>
    </row>
    <row r="273" spans="3:144" x14ac:dyDescent="0.2"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9"/>
      <c r="EE273" s="169"/>
      <c r="EF273" s="169"/>
      <c r="EG273" s="169"/>
      <c r="EH273" s="169"/>
      <c r="EI273" s="169"/>
      <c r="EJ273" s="169"/>
      <c r="EK273" s="169"/>
      <c r="EL273" s="169"/>
      <c r="EM273" s="169"/>
      <c r="EN273" s="169"/>
    </row>
    <row r="274" spans="3:144" x14ac:dyDescent="0.2"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9"/>
      <c r="EE274" s="169"/>
      <c r="EF274" s="169"/>
      <c r="EG274" s="169"/>
      <c r="EH274" s="169"/>
      <c r="EI274" s="169"/>
      <c r="EJ274" s="169"/>
      <c r="EK274" s="169"/>
      <c r="EL274" s="169"/>
      <c r="EM274" s="169"/>
      <c r="EN274" s="169"/>
    </row>
    <row r="275" spans="3:144" x14ac:dyDescent="0.2"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9"/>
      <c r="EE275" s="169"/>
      <c r="EF275" s="169"/>
      <c r="EG275" s="169"/>
      <c r="EH275" s="169"/>
      <c r="EI275" s="169"/>
      <c r="EJ275" s="169"/>
      <c r="EK275" s="169"/>
      <c r="EL275" s="169"/>
      <c r="EM275" s="169"/>
      <c r="EN275" s="169"/>
    </row>
    <row r="276" spans="3:144" x14ac:dyDescent="0.2"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9"/>
      <c r="EE276" s="169"/>
      <c r="EF276" s="169"/>
      <c r="EG276" s="169"/>
      <c r="EH276" s="169"/>
      <c r="EI276" s="169"/>
      <c r="EJ276" s="169"/>
      <c r="EK276" s="169"/>
      <c r="EL276" s="169"/>
      <c r="EM276" s="169"/>
      <c r="EN276" s="169"/>
    </row>
    <row r="277" spans="3:144" x14ac:dyDescent="0.2"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9"/>
      <c r="EE277" s="169"/>
      <c r="EF277" s="169"/>
      <c r="EG277" s="169"/>
      <c r="EH277" s="169"/>
      <c r="EI277" s="169"/>
      <c r="EJ277" s="169"/>
      <c r="EK277" s="169"/>
      <c r="EL277" s="169"/>
      <c r="EM277" s="169"/>
      <c r="EN277" s="169"/>
    </row>
    <row r="278" spans="3:144" x14ac:dyDescent="0.2"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9"/>
      <c r="EE278" s="169"/>
      <c r="EF278" s="169"/>
      <c r="EG278" s="169"/>
      <c r="EH278" s="169"/>
      <c r="EI278" s="169"/>
      <c r="EJ278" s="169"/>
      <c r="EK278" s="169"/>
      <c r="EL278" s="169"/>
      <c r="EM278" s="169"/>
      <c r="EN278" s="169"/>
    </row>
    <row r="279" spans="3:144" x14ac:dyDescent="0.2"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9"/>
      <c r="EE279" s="169"/>
      <c r="EF279" s="169"/>
      <c r="EG279" s="169"/>
      <c r="EH279" s="169"/>
      <c r="EI279" s="169"/>
      <c r="EJ279" s="169"/>
      <c r="EK279" s="169"/>
      <c r="EL279" s="169"/>
      <c r="EM279" s="169"/>
      <c r="EN279" s="169"/>
    </row>
    <row r="280" spans="3:144" x14ac:dyDescent="0.2"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9"/>
      <c r="EE280" s="169"/>
      <c r="EF280" s="169"/>
      <c r="EG280" s="169"/>
      <c r="EH280" s="169"/>
      <c r="EI280" s="169"/>
      <c r="EJ280" s="169"/>
      <c r="EK280" s="169"/>
      <c r="EL280" s="169"/>
      <c r="EM280" s="169"/>
      <c r="EN280" s="169"/>
    </row>
    <row r="281" spans="3:144" x14ac:dyDescent="0.2"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9"/>
      <c r="EE281" s="169"/>
      <c r="EF281" s="169"/>
      <c r="EG281" s="169"/>
      <c r="EH281" s="169"/>
      <c r="EI281" s="169"/>
      <c r="EJ281" s="169"/>
      <c r="EK281" s="169"/>
      <c r="EL281" s="169"/>
      <c r="EM281" s="169"/>
      <c r="EN281" s="169"/>
    </row>
    <row r="282" spans="3:144" x14ac:dyDescent="0.2"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9"/>
      <c r="EE282" s="169"/>
      <c r="EF282" s="169"/>
      <c r="EG282" s="169"/>
      <c r="EH282" s="169"/>
      <c r="EI282" s="169"/>
      <c r="EJ282" s="169"/>
      <c r="EK282" s="169"/>
      <c r="EL282" s="169"/>
      <c r="EM282" s="169"/>
      <c r="EN282" s="169"/>
    </row>
    <row r="283" spans="3:144" x14ac:dyDescent="0.2"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9"/>
      <c r="EE283" s="169"/>
      <c r="EF283" s="169"/>
      <c r="EG283" s="169"/>
      <c r="EH283" s="169"/>
      <c r="EI283" s="169"/>
      <c r="EJ283" s="169"/>
      <c r="EK283" s="169"/>
      <c r="EL283" s="169"/>
      <c r="EM283" s="169"/>
      <c r="EN283" s="169"/>
    </row>
    <row r="284" spans="3:144" x14ac:dyDescent="0.2"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9"/>
      <c r="EE284" s="169"/>
      <c r="EF284" s="169"/>
      <c r="EG284" s="169"/>
      <c r="EH284" s="169"/>
      <c r="EI284" s="169"/>
      <c r="EJ284" s="169"/>
      <c r="EK284" s="169"/>
      <c r="EL284" s="169"/>
      <c r="EM284" s="169"/>
      <c r="EN284" s="169"/>
    </row>
    <row r="285" spans="3:144" x14ac:dyDescent="0.2"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9"/>
      <c r="EE285" s="169"/>
      <c r="EF285" s="169"/>
      <c r="EG285" s="169"/>
      <c r="EH285" s="169"/>
      <c r="EI285" s="169"/>
      <c r="EJ285" s="169"/>
      <c r="EK285" s="169"/>
      <c r="EL285" s="169"/>
      <c r="EM285" s="169"/>
      <c r="EN285" s="169"/>
    </row>
    <row r="286" spans="3:144" x14ac:dyDescent="0.2"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9"/>
      <c r="EE286" s="169"/>
      <c r="EF286" s="169"/>
      <c r="EG286" s="169"/>
      <c r="EH286" s="169"/>
      <c r="EI286" s="169"/>
      <c r="EJ286" s="169"/>
      <c r="EK286" s="169"/>
      <c r="EL286" s="169"/>
      <c r="EM286" s="169"/>
      <c r="EN286" s="169"/>
    </row>
    <row r="287" spans="3:144" x14ac:dyDescent="0.2"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9"/>
      <c r="EE287" s="169"/>
      <c r="EF287" s="169"/>
      <c r="EG287" s="169"/>
      <c r="EH287" s="169"/>
      <c r="EI287" s="169"/>
      <c r="EJ287" s="169"/>
      <c r="EK287" s="169"/>
      <c r="EL287" s="169"/>
      <c r="EM287" s="169"/>
      <c r="EN287" s="169"/>
    </row>
    <row r="288" spans="3:144" x14ac:dyDescent="0.2"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9"/>
      <c r="EE288" s="169"/>
      <c r="EF288" s="169"/>
      <c r="EG288" s="169"/>
      <c r="EH288" s="169"/>
      <c r="EI288" s="169"/>
      <c r="EJ288" s="169"/>
      <c r="EK288" s="169"/>
      <c r="EL288" s="169"/>
      <c r="EM288" s="169"/>
      <c r="EN288" s="169"/>
    </row>
    <row r="289" spans="3:144" x14ac:dyDescent="0.2"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9"/>
      <c r="EE289" s="169"/>
      <c r="EF289" s="169"/>
      <c r="EG289" s="169"/>
      <c r="EH289" s="169"/>
      <c r="EI289" s="169"/>
      <c r="EJ289" s="169"/>
      <c r="EK289" s="169"/>
      <c r="EL289" s="169"/>
      <c r="EM289" s="169"/>
      <c r="EN289" s="169"/>
    </row>
    <row r="290" spans="3:144" x14ac:dyDescent="0.2"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</row>
    <row r="291" spans="3:144" x14ac:dyDescent="0.2"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</row>
    <row r="292" spans="3:144" x14ac:dyDescent="0.2"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</row>
    <row r="293" spans="3:144" x14ac:dyDescent="0.2"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</row>
    <row r="294" spans="3:144" x14ac:dyDescent="0.2"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</row>
    <row r="295" spans="3:144" x14ac:dyDescent="0.2"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</row>
    <row r="296" spans="3:144" x14ac:dyDescent="0.2"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</row>
    <row r="297" spans="3:144" x14ac:dyDescent="0.2"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</row>
    <row r="298" spans="3:144" x14ac:dyDescent="0.2"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</row>
    <row r="299" spans="3:144" x14ac:dyDescent="0.2"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</row>
    <row r="300" spans="3:144" x14ac:dyDescent="0.2"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</row>
    <row r="301" spans="3:144" x14ac:dyDescent="0.2"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9"/>
      <c r="DC301" s="169"/>
      <c r="DD301" s="169"/>
      <c r="DE301" s="169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9"/>
      <c r="DQ301" s="169"/>
      <c r="DR301" s="169"/>
      <c r="DS301" s="169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9"/>
      <c r="EE301" s="169"/>
      <c r="EF301" s="169"/>
      <c r="EG301" s="169"/>
      <c r="EH301" s="169"/>
      <c r="EI301" s="169"/>
      <c r="EJ301" s="169"/>
      <c r="EK301" s="169"/>
      <c r="EL301" s="169"/>
      <c r="EM301" s="169"/>
      <c r="EN301" s="169"/>
    </row>
    <row r="302" spans="3:144" x14ac:dyDescent="0.2"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</row>
    <row r="303" spans="3:144" x14ac:dyDescent="0.2"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9"/>
      <c r="DC303" s="169"/>
      <c r="DD303" s="169"/>
      <c r="DE303" s="169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9"/>
      <c r="DQ303" s="169"/>
      <c r="DR303" s="169"/>
      <c r="DS303" s="169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9"/>
      <c r="EE303" s="169"/>
      <c r="EF303" s="169"/>
      <c r="EG303" s="169"/>
      <c r="EH303" s="169"/>
      <c r="EI303" s="169"/>
      <c r="EJ303" s="169"/>
      <c r="EK303" s="169"/>
      <c r="EL303" s="169"/>
      <c r="EM303" s="169"/>
      <c r="EN303" s="169"/>
    </row>
    <row r="304" spans="3:144" x14ac:dyDescent="0.2"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9"/>
      <c r="DC304" s="169"/>
      <c r="DD304" s="169"/>
      <c r="DE304" s="169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9"/>
      <c r="DQ304" s="169"/>
      <c r="DR304" s="169"/>
      <c r="DS304" s="169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9"/>
      <c r="EE304" s="169"/>
      <c r="EF304" s="169"/>
      <c r="EG304" s="169"/>
      <c r="EH304" s="169"/>
      <c r="EI304" s="169"/>
      <c r="EJ304" s="169"/>
      <c r="EK304" s="169"/>
      <c r="EL304" s="169"/>
      <c r="EM304" s="169"/>
      <c r="EN304" s="169"/>
    </row>
    <row r="305" spans="3:144" x14ac:dyDescent="0.2"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9"/>
      <c r="DC305" s="169"/>
      <c r="DD305" s="169"/>
      <c r="DE305" s="169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9"/>
      <c r="DQ305" s="169"/>
      <c r="DR305" s="169"/>
      <c r="DS305" s="169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9"/>
      <c r="EE305" s="169"/>
      <c r="EF305" s="169"/>
      <c r="EG305" s="169"/>
      <c r="EH305" s="169"/>
      <c r="EI305" s="169"/>
      <c r="EJ305" s="169"/>
      <c r="EK305" s="169"/>
      <c r="EL305" s="169"/>
      <c r="EM305" s="169"/>
      <c r="EN305" s="169"/>
    </row>
    <row r="306" spans="3:144" x14ac:dyDescent="0.2"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</row>
    <row r="307" spans="3:144" x14ac:dyDescent="0.2"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</row>
    <row r="308" spans="3:144" x14ac:dyDescent="0.2"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</row>
    <row r="309" spans="3:144" x14ac:dyDescent="0.2"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</row>
    <row r="310" spans="3:144" x14ac:dyDescent="0.2"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</row>
    <row r="311" spans="3:144" x14ac:dyDescent="0.2"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</row>
    <row r="312" spans="3:144" x14ac:dyDescent="0.2"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</row>
    <row r="313" spans="3:144" x14ac:dyDescent="0.2"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</row>
    <row r="314" spans="3:144" x14ac:dyDescent="0.2"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</row>
    <row r="315" spans="3:144" x14ac:dyDescent="0.2"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</row>
    <row r="316" spans="3:144" x14ac:dyDescent="0.2"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</row>
    <row r="317" spans="3:144" x14ac:dyDescent="0.2"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</row>
    <row r="318" spans="3:144" x14ac:dyDescent="0.2"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</row>
    <row r="319" spans="3:144" x14ac:dyDescent="0.2"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  <c r="CZ319" s="169"/>
      <c r="DA319" s="169"/>
      <c r="DB319" s="169"/>
      <c r="DC319" s="169"/>
      <c r="DD319" s="169"/>
      <c r="DE319" s="169"/>
      <c r="DF319" s="169"/>
      <c r="DG319" s="169"/>
      <c r="DH319" s="169"/>
      <c r="DI319" s="169"/>
      <c r="DJ319" s="169"/>
      <c r="DK319" s="169"/>
      <c r="DL319" s="169"/>
      <c r="DM319" s="169"/>
      <c r="DN319" s="169"/>
      <c r="DO319" s="169"/>
      <c r="DP319" s="169"/>
      <c r="DQ319" s="169"/>
      <c r="DR319" s="169"/>
      <c r="DS319" s="169"/>
      <c r="DT319" s="169"/>
      <c r="DU319" s="169"/>
      <c r="DV319" s="169"/>
      <c r="DW319" s="169"/>
      <c r="DX319" s="169"/>
      <c r="DY319" s="169"/>
      <c r="DZ319" s="169"/>
      <c r="EA319" s="169"/>
      <c r="EB319" s="169"/>
      <c r="EC319" s="169"/>
      <c r="ED319" s="169"/>
      <c r="EE319" s="169"/>
      <c r="EF319" s="169"/>
      <c r="EG319" s="169"/>
      <c r="EH319" s="169"/>
      <c r="EI319" s="169"/>
      <c r="EJ319" s="169"/>
      <c r="EK319" s="169"/>
      <c r="EL319" s="169"/>
      <c r="EM319" s="169"/>
      <c r="EN319" s="169"/>
    </row>
    <row r="320" spans="3:144" x14ac:dyDescent="0.2"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69"/>
      <c r="CZ320" s="169"/>
      <c r="DA320" s="169"/>
      <c r="DB320" s="169"/>
      <c r="DC320" s="169"/>
      <c r="DD320" s="169"/>
      <c r="DE320" s="169"/>
      <c r="DF320" s="169"/>
      <c r="DG320" s="169"/>
      <c r="DH320" s="169"/>
      <c r="DI320" s="169"/>
      <c r="DJ320" s="169"/>
      <c r="DK320" s="169"/>
      <c r="DL320" s="169"/>
      <c r="DM320" s="169"/>
      <c r="DN320" s="169"/>
      <c r="DO320" s="169"/>
      <c r="DP320" s="169"/>
      <c r="DQ320" s="169"/>
      <c r="DR320" s="169"/>
      <c r="DS320" s="169"/>
      <c r="DT320" s="169"/>
      <c r="DU320" s="169"/>
      <c r="DV320" s="169"/>
      <c r="DW320" s="169"/>
      <c r="DX320" s="169"/>
      <c r="DY320" s="169"/>
      <c r="DZ320" s="169"/>
      <c r="EA320" s="169"/>
      <c r="EB320" s="169"/>
      <c r="EC320" s="169"/>
      <c r="ED320" s="169"/>
      <c r="EE320" s="169"/>
      <c r="EF320" s="169"/>
      <c r="EG320" s="169"/>
      <c r="EH320" s="169"/>
      <c r="EI320" s="169"/>
      <c r="EJ320" s="169"/>
      <c r="EK320" s="169"/>
      <c r="EL320" s="169"/>
      <c r="EM320" s="169"/>
      <c r="EN320" s="169"/>
    </row>
    <row r="321" spans="3:144" x14ac:dyDescent="0.2"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  <c r="CZ321" s="169"/>
      <c r="DA321" s="169"/>
      <c r="DB321" s="169"/>
      <c r="DC321" s="169"/>
      <c r="DD321" s="169"/>
      <c r="DE321" s="169"/>
      <c r="DF321" s="169"/>
      <c r="DG321" s="169"/>
      <c r="DH321" s="169"/>
      <c r="DI321" s="169"/>
      <c r="DJ321" s="169"/>
      <c r="DK321" s="169"/>
      <c r="DL321" s="169"/>
      <c r="DM321" s="169"/>
      <c r="DN321" s="169"/>
      <c r="DO321" s="169"/>
      <c r="DP321" s="169"/>
      <c r="DQ321" s="169"/>
      <c r="DR321" s="169"/>
      <c r="DS321" s="169"/>
      <c r="DT321" s="169"/>
      <c r="DU321" s="169"/>
      <c r="DV321" s="169"/>
      <c r="DW321" s="169"/>
      <c r="DX321" s="169"/>
      <c r="DY321" s="169"/>
      <c r="DZ321" s="169"/>
      <c r="EA321" s="169"/>
      <c r="EB321" s="169"/>
      <c r="EC321" s="169"/>
      <c r="ED321" s="169"/>
      <c r="EE321" s="169"/>
      <c r="EF321" s="169"/>
      <c r="EG321" s="169"/>
      <c r="EH321" s="169"/>
      <c r="EI321" s="169"/>
      <c r="EJ321" s="169"/>
      <c r="EK321" s="169"/>
      <c r="EL321" s="169"/>
      <c r="EM321" s="169"/>
      <c r="EN321" s="169"/>
    </row>
    <row r="322" spans="3:144" x14ac:dyDescent="0.2"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</row>
    <row r="323" spans="3:144" x14ac:dyDescent="0.2"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</row>
    <row r="324" spans="3:144" x14ac:dyDescent="0.2"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</row>
    <row r="325" spans="3:144" x14ac:dyDescent="0.2"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</row>
    <row r="326" spans="3:144" x14ac:dyDescent="0.2"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</row>
    <row r="327" spans="3:144" x14ac:dyDescent="0.2"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</row>
    <row r="328" spans="3:144" x14ac:dyDescent="0.2"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</row>
    <row r="329" spans="3:144" x14ac:dyDescent="0.2"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</row>
    <row r="330" spans="3:144" x14ac:dyDescent="0.2"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</row>
    <row r="331" spans="3:144" x14ac:dyDescent="0.2"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</row>
    <row r="332" spans="3:144" x14ac:dyDescent="0.2"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</row>
    <row r="333" spans="3:144" x14ac:dyDescent="0.2"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</row>
    <row r="334" spans="3:144" x14ac:dyDescent="0.2"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</row>
    <row r="335" spans="3:144" x14ac:dyDescent="0.2"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69"/>
      <c r="EC335" s="169"/>
      <c r="ED335" s="169"/>
      <c r="EE335" s="169"/>
      <c r="EF335" s="169"/>
      <c r="EG335" s="169"/>
      <c r="EH335" s="169"/>
      <c r="EI335" s="169"/>
      <c r="EJ335" s="169"/>
      <c r="EK335" s="169"/>
      <c r="EL335" s="169"/>
      <c r="EM335" s="169"/>
      <c r="EN335" s="169"/>
    </row>
    <row r="336" spans="3:144" x14ac:dyDescent="0.2"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169"/>
      <c r="DB336" s="169"/>
      <c r="DC336" s="169"/>
      <c r="DD336" s="169"/>
      <c r="DE336" s="169"/>
      <c r="DF336" s="169"/>
      <c r="DG336" s="169"/>
      <c r="DH336" s="169"/>
      <c r="DI336" s="169"/>
      <c r="DJ336" s="169"/>
      <c r="DK336" s="169"/>
      <c r="DL336" s="169"/>
      <c r="DM336" s="169"/>
      <c r="DN336" s="169"/>
      <c r="DO336" s="169"/>
      <c r="DP336" s="169"/>
      <c r="DQ336" s="169"/>
      <c r="DR336" s="169"/>
      <c r="DS336" s="169"/>
      <c r="DT336" s="169"/>
      <c r="DU336" s="169"/>
      <c r="DV336" s="169"/>
      <c r="DW336" s="169"/>
      <c r="DX336" s="169"/>
      <c r="DY336" s="169"/>
      <c r="DZ336" s="169"/>
      <c r="EA336" s="169"/>
      <c r="EB336" s="169"/>
      <c r="EC336" s="169"/>
      <c r="ED336" s="169"/>
      <c r="EE336" s="169"/>
      <c r="EF336" s="169"/>
      <c r="EG336" s="169"/>
      <c r="EH336" s="169"/>
      <c r="EI336" s="169"/>
      <c r="EJ336" s="169"/>
      <c r="EK336" s="169"/>
      <c r="EL336" s="169"/>
      <c r="EM336" s="169"/>
      <c r="EN336" s="169"/>
    </row>
    <row r="337" spans="3:144" x14ac:dyDescent="0.2"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69"/>
      <c r="EC337" s="169"/>
      <c r="ED337" s="169"/>
      <c r="EE337" s="169"/>
      <c r="EF337" s="169"/>
      <c r="EG337" s="169"/>
      <c r="EH337" s="169"/>
      <c r="EI337" s="169"/>
      <c r="EJ337" s="169"/>
      <c r="EK337" s="169"/>
      <c r="EL337" s="169"/>
      <c r="EM337" s="169"/>
      <c r="EN337" s="169"/>
    </row>
    <row r="338" spans="3:144" x14ac:dyDescent="0.2"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69"/>
      <c r="EC338" s="169"/>
      <c r="ED338" s="169"/>
      <c r="EE338" s="169"/>
      <c r="EF338" s="169"/>
      <c r="EG338" s="169"/>
      <c r="EH338" s="169"/>
      <c r="EI338" s="169"/>
      <c r="EJ338" s="169"/>
      <c r="EK338" s="169"/>
      <c r="EL338" s="169"/>
      <c r="EM338" s="169"/>
      <c r="EN338" s="169"/>
    </row>
    <row r="339" spans="3:144" x14ac:dyDescent="0.2"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</row>
    <row r="340" spans="3:144" x14ac:dyDescent="0.2"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</row>
    <row r="341" spans="3:144" x14ac:dyDescent="0.2"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69"/>
      <c r="EC341" s="169"/>
      <c r="ED341" s="169"/>
      <c r="EE341" s="169"/>
      <c r="EF341" s="169"/>
      <c r="EG341" s="169"/>
      <c r="EH341" s="169"/>
      <c r="EI341" s="169"/>
      <c r="EJ341" s="169"/>
      <c r="EK341" s="169"/>
      <c r="EL341" s="169"/>
      <c r="EM341" s="169"/>
      <c r="EN341" s="169"/>
    </row>
    <row r="342" spans="3:144" x14ac:dyDescent="0.2"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69"/>
      <c r="EC342" s="169"/>
      <c r="ED342" s="169"/>
      <c r="EE342" s="169"/>
      <c r="EF342" s="169"/>
      <c r="EG342" s="169"/>
      <c r="EH342" s="169"/>
      <c r="EI342" s="169"/>
      <c r="EJ342" s="169"/>
      <c r="EK342" s="169"/>
      <c r="EL342" s="169"/>
      <c r="EM342" s="169"/>
      <c r="EN342" s="169"/>
    </row>
    <row r="343" spans="3:144" x14ac:dyDescent="0.2"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69"/>
      <c r="EC343" s="169"/>
      <c r="ED343" s="169"/>
      <c r="EE343" s="169"/>
      <c r="EF343" s="169"/>
      <c r="EG343" s="169"/>
      <c r="EH343" s="169"/>
      <c r="EI343" s="169"/>
      <c r="EJ343" s="169"/>
      <c r="EK343" s="169"/>
      <c r="EL343" s="169"/>
      <c r="EM343" s="169"/>
      <c r="EN343" s="169"/>
    </row>
    <row r="344" spans="3:144" x14ac:dyDescent="0.2"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</row>
    <row r="345" spans="3:144" x14ac:dyDescent="0.2"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</row>
    <row r="346" spans="3:144" x14ac:dyDescent="0.2"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</row>
    <row r="347" spans="3:144" x14ac:dyDescent="0.2"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</row>
    <row r="348" spans="3:144" x14ac:dyDescent="0.2"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</row>
    <row r="349" spans="3:144" x14ac:dyDescent="0.2"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</row>
    <row r="350" spans="3:144" x14ac:dyDescent="0.2"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</row>
    <row r="351" spans="3:144" x14ac:dyDescent="0.2"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  <c r="CZ351" s="169"/>
      <c r="DA351" s="169"/>
      <c r="DB351" s="169"/>
      <c r="DC351" s="169"/>
      <c r="DD351" s="169"/>
      <c r="DE351" s="169"/>
      <c r="DF351" s="169"/>
      <c r="DG351" s="169"/>
      <c r="DH351" s="169"/>
      <c r="DI351" s="169"/>
      <c r="DJ351" s="169"/>
      <c r="DK351" s="169"/>
      <c r="DL351" s="169"/>
      <c r="DM351" s="169"/>
      <c r="DN351" s="169"/>
      <c r="DO351" s="169"/>
      <c r="DP351" s="169"/>
      <c r="DQ351" s="169"/>
      <c r="DR351" s="169"/>
      <c r="DS351" s="169"/>
      <c r="DT351" s="169"/>
      <c r="DU351" s="169"/>
      <c r="DV351" s="169"/>
      <c r="DW351" s="169"/>
      <c r="DX351" s="169"/>
      <c r="DY351" s="169"/>
      <c r="DZ351" s="169"/>
      <c r="EA351" s="169"/>
      <c r="EB351" s="169"/>
      <c r="EC351" s="169"/>
      <c r="ED351" s="169"/>
      <c r="EE351" s="169"/>
      <c r="EF351" s="169"/>
      <c r="EG351" s="169"/>
      <c r="EH351" s="169"/>
      <c r="EI351" s="169"/>
      <c r="EJ351" s="169"/>
      <c r="EK351" s="169"/>
      <c r="EL351" s="169"/>
      <c r="EM351" s="169"/>
      <c r="EN351" s="169"/>
    </row>
    <row r="352" spans="3:144" x14ac:dyDescent="0.2"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</row>
    <row r="353" spans="3:144" x14ac:dyDescent="0.2"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  <c r="CZ353" s="169"/>
      <c r="DA353" s="169"/>
      <c r="DB353" s="169"/>
      <c r="DC353" s="169"/>
      <c r="DD353" s="169"/>
      <c r="DE353" s="169"/>
      <c r="DF353" s="169"/>
      <c r="DG353" s="169"/>
      <c r="DH353" s="169"/>
      <c r="DI353" s="169"/>
      <c r="DJ353" s="169"/>
      <c r="DK353" s="169"/>
      <c r="DL353" s="169"/>
      <c r="DM353" s="169"/>
      <c r="DN353" s="169"/>
      <c r="DO353" s="169"/>
      <c r="DP353" s="169"/>
      <c r="DQ353" s="169"/>
      <c r="DR353" s="169"/>
      <c r="DS353" s="169"/>
      <c r="DT353" s="169"/>
      <c r="DU353" s="169"/>
      <c r="DV353" s="169"/>
      <c r="DW353" s="169"/>
      <c r="DX353" s="169"/>
      <c r="DY353" s="169"/>
      <c r="DZ353" s="169"/>
      <c r="EA353" s="169"/>
      <c r="EB353" s="169"/>
      <c r="EC353" s="169"/>
      <c r="ED353" s="169"/>
      <c r="EE353" s="169"/>
      <c r="EF353" s="169"/>
      <c r="EG353" s="169"/>
      <c r="EH353" s="169"/>
      <c r="EI353" s="169"/>
      <c r="EJ353" s="169"/>
      <c r="EK353" s="169"/>
      <c r="EL353" s="169"/>
      <c r="EM353" s="169"/>
      <c r="EN353" s="169"/>
    </row>
    <row r="354" spans="3:144" x14ac:dyDescent="0.2"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  <c r="CZ354" s="169"/>
      <c r="DA354" s="169"/>
      <c r="DB354" s="169"/>
      <c r="DC354" s="169"/>
      <c r="DD354" s="169"/>
      <c r="DE354" s="169"/>
      <c r="DF354" s="169"/>
      <c r="DG354" s="169"/>
      <c r="DH354" s="169"/>
      <c r="DI354" s="169"/>
      <c r="DJ354" s="169"/>
      <c r="DK354" s="169"/>
      <c r="DL354" s="169"/>
      <c r="DM354" s="169"/>
      <c r="DN354" s="169"/>
      <c r="DO354" s="169"/>
      <c r="DP354" s="169"/>
      <c r="DQ354" s="169"/>
      <c r="DR354" s="169"/>
      <c r="DS354" s="169"/>
      <c r="DT354" s="169"/>
      <c r="DU354" s="169"/>
      <c r="DV354" s="169"/>
      <c r="DW354" s="169"/>
      <c r="DX354" s="169"/>
      <c r="DY354" s="169"/>
      <c r="DZ354" s="169"/>
      <c r="EA354" s="169"/>
      <c r="EB354" s="169"/>
      <c r="EC354" s="169"/>
      <c r="ED354" s="169"/>
      <c r="EE354" s="169"/>
      <c r="EF354" s="169"/>
      <c r="EG354" s="169"/>
      <c r="EH354" s="169"/>
      <c r="EI354" s="169"/>
      <c r="EJ354" s="169"/>
      <c r="EK354" s="169"/>
      <c r="EL354" s="169"/>
      <c r="EM354" s="169"/>
      <c r="EN354" s="169"/>
    </row>
    <row r="355" spans="3:144" x14ac:dyDescent="0.2"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  <c r="CZ355" s="169"/>
      <c r="DA355" s="169"/>
      <c r="DB355" s="169"/>
      <c r="DC355" s="169"/>
      <c r="DD355" s="169"/>
      <c r="DE355" s="169"/>
      <c r="DF355" s="169"/>
      <c r="DG355" s="169"/>
      <c r="DH355" s="169"/>
      <c r="DI355" s="169"/>
      <c r="DJ355" s="169"/>
      <c r="DK355" s="169"/>
      <c r="DL355" s="169"/>
      <c r="DM355" s="169"/>
      <c r="DN355" s="169"/>
      <c r="DO355" s="169"/>
      <c r="DP355" s="169"/>
      <c r="DQ355" s="169"/>
      <c r="DR355" s="169"/>
      <c r="DS355" s="169"/>
      <c r="DT355" s="169"/>
      <c r="DU355" s="169"/>
      <c r="DV355" s="169"/>
      <c r="DW355" s="169"/>
      <c r="DX355" s="169"/>
      <c r="DY355" s="169"/>
      <c r="DZ355" s="169"/>
      <c r="EA355" s="169"/>
      <c r="EB355" s="169"/>
      <c r="EC355" s="169"/>
      <c r="ED355" s="169"/>
      <c r="EE355" s="169"/>
      <c r="EF355" s="169"/>
      <c r="EG355" s="169"/>
      <c r="EH355" s="169"/>
      <c r="EI355" s="169"/>
      <c r="EJ355" s="169"/>
      <c r="EK355" s="169"/>
      <c r="EL355" s="169"/>
      <c r="EM355" s="169"/>
      <c r="EN355" s="169"/>
    </row>
    <row r="356" spans="3:144" x14ac:dyDescent="0.2"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69"/>
      <c r="CZ356" s="169"/>
      <c r="DA356" s="169"/>
      <c r="DB356" s="169"/>
      <c r="DC356" s="169"/>
      <c r="DD356" s="169"/>
      <c r="DE356" s="169"/>
      <c r="DF356" s="169"/>
      <c r="DG356" s="169"/>
      <c r="DH356" s="169"/>
      <c r="DI356" s="169"/>
      <c r="DJ356" s="169"/>
      <c r="DK356" s="169"/>
      <c r="DL356" s="169"/>
      <c r="DM356" s="169"/>
      <c r="DN356" s="169"/>
      <c r="DO356" s="169"/>
      <c r="DP356" s="169"/>
      <c r="DQ356" s="169"/>
      <c r="DR356" s="169"/>
      <c r="DS356" s="169"/>
      <c r="DT356" s="169"/>
      <c r="DU356" s="169"/>
      <c r="DV356" s="169"/>
      <c r="DW356" s="169"/>
      <c r="DX356" s="169"/>
      <c r="DY356" s="169"/>
      <c r="DZ356" s="169"/>
      <c r="EA356" s="169"/>
      <c r="EB356" s="169"/>
      <c r="EC356" s="169"/>
      <c r="ED356" s="169"/>
      <c r="EE356" s="169"/>
      <c r="EF356" s="169"/>
      <c r="EG356" s="169"/>
      <c r="EH356" s="169"/>
      <c r="EI356" s="169"/>
      <c r="EJ356" s="169"/>
      <c r="EK356" s="169"/>
      <c r="EL356" s="169"/>
      <c r="EM356" s="169"/>
      <c r="EN356" s="169"/>
    </row>
    <row r="357" spans="3:144" x14ac:dyDescent="0.2"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  <c r="CZ357" s="169"/>
      <c r="DA357" s="169"/>
      <c r="DB357" s="169"/>
      <c r="DC357" s="169"/>
      <c r="DD357" s="169"/>
      <c r="DE357" s="169"/>
      <c r="DF357" s="169"/>
      <c r="DG357" s="169"/>
      <c r="DH357" s="169"/>
      <c r="DI357" s="169"/>
      <c r="DJ357" s="169"/>
      <c r="DK357" s="169"/>
      <c r="DL357" s="169"/>
      <c r="DM357" s="169"/>
      <c r="DN357" s="169"/>
      <c r="DO357" s="169"/>
      <c r="DP357" s="169"/>
      <c r="DQ357" s="169"/>
      <c r="DR357" s="169"/>
      <c r="DS357" s="169"/>
      <c r="DT357" s="169"/>
      <c r="DU357" s="169"/>
      <c r="DV357" s="169"/>
      <c r="DW357" s="169"/>
      <c r="DX357" s="169"/>
      <c r="DY357" s="169"/>
      <c r="DZ357" s="169"/>
      <c r="EA357" s="169"/>
      <c r="EB357" s="169"/>
      <c r="EC357" s="169"/>
      <c r="ED357" s="169"/>
      <c r="EE357" s="169"/>
      <c r="EF357" s="169"/>
      <c r="EG357" s="169"/>
      <c r="EH357" s="169"/>
      <c r="EI357" s="169"/>
      <c r="EJ357" s="169"/>
      <c r="EK357" s="169"/>
      <c r="EL357" s="169"/>
      <c r="EM357" s="169"/>
      <c r="EN357" s="169"/>
    </row>
    <row r="358" spans="3:144" x14ac:dyDescent="0.2"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69"/>
      <c r="CZ358" s="169"/>
      <c r="DA358" s="169"/>
      <c r="DB358" s="169"/>
      <c r="DC358" s="169"/>
      <c r="DD358" s="169"/>
      <c r="DE358" s="169"/>
      <c r="DF358" s="169"/>
      <c r="DG358" s="169"/>
      <c r="DH358" s="169"/>
      <c r="DI358" s="169"/>
      <c r="DJ358" s="169"/>
      <c r="DK358" s="169"/>
      <c r="DL358" s="169"/>
      <c r="DM358" s="169"/>
      <c r="DN358" s="169"/>
      <c r="DO358" s="169"/>
      <c r="DP358" s="169"/>
      <c r="DQ358" s="169"/>
      <c r="DR358" s="169"/>
      <c r="DS358" s="169"/>
      <c r="DT358" s="169"/>
      <c r="DU358" s="169"/>
      <c r="DV358" s="169"/>
      <c r="DW358" s="169"/>
      <c r="DX358" s="169"/>
      <c r="DY358" s="169"/>
      <c r="DZ358" s="169"/>
      <c r="EA358" s="169"/>
      <c r="EB358" s="169"/>
      <c r="EC358" s="169"/>
      <c r="ED358" s="169"/>
      <c r="EE358" s="169"/>
      <c r="EF358" s="169"/>
      <c r="EG358" s="169"/>
      <c r="EH358" s="169"/>
      <c r="EI358" s="169"/>
      <c r="EJ358" s="169"/>
      <c r="EK358" s="169"/>
      <c r="EL358" s="169"/>
      <c r="EM358" s="169"/>
      <c r="EN358" s="169"/>
    </row>
    <row r="359" spans="3:144" x14ac:dyDescent="0.2"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69"/>
      <c r="CZ359" s="169"/>
      <c r="DA359" s="169"/>
      <c r="DB359" s="169"/>
      <c r="DC359" s="169"/>
      <c r="DD359" s="169"/>
      <c r="DE359" s="169"/>
      <c r="DF359" s="169"/>
      <c r="DG359" s="169"/>
      <c r="DH359" s="169"/>
      <c r="DI359" s="169"/>
      <c r="DJ359" s="169"/>
      <c r="DK359" s="169"/>
      <c r="DL359" s="169"/>
      <c r="DM359" s="169"/>
      <c r="DN359" s="169"/>
      <c r="DO359" s="169"/>
      <c r="DP359" s="169"/>
      <c r="DQ359" s="169"/>
      <c r="DR359" s="169"/>
      <c r="DS359" s="169"/>
      <c r="DT359" s="169"/>
      <c r="DU359" s="169"/>
      <c r="DV359" s="169"/>
      <c r="DW359" s="169"/>
      <c r="DX359" s="169"/>
      <c r="DY359" s="169"/>
      <c r="DZ359" s="169"/>
      <c r="EA359" s="169"/>
      <c r="EB359" s="169"/>
      <c r="EC359" s="169"/>
      <c r="ED359" s="169"/>
      <c r="EE359" s="169"/>
      <c r="EF359" s="169"/>
      <c r="EG359" s="169"/>
      <c r="EH359" s="169"/>
      <c r="EI359" s="169"/>
      <c r="EJ359" s="169"/>
      <c r="EK359" s="169"/>
      <c r="EL359" s="169"/>
      <c r="EM359" s="169"/>
      <c r="EN359" s="169"/>
    </row>
    <row r="360" spans="3:144" x14ac:dyDescent="0.2"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  <c r="CW360" s="169"/>
      <c r="CX360" s="169"/>
      <c r="CY360" s="169"/>
      <c r="CZ360" s="169"/>
      <c r="DA360" s="169"/>
      <c r="DB360" s="169"/>
      <c r="DC360" s="169"/>
      <c r="DD360" s="169"/>
      <c r="DE360" s="169"/>
      <c r="DF360" s="169"/>
      <c r="DG360" s="169"/>
      <c r="DH360" s="169"/>
      <c r="DI360" s="169"/>
      <c r="DJ360" s="169"/>
      <c r="DK360" s="169"/>
      <c r="DL360" s="169"/>
      <c r="DM360" s="169"/>
      <c r="DN360" s="169"/>
      <c r="DO360" s="169"/>
      <c r="DP360" s="169"/>
      <c r="DQ360" s="169"/>
      <c r="DR360" s="169"/>
      <c r="DS360" s="169"/>
      <c r="DT360" s="169"/>
      <c r="DU360" s="169"/>
      <c r="DV360" s="169"/>
      <c r="DW360" s="169"/>
      <c r="DX360" s="169"/>
      <c r="DY360" s="169"/>
      <c r="DZ360" s="169"/>
      <c r="EA360" s="169"/>
      <c r="EB360" s="169"/>
      <c r="EC360" s="169"/>
      <c r="ED360" s="169"/>
      <c r="EE360" s="169"/>
      <c r="EF360" s="169"/>
      <c r="EG360" s="169"/>
      <c r="EH360" s="169"/>
      <c r="EI360" s="169"/>
      <c r="EJ360" s="169"/>
      <c r="EK360" s="169"/>
      <c r="EL360" s="169"/>
      <c r="EM360" s="169"/>
      <c r="EN360" s="169"/>
    </row>
    <row r="361" spans="3:144" x14ac:dyDescent="0.2"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69"/>
      <c r="EC361" s="169"/>
      <c r="ED361" s="169"/>
      <c r="EE361" s="169"/>
      <c r="EF361" s="169"/>
      <c r="EG361" s="169"/>
      <c r="EH361" s="169"/>
      <c r="EI361" s="169"/>
      <c r="EJ361" s="169"/>
      <c r="EK361" s="169"/>
      <c r="EL361" s="169"/>
      <c r="EM361" s="169"/>
      <c r="EN361" s="169"/>
    </row>
    <row r="362" spans="3:144" x14ac:dyDescent="0.2"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69"/>
      <c r="CZ362" s="169"/>
      <c r="DA362" s="169"/>
      <c r="DB362" s="169"/>
      <c r="DC362" s="169"/>
      <c r="DD362" s="169"/>
      <c r="DE362" s="169"/>
      <c r="DF362" s="169"/>
      <c r="DG362" s="169"/>
      <c r="DH362" s="169"/>
      <c r="DI362" s="169"/>
      <c r="DJ362" s="169"/>
      <c r="DK362" s="169"/>
      <c r="DL362" s="169"/>
      <c r="DM362" s="169"/>
      <c r="DN362" s="169"/>
      <c r="DO362" s="169"/>
      <c r="DP362" s="169"/>
      <c r="DQ362" s="169"/>
      <c r="DR362" s="169"/>
      <c r="DS362" s="169"/>
      <c r="DT362" s="169"/>
      <c r="DU362" s="169"/>
      <c r="DV362" s="169"/>
      <c r="DW362" s="169"/>
      <c r="DX362" s="169"/>
      <c r="DY362" s="169"/>
      <c r="DZ362" s="169"/>
      <c r="EA362" s="169"/>
      <c r="EB362" s="169"/>
      <c r="EC362" s="169"/>
      <c r="ED362" s="169"/>
      <c r="EE362" s="169"/>
      <c r="EF362" s="169"/>
      <c r="EG362" s="169"/>
      <c r="EH362" s="169"/>
      <c r="EI362" s="169"/>
      <c r="EJ362" s="169"/>
      <c r="EK362" s="169"/>
      <c r="EL362" s="169"/>
      <c r="EM362" s="169"/>
      <c r="EN362" s="169"/>
    </row>
    <row r="363" spans="3:144" x14ac:dyDescent="0.2"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69"/>
      <c r="CZ363" s="169"/>
      <c r="DA363" s="169"/>
      <c r="DB363" s="169"/>
      <c r="DC363" s="169"/>
      <c r="DD363" s="169"/>
      <c r="DE363" s="169"/>
      <c r="DF363" s="169"/>
      <c r="DG363" s="169"/>
      <c r="DH363" s="169"/>
      <c r="DI363" s="169"/>
      <c r="DJ363" s="169"/>
      <c r="DK363" s="169"/>
      <c r="DL363" s="169"/>
      <c r="DM363" s="169"/>
      <c r="DN363" s="169"/>
      <c r="DO363" s="169"/>
      <c r="DP363" s="169"/>
      <c r="DQ363" s="169"/>
      <c r="DR363" s="169"/>
      <c r="DS363" s="169"/>
      <c r="DT363" s="169"/>
      <c r="DU363" s="169"/>
      <c r="DV363" s="169"/>
      <c r="DW363" s="169"/>
      <c r="DX363" s="169"/>
      <c r="DY363" s="169"/>
      <c r="DZ363" s="169"/>
      <c r="EA363" s="169"/>
      <c r="EB363" s="169"/>
      <c r="EC363" s="169"/>
      <c r="ED363" s="169"/>
      <c r="EE363" s="169"/>
      <c r="EF363" s="169"/>
      <c r="EG363" s="169"/>
      <c r="EH363" s="169"/>
      <c r="EI363" s="169"/>
      <c r="EJ363" s="169"/>
      <c r="EK363" s="169"/>
      <c r="EL363" s="169"/>
      <c r="EM363" s="169"/>
      <c r="EN363" s="169"/>
    </row>
    <row r="364" spans="3:144" x14ac:dyDescent="0.2"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69"/>
      <c r="CZ364" s="169"/>
      <c r="DA364" s="169"/>
      <c r="DB364" s="169"/>
      <c r="DC364" s="169"/>
      <c r="DD364" s="169"/>
      <c r="DE364" s="169"/>
      <c r="DF364" s="169"/>
      <c r="DG364" s="169"/>
      <c r="DH364" s="169"/>
      <c r="DI364" s="169"/>
      <c r="DJ364" s="169"/>
      <c r="DK364" s="169"/>
      <c r="DL364" s="169"/>
      <c r="DM364" s="169"/>
      <c r="DN364" s="169"/>
      <c r="DO364" s="169"/>
      <c r="DP364" s="169"/>
      <c r="DQ364" s="169"/>
      <c r="DR364" s="169"/>
      <c r="DS364" s="169"/>
      <c r="DT364" s="169"/>
      <c r="DU364" s="169"/>
      <c r="DV364" s="169"/>
      <c r="DW364" s="169"/>
      <c r="DX364" s="169"/>
      <c r="DY364" s="169"/>
      <c r="DZ364" s="169"/>
      <c r="EA364" s="169"/>
      <c r="EB364" s="169"/>
      <c r="EC364" s="169"/>
      <c r="ED364" s="169"/>
      <c r="EE364" s="169"/>
      <c r="EF364" s="169"/>
      <c r="EG364" s="169"/>
      <c r="EH364" s="169"/>
      <c r="EI364" s="169"/>
      <c r="EJ364" s="169"/>
      <c r="EK364" s="169"/>
      <c r="EL364" s="169"/>
      <c r="EM364" s="169"/>
      <c r="EN364" s="169"/>
    </row>
    <row r="365" spans="3:144" x14ac:dyDescent="0.2"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69"/>
      <c r="CZ365" s="169"/>
      <c r="DA365" s="169"/>
      <c r="DB365" s="169"/>
      <c r="DC365" s="169"/>
      <c r="DD365" s="169"/>
      <c r="DE365" s="169"/>
      <c r="DF365" s="169"/>
      <c r="DG365" s="169"/>
      <c r="DH365" s="169"/>
      <c r="DI365" s="169"/>
      <c r="DJ365" s="169"/>
      <c r="DK365" s="169"/>
      <c r="DL365" s="169"/>
      <c r="DM365" s="169"/>
      <c r="DN365" s="169"/>
      <c r="DO365" s="169"/>
      <c r="DP365" s="169"/>
      <c r="DQ365" s="169"/>
      <c r="DR365" s="169"/>
      <c r="DS365" s="169"/>
      <c r="DT365" s="169"/>
      <c r="DU365" s="169"/>
      <c r="DV365" s="169"/>
      <c r="DW365" s="169"/>
      <c r="DX365" s="169"/>
      <c r="DY365" s="169"/>
      <c r="DZ365" s="169"/>
      <c r="EA365" s="169"/>
      <c r="EB365" s="169"/>
      <c r="EC365" s="169"/>
      <c r="ED365" s="169"/>
      <c r="EE365" s="169"/>
      <c r="EF365" s="169"/>
      <c r="EG365" s="169"/>
      <c r="EH365" s="169"/>
      <c r="EI365" s="169"/>
      <c r="EJ365" s="169"/>
      <c r="EK365" s="169"/>
      <c r="EL365" s="169"/>
      <c r="EM365" s="169"/>
      <c r="EN365" s="169"/>
    </row>
    <row r="366" spans="3:144" x14ac:dyDescent="0.2"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  <c r="CW366" s="169"/>
      <c r="CX366" s="169"/>
      <c r="CY366" s="169"/>
      <c r="CZ366" s="169"/>
      <c r="DA366" s="169"/>
      <c r="DB366" s="169"/>
      <c r="DC366" s="169"/>
      <c r="DD366" s="169"/>
      <c r="DE366" s="169"/>
      <c r="DF366" s="169"/>
      <c r="DG366" s="169"/>
      <c r="DH366" s="169"/>
      <c r="DI366" s="169"/>
      <c r="DJ366" s="169"/>
      <c r="DK366" s="169"/>
      <c r="DL366" s="169"/>
      <c r="DM366" s="169"/>
      <c r="DN366" s="169"/>
      <c r="DO366" s="169"/>
      <c r="DP366" s="169"/>
      <c r="DQ366" s="169"/>
      <c r="DR366" s="169"/>
      <c r="DS366" s="169"/>
      <c r="DT366" s="169"/>
      <c r="DU366" s="169"/>
      <c r="DV366" s="169"/>
      <c r="DW366" s="169"/>
      <c r="DX366" s="169"/>
      <c r="DY366" s="169"/>
      <c r="DZ366" s="169"/>
      <c r="EA366" s="169"/>
      <c r="EB366" s="169"/>
      <c r="EC366" s="169"/>
      <c r="ED366" s="169"/>
      <c r="EE366" s="169"/>
      <c r="EF366" s="169"/>
      <c r="EG366" s="169"/>
      <c r="EH366" s="169"/>
      <c r="EI366" s="169"/>
      <c r="EJ366" s="169"/>
      <c r="EK366" s="169"/>
      <c r="EL366" s="169"/>
      <c r="EM366" s="169"/>
      <c r="EN366" s="169"/>
    </row>
    <row r="367" spans="3:144" x14ac:dyDescent="0.2"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69"/>
      <c r="CZ367" s="169"/>
      <c r="DA367" s="169"/>
      <c r="DB367" s="169"/>
      <c r="DC367" s="169"/>
      <c r="DD367" s="169"/>
      <c r="DE367" s="169"/>
      <c r="DF367" s="169"/>
      <c r="DG367" s="169"/>
      <c r="DH367" s="169"/>
      <c r="DI367" s="169"/>
      <c r="DJ367" s="169"/>
      <c r="DK367" s="169"/>
      <c r="DL367" s="169"/>
      <c r="DM367" s="169"/>
      <c r="DN367" s="169"/>
      <c r="DO367" s="169"/>
      <c r="DP367" s="169"/>
      <c r="DQ367" s="169"/>
      <c r="DR367" s="169"/>
      <c r="DS367" s="169"/>
      <c r="DT367" s="169"/>
      <c r="DU367" s="169"/>
      <c r="DV367" s="169"/>
      <c r="DW367" s="169"/>
      <c r="DX367" s="169"/>
      <c r="DY367" s="169"/>
      <c r="DZ367" s="169"/>
      <c r="EA367" s="169"/>
      <c r="EB367" s="169"/>
      <c r="EC367" s="169"/>
      <c r="ED367" s="169"/>
      <c r="EE367" s="169"/>
      <c r="EF367" s="169"/>
      <c r="EG367" s="169"/>
      <c r="EH367" s="169"/>
      <c r="EI367" s="169"/>
      <c r="EJ367" s="169"/>
      <c r="EK367" s="169"/>
      <c r="EL367" s="169"/>
      <c r="EM367" s="169"/>
      <c r="EN367" s="169"/>
    </row>
    <row r="368" spans="3:144" x14ac:dyDescent="0.2"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69"/>
      <c r="CZ368" s="169"/>
      <c r="DA368" s="169"/>
      <c r="DB368" s="169"/>
      <c r="DC368" s="169"/>
      <c r="DD368" s="169"/>
      <c r="DE368" s="169"/>
      <c r="DF368" s="169"/>
      <c r="DG368" s="169"/>
      <c r="DH368" s="169"/>
      <c r="DI368" s="169"/>
      <c r="DJ368" s="169"/>
      <c r="DK368" s="169"/>
      <c r="DL368" s="169"/>
      <c r="DM368" s="169"/>
      <c r="DN368" s="169"/>
      <c r="DO368" s="169"/>
      <c r="DP368" s="169"/>
      <c r="DQ368" s="169"/>
      <c r="DR368" s="169"/>
      <c r="DS368" s="169"/>
      <c r="DT368" s="169"/>
      <c r="DU368" s="169"/>
      <c r="DV368" s="169"/>
      <c r="DW368" s="169"/>
      <c r="DX368" s="169"/>
      <c r="DY368" s="169"/>
      <c r="DZ368" s="169"/>
      <c r="EA368" s="169"/>
      <c r="EB368" s="169"/>
      <c r="EC368" s="169"/>
      <c r="ED368" s="169"/>
      <c r="EE368" s="169"/>
      <c r="EF368" s="169"/>
      <c r="EG368" s="169"/>
      <c r="EH368" s="169"/>
      <c r="EI368" s="169"/>
      <c r="EJ368" s="169"/>
      <c r="EK368" s="169"/>
      <c r="EL368" s="169"/>
      <c r="EM368" s="169"/>
      <c r="EN368" s="169"/>
    </row>
    <row r="369" spans="3:144" x14ac:dyDescent="0.2"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  <c r="CZ369" s="169"/>
      <c r="DA369" s="169"/>
      <c r="DB369" s="169"/>
      <c r="DC369" s="169"/>
      <c r="DD369" s="169"/>
      <c r="DE369" s="169"/>
      <c r="DF369" s="169"/>
      <c r="DG369" s="169"/>
      <c r="DH369" s="169"/>
      <c r="DI369" s="169"/>
      <c r="DJ369" s="169"/>
      <c r="DK369" s="169"/>
      <c r="DL369" s="169"/>
      <c r="DM369" s="169"/>
      <c r="DN369" s="169"/>
      <c r="DO369" s="169"/>
      <c r="DP369" s="169"/>
      <c r="DQ369" s="169"/>
      <c r="DR369" s="169"/>
      <c r="DS369" s="169"/>
      <c r="DT369" s="169"/>
      <c r="DU369" s="169"/>
      <c r="DV369" s="169"/>
      <c r="DW369" s="169"/>
      <c r="DX369" s="169"/>
      <c r="DY369" s="169"/>
      <c r="DZ369" s="169"/>
      <c r="EA369" s="169"/>
      <c r="EB369" s="169"/>
      <c r="EC369" s="169"/>
      <c r="ED369" s="169"/>
      <c r="EE369" s="169"/>
      <c r="EF369" s="169"/>
      <c r="EG369" s="169"/>
      <c r="EH369" s="169"/>
      <c r="EI369" s="169"/>
      <c r="EJ369" s="169"/>
      <c r="EK369" s="169"/>
      <c r="EL369" s="169"/>
      <c r="EM369" s="169"/>
      <c r="EN369" s="169"/>
    </row>
    <row r="370" spans="3:144" x14ac:dyDescent="0.2"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  <c r="CZ370" s="169"/>
      <c r="DA370" s="169"/>
      <c r="DB370" s="169"/>
      <c r="DC370" s="169"/>
      <c r="DD370" s="169"/>
      <c r="DE370" s="169"/>
      <c r="DF370" s="169"/>
      <c r="DG370" s="169"/>
      <c r="DH370" s="169"/>
      <c r="DI370" s="169"/>
      <c r="DJ370" s="169"/>
      <c r="DK370" s="169"/>
      <c r="DL370" s="169"/>
      <c r="DM370" s="169"/>
      <c r="DN370" s="169"/>
      <c r="DO370" s="169"/>
      <c r="DP370" s="169"/>
      <c r="DQ370" s="169"/>
      <c r="DR370" s="169"/>
      <c r="DS370" s="169"/>
      <c r="DT370" s="169"/>
      <c r="DU370" s="169"/>
      <c r="DV370" s="169"/>
      <c r="DW370" s="169"/>
      <c r="DX370" s="169"/>
      <c r="DY370" s="169"/>
      <c r="DZ370" s="169"/>
      <c r="EA370" s="169"/>
      <c r="EB370" s="169"/>
      <c r="EC370" s="169"/>
      <c r="ED370" s="169"/>
      <c r="EE370" s="169"/>
      <c r="EF370" s="169"/>
      <c r="EG370" s="169"/>
      <c r="EH370" s="169"/>
      <c r="EI370" s="169"/>
      <c r="EJ370" s="169"/>
      <c r="EK370" s="169"/>
      <c r="EL370" s="169"/>
      <c r="EM370" s="169"/>
      <c r="EN370" s="169"/>
    </row>
    <row r="371" spans="3:144" x14ac:dyDescent="0.2"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  <c r="CZ371" s="169"/>
      <c r="DA371" s="169"/>
      <c r="DB371" s="169"/>
      <c r="DC371" s="169"/>
      <c r="DD371" s="169"/>
      <c r="DE371" s="169"/>
      <c r="DF371" s="169"/>
      <c r="DG371" s="169"/>
      <c r="DH371" s="169"/>
      <c r="DI371" s="169"/>
      <c r="DJ371" s="169"/>
      <c r="DK371" s="169"/>
      <c r="DL371" s="169"/>
      <c r="DM371" s="169"/>
      <c r="DN371" s="169"/>
      <c r="DO371" s="169"/>
      <c r="DP371" s="169"/>
      <c r="DQ371" s="169"/>
      <c r="DR371" s="169"/>
      <c r="DS371" s="169"/>
      <c r="DT371" s="169"/>
      <c r="DU371" s="169"/>
      <c r="DV371" s="169"/>
      <c r="DW371" s="169"/>
      <c r="DX371" s="169"/>
      <c r="DY371" s="169"/>
      <c r="DZ371" s="169"/>
      <c r="EA371" s="169"/>
      <c r="EB371" s="169"/>
      <c r="EC371" s="169"/>
      <c r="ED371" s="169"/>
      <c r="EE371" s="169"/>
      <c r="EF371" s="169"/>
      <c r="EG371" s="169"/>
      <c r="EH371" s="169"/>
      <c r="EI371" s="169"/>
      <c r="EJ371" s="169"/>
      <c r="EK371" s="169"/>
      <c r="EL371" s="169"/>
      <c r="EM371" s="169"/>
      <c r="EN371" s="169"/>
    </row>
    <row r="372" spans="3:144" x14ac:dyDescent="0.2"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  <c r="CZ372" s="169"/>
      <c r="DA372" s="169"/>
      <c r="DB372" s="169"/>
      <c r="DC372" s="169"/>
      <c r="DD372" s="169"/>
      <c r="DE372" s="169"/>
      <c r="DF372" s="169"/>
      <c r="DG372" s="169"/>
      <c r="DH372" s="169"/>
      <c r="DI372" s="169"/>
      <c r="DJ372" s="169"/>
      <c r="DK372" s="169"/>
      <c r="DL372" s="169"/>
      <c r="DM372" s="169"/>
      <c r="DN372" s="169"/>
      <c r="DO372" s="169"/>
      <c r="DP372" s="169"/>
      <c r="DQ372" s="169"/>
      <c r="DR372" s="169"/>
      <c r="DS372" s="169"/>
      <c r="DT372" s="169"/>
      <c r="DU372" s="169"/>
      <c r="DV372" s="169"/>
      <c r="DW372" s="169"/>
      <c r="DX372" s="169"/>
      <c r="DY372" s="169"/>
      <c r="DZ372" s="169"/>
      <c r="EA372" s="169"/>
      <c r="EB372" s="169"/>
      <c r="EC372" s="169"/>
      <c r="ED372" s="169"/>
      <c r="EE372" s="169"/>
      <c r="EF372" s="169"/>
      <c r="EG372" s="169"/>
      <c r="EH372" s="169"/>
      <c r="EI372" s="169"/>
      <c r="EJ372" s="169"/>
      <c r="EK372" s="169"/>
      <c r="EL372" s="169"/>
      <c r="EM372" s="169"/>
      <c r="EN372" s="169"/>
    </row>
    <row r="373" spans="3:144" x14ac:dyDescent="0.2"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  <c r="CZ373" s="169"/>
      <c r="DA373" s="169"/>
      <c r="DB373" s="169"/>
      <c r="DC373" s="169"/>
      <c r="DD373" s="169"/>
      <c r="DE373" s="169"/>
      <c r="DF373" s="169"/>
      <c r="DG373" s="169"/>
      <c r="DH373" s="169"/>
      <c r="DI373" s="169"/>
      <c r="DJ373" s="169"/>
      <c r="DK373" s="169"/>
      <c r="DL373" s="169"/>
      <c r="DM373" s="169"/>
      <c r="DN373" s="169"/>
      <c r="DO373" s="169"/>
      <c r="DP373" s="169"/>
      <c r="DQ373" s="169"/>
      <c r="DR373" s="169"/>
      <c r="DS373" s="169"/>
      <c r="DT373" s="169"/>
      <c r="DU373" s="169"/>
      <c r="DV373" s="169"/>
      <c r="DW373" s="169"/>
      <c r="DX373" s="169"/>
      <c r="DY373" s="169"/>
      <c r="DZ373" s="169"/>
      <c r="EA373" s="169"/>
      <c r="EB373" s="169"/>
      <c r="EC373" s="169"/>
      <c r="ED373" s="169"/>
      <c r="EE373" s="169"/>
      <c r="EF373" s="169"/>
      <c r="EG373" s="169"/>
      <c r="EH373" s="169"/>
      <c r="EI373" s="169"/>
      <c r="EJ373" s="169"/>
      <c r="EK373" s="169"/>
      <c r="EL373" s="169"/>
      <c r="EM373" s="169"/>
      <c r="EN373" s="169"/>
    </row>
    <row r="374" spans="3:144" x14ac:dyDescent="0.2"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  <c r="CZ374" s="169"/>
      <c r="DA374" s="169"/>
      <c r="DB374" s="169"/>
      <c r="DC374" s="169"/>
      <c r="DD374" s="169"/>
      <c r="DE374" s="169"/>
      <c r="DF374" s="169"/>
      <c r="DG374" s="169"/>
      <c r="DH374" s="169"/>
      <c r="DI374" s="169"/>
      <c r="DJ374" s="169"/>
      <c r="DK374" s="169"/>
      <c r="DL374" s="169"/>
      <c r="DM374" s="169"/>
      <c r="DN374" s="169"/>
      <c r="DO374" s="169"/>
      <c r="DP374" s="169"/>
      <c r="DQ374" s="169"/>
      <c r="DR374" s="169"/>
      <c r="DS374" s="169"/>
      <c r="DT374" s="169"/>
      <c r="DU374" s="169"/>
      <c r="DV374" s="169"/>
      <c r="DW374" s="169"/>
      <c r="DX374" s="169"/>
      <c r="DY374" s="169"/>
      <c r="DZ374" s="169"/>
      <c r="EA374" s="169"/>
      <c r="EB374" s="169"/>
      <c r="EC374" s="169"/>
      <c r="ED374" s="169"/>
      <c r="EE374" s="169"/>
      <c r="EF374" s="169"/>
      <c r="EG374" s="169"/>
      <c r="EH374" s="169"/>
      <c r="EI374" s="169"/>
      <c r="EJ374" s="169"/>
      <c r="EK374" s="169"/>
      <c r="EL374" s="169"/>
      <c r="EM374" s="169"/>
      <c r="EN374" s="169"/>
    </row>
    <row r="375" spans="3:144" x14ac:dyDescent="0.2"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  <c r="CZ375" s="169"/>
      <c r="DA375" s="169"/>
      <c r="DB375" s="169"/>
      <c r="DC375" s="169"/>
      <c r="DD375" s="169"/>
      <c r="DE375" s="169"/>
      <c r="DF375" s="169"/>
      <c r="DG375" s="169"/>
      <c r="DH375" s="169"/>
      <c r="DI375" s="169"/>
      <c r="DJ375" s="169"/>
      <c r="DK375" s="169"/>
      <c r="DL375" s="169"/>
      <c r="DM375" s="169"/>
      <c r="DN375" s="169"/>
      <c r="DO375" s="169"/>
      <c r="DP375" s="169"/>
      <c r="DQ375" s="169"/>
      <c r="DR375" s="169"/>
      <c r="DS375" s="169"/>
      <c r="DT375" s="169"/>
      <c r="DU375" s="169"/>
      <c r="DV375" s="169"/>
      <c r="DW375" s="169"/>
      <c r="DX375" s="169"/>
      <c r="DY375" s="169"/>
      <c r="DZ375" s="169"/>
      <c r="EA375" s="169"/>
      <c r="EB375" s="169"/>
      <c r="EC375" s="169"/>
      <c r="ED375" s="169"/>
      <c r="EE375" s="169"/>
      <c r="EF375" s="169"/>
      <c r="EG375" s="169"/>
      <c r="EH375" s="169"/>
      <c r="EI375" s="169"/>
      <c r="EJ375" s="169"/>
      <c r="EK375" s="169"/>
      <c r="EL375" s="169"/>
      <c r="EM375" s="169"/>
      <c r="EN375" s="169"/>
    </row>
    <row r="376" spans="3:144" x14ac:dyDescent="0.2"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  <c r="CZ376" s="169"/>
      <c r="DA376" s="169"/>
      <c r="DB376" s="169"/>
      <c r="DC376" s="169"/>
      <c r="DD376" s="169"/>
      <c r="DE376" s="169"/>
      <c r="DF376" s="169"/>
      <c r="DG376" s="169"/>
      <c r="DH376" s="169"/>
      <c r="DI376" s="169"/>
      <c r="DJ376" s="169"/>
      <c r="DK376" s="169"/>
      <c r="DL376" s="169"/>
      <c r="DM376" s="169"/>
      <c r="DN376" s="169"/>
      <c r="DO376" s="169"/>
      <c r="DP376" s="169"/>
      <c r="DQ376" s="169"/>
      <c r="DR376" s="169"/>
      <c r="DS376" s="169"/>
      <c r="DT376" s="169"/>
      <c r="DU376" s="169"/>
      <c r="DV376" s="169"/>
      <c r="DW376" s="169"/>
      <c r="DX376" s="169"/>
      <c r="DY376" s="169"/>
      <c r="DZ376" s="169"/>
      <c r="EA376" s="169"/>
      <c r="EB376" s="169"/>
      <c r="EC376" s="169"/>
      <c r="ED376" s="169"/>
      <c r="EE376" s="169"/>
      <c r="EF376" s="169"/>
      <c r="EG376" s="169"/>
      <c r="EH376" s="169"/>
      <c r="EI376" s="169"/>
      <c r="EJ376" s="169"/>
      <c r="EK376" s="169"/>
      <c r="EL376" s="169"/>
      <c r="EM376" s="169"/>
      <c r="EN376" s="169"/>
    </row>
    <row r="377" spans="3:144" x14ac:dyDescent="0.2"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  <c r="CZ377" s="169"/>
      <c r="DA377" s="169"/>
      <c r="DB377" s="169"/>
      <c r="DC377" s="169"/>
      <c r="DD377" s="169"/>
      <c r="DE377" s="169"/>
      <c r="DF377" s="169"/>
      <c r="DG377" s="169"/>
      <c r="DH377" s="169"/>
      <c r="DI377" s="169"/>
      <c r="DJ377" s="169"/>
      <c r="DK377" s="169"/>
      <c r="DL377" s="169"/>
      <c r="DM377" s="169"/>
      <c r="DN377" s="169"/>
      <c r="DO377" s="169"/>
      <c r="DP377" s="169"/>
      <c r="DQ377" s="169"/>
      <c r="DR377" s="169"/>
      <c r="DS377" s="169"/>
      <c r="DT377" s="169"/>
      <c r="DU377" s="169"/>
      <c r="DV377" s="169"/>
      <c r="DW377" s="169"/>
      <c r="DX377" s="169"/>
      <c r="DY377" s="169"/>
      <c r="DZ377" s="169"/>
      <c r="EA377" s="169"/>
      <c r="EB377" s="169"/>
      <c r="EC377" s="169"/>
      <c r="ED377" s="169"/>
      <c r="EE377" s="169"/>
      <c r="EF377" s="169"/>
      <c r="EG377" s="169"/>
      <c r="EH377" s="169"/>
      <c r="EI377" s="169"/>
      <c r="EJ377" s="169"/>
      <c r="EK377" s="169"/>
      <c r="EL377" s="169"/>
      <c r="EM377" s="169"/>
      <c r="EN377" s="169"/>
    </row>
    <row r="378" spans="3:144" x14ac:dyDescent="0.2"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  <c r="CZ378" s="169"/>
      <c r="DA378" s="169"/>
      <c r="DB378" s="169"/>
      <c r="DC378" s="169"/>
      <c r="DD378" s="169"/>
      <c r="DE378" s="169"/>
      <c r="DF378" s="169"/>
      <c r="DG378" s="169"/>
      <c r="DH378" s="169"/>
      <c r="DI378" s="169"/>
      <c r="DJ378" s="169"/>
      <c r="DK378" s="169"/>
      <c r="DL378" s="169"/>
      <c r="DM378" s="169"/>
      <c r="DN378" s="169"/>
      <c r="DO378" s="169"/>
      <c r="DP378" s="169"/>
      <c r="DQ378" s="169"/>
      <c r="DR378" s="169"/>
      <c r="DS378" s="169"/>
      <c r="DT378" s="169"/>
      <c r="DU378" s="169"/>
      <c r="DV378" s="169"/>
      <c r="DW378" s="169"/>
      <c r="DX378" s="169"/>
      <c r="DY378" s="169"/>
      <c r="DZ378" s="169"/>
      <c r="EA378" s="169"/>
      <c r="EB378" s="169"/>
      <c r="EC378" s="169"/>
      <c r="ED378" s="169"/>
      <c r="EE378" s="169"/>
      <c r="EF378" s="169"/>
      <c r="EG378" s="169"/>
      <c r="EH378" s="169"/>
      <c r="EI378" s="169"/>
      <c r="EJ378" s="169"/>
      <c r="EK378" s="169"/>
      <c r="EL378" s="169"/>
      <c r="EM378" s="169"/>
      <c r="EN378" s="169"/>
    </row>
    <row r="379" spans="3:144" x14ac:dyDescent="0.2"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  <c r="CZ379" s="169"/>
      <c r="DA379" s="169"/>
      <c r="DB379" s="169"/>
      <c r="DC379" s="169"/>
      <c r="DD379" s="169"/>
      <c r="DE379" s="169"/>
      <c r="DF379" s="169"/>
      <c r="DG379" s="169"/>
      <c r="DH379" s="169"/>
      <c r="DI379" s="169"/>
      <c r="DJ379" s="169"/>
      <c r="DK379" s="169"/>
      <c r="DL379" s="169"/>
      <c r="DM379" s="169"/>
      <c r="DN379" s="169"/>
      <c r="DO379" s="169"/>
      <c r="DP379" s="169"/>
      <c r="DQ379" s="169"/>
      <c r="DR379" s="169"/>
      <c r="DS379" s="169"/>
      <c r="DT379" s="169"/>
      <c r="DU379" s="169"/>
      <c r="DV379" s="169"/>
      <c r="DW379" s="169"/>
      <c r="DX379" s="169"/>
      <c r="DY379" s="169"/>
      <c r="DZ379" s="169"/>
      <c r="EA379" s="169"/>
      <c r="EB379" s="169"/>
      <c r="EC379" s="169"/>
      <c r="ED379" s="169"/>
      <c r="EE379" s="169"/>
      <c r="EF379" s="169"/>
      <c r="EG379" s="169"/>
      <c r="EH379" s="169"/>
      <c r="EI379" s="169"/>
      <c r="EJ379" s="169"/>
      <c r="EK379" s="169"/>
      <c r="EL379" s="169"/>
      <c r="EM379" s="169"/>
      <c r="EN379" s="169"/>
    </row>
    <row r="380" spans="3:144" x14ac:dyDescent="0.2"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  <c r="CZ380" s="169"/>
      <c r="DA380" s="169"/>
      <c r="DB380" s="169"/>
      <c r="DC380" s="169"/>
      <c r="DD380" s="169"/>
      <c r="DE380" s="169"/>
      <c r="DF380" s="169"/>
      <c r="DG380" s="169"/>
      <c r="DH380" s="169"/>
      <c r="DI380" s="169"/>
      <c r="DJ380" s="169"/>
      <c r="DK380" s="169"/>
      <c r="DL380" s="169"/>
      <c r="DM380" s="169"/>
      <c r="DN380" s="169"/>
      <c r="DO380" s="169"/>
      <c r="DP380" s="169"/>
      <c r="DQ380" s="169"/>
      <c r="DR380" s="169"/>
      <c r="DS380" s="169"/>
      <c r="DT380" s="169"/>
      <c r="DU380" s="169"/>
      <c r="DV380" s="169"/>
      <c r="DW380" s="169"/>
      <c r="DX380" s="169"/>
      <c r="DY380" s="169"/>
      <c r="DZ380" s="169"/>
      <c r="EA380" s="169"/>
      <c r="EB380" s="169"/>
      <c r="EC380" s="169"/>
      <c r="ED380" s="169"/>
      <c r="EE380" s="169"/>
      <c r="EF380" s="169"/>
      <c r="EG380" s="169"/>
      <c r="EH380" s="169"/>
      <c r="EI380" s="169"/>
      <c r="EJ380" s="169"/>
      <c r="EK380" s="169"/>
      <c r="EL380" s="169"/>
      <c r="EM380" s="169"/>
      <c r="EN380" s="169"/>
    </row>
    <row r="381" spans="3:144" x14ac:dyDescent="0.2"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  <c r="CZ381" s="169"/>
      <c r="DA381" s="169"/>
      <c r="DB381" s="169"/>
      <c r="DC381" s="169"/>
      <c r="DD381" s="169"/>
      <c r="DE381" s="169"/>
      <c r="DF381" s="169"/>
      <c r="DG381" s="169"/>
      <c r="DH381" s="169"/>
      <c r="DI381" s="169"/>
      <c r="DJ381" s="169"/>
      <c r="DK381" s="169"/>
      <c r="DL381" s="169"/>
      <c r="DM381" s="169"/>
      <c r="DN381" s="169"/>
      <c r="DO381" s="169"/>
      <c r="DP381" s="169"/>
      <c r="DQ381" s="169"/>
      <c r="DR381" s="169"/>
      <c r="DS381" s="169"/>
      <c r="DT381" s="169"/>
      <c r="DU381" s="169"/>
      <c r="DV381" s="169"/>
      <c r="DW381" s="169"/>
      <c r="DX381" s="169"/>
      <c r="DY381" s="169"/>
      <c r="DZ381" s="169"/>
      <c r="EA381" s="169"/>
      <c r="EB381" s="169"/>
      <c r="EC381" s="169"/>
      <c r="ED381" s="169"/>
      <c r="EE381" s="169"/>
      <c r="EF381" s="169"/>
      <c r="EG381" s="169"/>
      <c r="EH381" s="169"/>
      <c r="EI381" s="169"/>
      <c r="EJ381" s="169"/>
      <c r="EK381" s="169"/>
      <c r="EL381" s="169"/>
      <c r="EM381" s="169"/>
      <c r="EN381" s="169"/>
    </row>
    <row r="382" spans="3:144" x14ac:dyDescent="0.2"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  <c r="CZ382" s="169"/>
      <c r="DA382" s="169"/>
      <c r="DB382" s="169"/>
      <c r="DC382" s="169"/>
      <c r="DD382" s="169"/>
      <c r="DE382" s="169"/>
      <c r="DF382" s="169"/>
      <c r="DG382" s="169"/>
      <c r="DH382" s="169"/>
      <c r="DI382" s="169"/>
      <c r="DJ382" s="169"/>
      <c r="DK382" s="169"/>
      <c r="DL382" s="169"/>
      <c r="DM382" s="169"/>
      <c r="DN382" s="169"/>
      <c r="DO382" s="169"/>
      <c r="DP382" s="169"/>
      <c r="DQ382" s="169"/>
      <c r="DR382" s="169"/>
      <c r="DS382" s="169"/>
      <c r="DT382" s="169"/>
      <c r="DU382" s="169"/>
      <c r="DV382" s="169"/>
      <c r="DW382" s="169"/>
      <c r="DX382" s="169"/>
      <c r="DY382" s="169"/>
      <c r="DZ382" s="169"/>
      <c r="EA382" s="169"/>
      <c r="EB382" s="169"/>
      <c r="EC382" s="169"/>
      <c r="ED382" s="169"/>
      <c r="EE382" s="169"/>
      <c r="EF382" s="169"/>
      <c r="EG382" s="169"/>
      <c r="EH382" s="169"/>
      <c r="EI382" s="169"/>
      <c r="EJ382" s="169"/>
      <c r="EK382" s="169"/>
      <c r="EL382" s="169"/>
      <c r="EM382" s="169"/>
      <c r="EN382" s="169"/>
    </row>
    <row r="383" spans="3:144" x14ac:dyDescent="0.2"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  <c r="CZ383" s="169"/>
      <c r="DA383" s="169"/>
      <c r="DB383" s="169"/>
      <c r="DC383" s="169"/>
      <c r="DD383" s="169"/>
      <c r="DE383" s="169"/>
      <c r="DF383" s="169"/>
      <c r="DG383" s="169"/>
      <c r="DH383" s="169"/>
      <c r="DI383" s="169"/>
      <c r="DJ383" s="169"/>
      <c r="DK383" s="169"/>
      <c r="DL383" s="169"/>
      <c r="DM383" s="169"/>
      <c r="DN383" s="169"/>
      <c r="DO383" s="169"/>
      <c r="DP383" s="169"/>
      <c r="DQ383" s="169"/>
      <c r="DR383" s="169"/>
      <c r="DS383" s="169"/>
      <c r="DT383" s="169"/>
      <c r="DU383" s="169"/>
      <c r="DV383" s="169"/>
      <c r="DW383" s="169"/>
      <c r="DX383" s="169"/>
      <c r="DY383" s="169"/>
      <c r="DZ383" s="169"/>
      <c r="EA383" s="169"/>
      <c r="EB383" s="169"/>
      <c r="EC383" s="169"/>
      <c r="ED383" s="169"/>
      <c r="EE383" s="169"/>
      <c r="EF383" s="169"/>
      <c r="EG383" s="169"/>
      <c r="EH383" s="169"/>
      <c r="EI383" s="169"/>
      <c r="EJ383" s="169"/>
      <c r="EK383" s="169"/>
      <c r="EL383" s="169"/>
      <c r="EM383" s="169"/>
      <c r="EN383" s="169"/>
    </row>
    <row r="384" spans="3:144" x14ac:dyDescent="0.2"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69"/>
      <c r="CZ384" s="169"/>
      <c r="DA384" s="169"/>
      <c r="DB384" s="169"/>
      <c r="DC384" s="169"/>
      <c r="DD384" s="169"/>
      <c r="DE384" s="169"/>
      <c r="DF384" s="169"/>
      <c r="DG384" s="169"/>
      <c r="DH384" s="169"/>
      <c r="DI384" s="169"/>
      <c r="DJ384" s="169"/>
      <c r="DK384" s="169"/>
      <c r="DL384" s="169"/>
      <c r="DM384" s="169"/>
      <c r="DN384" s="169"/>
      <c r="DO384" s="169"/>
      <c r="DP384" s="169"/>
      <c r="DQ384" s="169"/>
      <c r="DR384" s="169"/>
      <c r="DS384" s="169"/>
      <c r="DT384" s="169"/>
      <c r="DU384" s="169"/>
      <c r="DV384" s="169"/>
      <c r="DW384" s="169"/>
      <c r="DX384" s="169"/>
      <c r="DY384" s="169"/>
      <c r="DZ384" s="169"/>
      <c r="EA384" s="169"/>
      <c r="EB384" s="169"/>
      <c r="EC384" s="169"/>
      <c r="ED384" s="169"/>
      <c r="EE384" s="169"/>
      <c r="EF384" s="169"/>
      <c r="EG384" s="169"/>
      <c r="EH384" s="169"/>
      <c r="EI384" s="169"/>
      <c r="EJ384" s="169"/>
      <c r="EK384" s="169"/>
      <c r="EL384" s="169"/>
      <c r="EM384" s="169"/>
      <c r="EN384" s="169"/>
    </row>
    <row r="385" spans="3:144" x14ac:dyDescent="0.2"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69"/>
      <c r="CZ385" s="169"/>
      <c r="DA385" s="169"/>
      <c r="DB385" s="169"/>
      <c r="DC385" s="169"/>
      <c r="DD385" s="169"/>
      <c r="DE385" s="169"/>
      <c r="DF385" s="169"/>
      <c r="DG385" s="169"/>
      <c r="DH385" s="169"/>
      <c r="DI385" s="169"/>
      <c r="DJ385" s="169"/>
      <c r="DK385" s="169"/>
      <c r="DL385" s="169"/>
      <c r="DM385" s="169"/>
      <c r="DN385" s="169"/>
      <c r="DO385" s="169"/>
      <c r="DP385" s="169"/>
      <c r="DQ385" s="169"/>
      <c r="DR385" s="169"/>
      <c r="DS385" s="169"/>
      <c r="DT385" s="169"/>
      <c r="DU385" s="169"/>
      <c r="DV385" s="169"/>
      <c r="DW385" s="169"/>
      <c r="DX385" s="169"/>
      <c r="DY385" s="169"/>
      <c r="DZ385" s="169"/>
      <c r="EA385" s="169"/>
      <c r="EB385" s="169"/>
      <c r="EC385" s="169"/>
      <c r="ED385" s="169"/>
      <c r="EE385" s="169"/>
      <c r="EF385" s="169"/>
      <c r="EG385" s="169"/>
      <c r="EH385" s="169"/>
      <c r="EI385" s="169"/>
      <c r="EJ385" s="169"/>
      <c r="EK385" s="169"/>
      <c r="EL385" s="169"/>
      <c r="EM385" s="169"/>
      <c r="EN385" s="169"/>
    </row>
    <row r="386" spans="3:144" x14ac:dyDescent="0.2"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69"/>
      <c r="CZ386" s="169"/>
      <c r="DA386" s="169"/>
      <c r="DB386" s="169"/>
      <c r="DC386" s="169"/>
      <c r="DD386" s="169"/>
      <c r="DE386" s="169"/>
      <c r="DF386" s="169"/>
      <c r="DG386" s="169"/>
      <c r="DH386" s="169"/>
      <c r="DI386" s="169"/>
      <c r="DJ386" s="169"/>
      <c r="DK386" s="169"/>
      <c r="DL386" s="169"/>
      <c r="DM386" s="169"/>
      <c r="DN386" s="169"/>
      <c r="DO386" s="169"/>
      <c r="DP386" s="169"/>
      <c r="DQ386" s="169"/>
      <c r="DR386" s="169"/>
      <c r="DS386" s="169"/>
      <c r="DT386" s="169"/>
      <c r="DU386" s="169"/>
      <c r="DV386" s="169"/>
      <c r="DW386" s="169"/>
      <c r="DX386" s="169"/>
      <c r="DY386" s="169"/>
      <c r="DZ386" s="169"/>
      <c r="EA386" s="169"/>
      <c r="EB386" s="169"/>
      <c r="EC386" s="169"/>
      <c r="ED386" s="169"/>
      <c r="EE386" s="169"/>
      <c r="EF386" s="169"/>
      <c r="EG386" s="169"/>
      <c r="EH386" s="169"/>
      <c r="EI386" s="169"/>
      <c r="EJ386" s="169"/>
      <c r="EK386" s="169"/>
      <c r="EL386" s="169"/>
      <c r="EM386" s="169"/>
      <c r="EN386" s="169"/>
    </row>
    <row r="387" spans="3:144" x14ac:dyDescent="0.2"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  <c r="CZ387" s="169"/>
      <c r="DA387" s="169"/>
      <c r="DB387" s="169"/>
      <c r="DC387" s="169"/>
      <c r="DD387" s="169"/>
      <c r="DE387" s="169"/>
      <c r="DF387" s="169"/>
      <c r="DG387" s="169"/>
      <c r="DH387" s="169"/>
      <c r="DI387" s="169"/>
      <c r="DJ387" s="169"/>
      <c r="DK387" s="169"/>
      <c r="DL387" s="169"/>
      <c r="DM387" s="169"/>
      <c r="DN387" s="169"/>
      <c r="DO387" s="169"/>
      <c r="DP387" s="169"/>
      <c r="DQ387" s="169"/>
      <c r="DR387" s="169"/>
      <c r="DS387" s="169"/>
      <c r="DT387" s="169"/>
      <c r="DU387" s="169"/>
      <c r="DV387" s="169"/>
      <c r="DW387" s="169"/>
      <c r="DX387" s="169"/>
      <c r="DY387" s="169"/>
      <c r="DZ387" s="169"/>
      <c r="EA387" s="169"/>
      <c r="EB387" s="169"/>
      <c r="EC387" s="169"/>
      <c r="ED387" s="169"/>
      <c r="EE387" s="169"/>
      <c r="EF387" s="169"/>
      <c r="EG387" s="169"/>
      <c r="EH387" s="169"/>
      <c r="EI387" s="169"/>
      <c r="EJ387" s="169"/>
      <c r="EK387" s="169"/>
      <c r="EL387" s="169"/>
      <c r="EM387" s="169"/>
      <c r="EN387" s="169"/>
    </row>
    <row r="388" spans="3:144" x14ac:dyDescent="0.2"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  <c r="CZ388" s="169"/>
      <c r="DA388" s="169"/>
      <c r="DB388" s="169"/>
      <c r="DC388" s="169"/>
      <c r="DD388" s="169"/>
      <c r="DE388" s="169"/>
      <c r="DF388" s="169"/>
      <c r="DG388" s="169"/>
      <c r="DH388" s="169"/>
      <c r="DI388" s="169"/>
      <c r="DJ388" s="169"/>
      <c r="DK388" s="169"/>
      <c r="DL388" s="169"/>
      <c r="DM388" s="169"/>
      <c r="DN388" s="169"/>
      <c r="DO388" s="169"/>
      <c r="DP388" s="169"/>
      <c r="DQ388" s="169"/>
      <c r="DR388" s="169"/>
      <c r="DS388" s="169"/>
      <c r="DT388" s="169"/>
      <c r="DU388" s="169"/>
      <c r="DV388" s="169"/>
      <c r="DW388" s="169"/>
      <c r="DX388" s="169"/>
      <c r="DY388" s="169"/>
      <c r="DZ388" s="169"/>
      <c r="EA388" s="169"/>
      <c r="EB388" s="169"/>
      <c r="EC388" s="169"/>
      <c r="ED388" s="169"/>
      <c r="EE388" s="169"/>
      <c r="EF388" s="169"/>
      <c r="EG388" s="169"/>
      <c r="EH388" s="169"/>
      <c r="EI388" s="169"/>
      <c r="EJ388" s="169"/>
      <c r="EK388" s="169"/>
      <c r="EL388" s="169"/>
      <c r="EM388" s="169"/>
      <c r="EN388" s="169"/>
    </row>
    <row r="389" spans="3:144" x14ac:dyDescent="0.2"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69"/>
      <c r="EC389" s="169"/>
      <c r="ED389" s="169"/>
      <c r="EE389" s="169"/>
      <c r="EF389" s="169"/>
      <c r="EG389" s="169"/>
      <c r="EH389" s="169"/>
      <c r="EI389" s="169"/>
      <c r="EJ389" s="169"/>
      <c r="EK389" s="169"/>
      <c r="EL389" s="169"/>
      <c r="EM389" s="169"/>
      <c r="EN389" s="169"/>
    </row>
    <row r="390" spans="3:144" x14ac:dyDescent="0.2"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  <c r="CZ390" s="169"/>
      <c r="DA390" s="169"/>
      <c r="DB390" s="169"/>
      <c r="DC390" s="169"/>
      <c r="DD390" s="169"/>
      <c r="DE390" s="169"/>
      <c r="DF390" s="169"/>
      <c r="DG390" s="169"/>
      <c r="DH390" s="169"/>
      <c r="DI390" s="169"/>
      <c r="DJ390" s="169"/>
      <c r="DK390" s="169"/>
      <c r="DL390" s="169"/>
      <c r="DM390" s="169"/>
      <c r="DN390" s="169"/>
      <c r="DO390" s="169"/>
      <c r="DP390" s="169"/>
      <c r="DQ390" s="169"/>
      <c r="DR390" s="169"/>
      <c r="DS390" s="169"/>
      <c r="DT390" s="169"/>
      <c r="DU390" s="169"/>
      <c r="DV390" s="169"/>
      <c r="DW390" s="169"/>
      <c r="DX390" s="169"/>
      <c r="DY390" s="169"/>
      <c r="DZ390" s="169"/>
      <c r="EA390" s="169"/>
      <c r="EB390" s="169"/>
      <c r="EC390" s="169"/>
      <c r="ED390" s="169"/>
      <c r="EE390" s="169"/>
      <c r="EF390" s="169"/>
      <c r="EG390" s="169"/>
      <c r="EH390" s="169"/>
      <c r="EI390" s="169"/>
      <c r="EJ390" s="169"/>
      <c r="EK390" s="169"/>
      <c r="EL390" s="169"/>
      <c r="EM390" s="169"/>
      <c r="EN390" s="169"/>
    </row>
    <row r="391" spans="3:144" x14ac:dyDescent="0.2"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  <c r="CZ391" s="169"/>
      <c r="DA391" s="169"/>
      <c r="DB391" s="169"/>
      <c r="DC391" s="169"/>
      <c r="DD391" s="169"/>
      <c r="DE391" s="169"/>
      <c r="DF391" s="169"/>
      <c r="DG391" s="169"/>
      <c r="DH391" s="169"/>
      <c r="DI391" s="169"/>
      <c r="DJ391" s="169"/>
      <c r="DK391" s="169"/>
      <c r="DL391" s="169"/>
      <c r="DM391" s="169"/>
      <c r="DN391" s="169"/>
      <c r="DO391" s="169"/>
      <c r="DP391" s="169"/>
      <c r="DQ391" s="169"/>
      <c r="DR391" s="169"/>
      <c r="DS391" s="169"/>
      <c r="DT391" s="169"/>
      <c r="DU391" s="169"/>
      <c r="DV391" s="169"/>
      <c r="DW391" s="169"/>
      <c r="DX391" s="169"/>
      <c r="DY391" s="169"/>
      <c r="DZ391" s="169"/>
      <c r="EA391" s="169"/>
      <c r="EB391" s="169"/>
      <c r="EC391" s="169"/>
      <c r="ED391" s="169"/>
      <c r="EE391" s="169"/>
      <c r="EF391" s="169"/>
      <c r="EG391" s="169"/>
      <c r="EH391" s="169"/>
      <c r="EI391" s="169"/>
      <c r="EJ391" s="169"/>
      <c r="EK391" s="169"/>
      <c r="EL391" s="169"/>
      <c r="EM391" s="169"/>
      <c r="EN391" s="169"/>
    </row>
    <row r="392" spans="3:144" x14ac:dyDescent="0.2"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169"/>
      <c r="EI392" s="169"/>
      <c r="EJ392" s="169"/>
      <c r="EK392" s="169"/>
      <c r="EL392" s="169"/>
      <c r="EM392" s="169"/>
      <c r="EN392" s="169"/>
    </row>
    <row r="393" spans="3:144" x14ac:dyDescent="0.2"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  <c r="CZ393" s="169"/>
      <c r="DA393" s="169"/>
      <c r="DB393" s="169"/>
      <c r="DC393" s="169"/>
      <c r="DD393" s="169"/>
      <c r="DE393" s="169"/>
      <c r="DF393" s="169"/>
      <c r="DG393" s="169"/>
      <c r="DH393" s="169"/>
      <c r="DI393" s="169"/>
      <c r="DJ393" s="169"/>
      <c r="DK393" s="169"/>
      <c r="DL393" s="169"/>
      <c r="DM393" s="169"/>
      <c r="DN393" s="169"/>
      <c r="DO393" s="169"/>
      <c r="DP393" s="169"/>
      <c r="DQ393" s="169"/>
      <c r="DR393" s="169"/>
      <c r="DS393" s="169"/>
      <c r="DT393" s="169"/>
      <c r="DU393" s="169"/>
      <c r="DV393" s="169"/>
      <c r="DW393" s="169"/>
      <c r="DX393" s="169"/>
      <c r="DY393" s="169"/>
      <c r="DZ393" s="169"/>
      <c r="EA393" s="169"/>
      <c r="EB393" s="169"/>
      <c r="EC393" s="169"/>
      <c r="ED393" s="169"/>
      <c r="EE393" s="169"/>
      <c r="EF393" s="169"/>
      <c r="EG393" s="169"/>
      <c r="EH393" s="169"/>
      <c r="EI393" s="169"/>
      <c r="EJ393" s="169"/>
      <c r="EK393" s="169"/>
      <c r="EL393" s="169"/>
      <c r="EM393" s="169"/>
      <c r="EN393" s="169"/>
    </row>
    <row r="394" spans="3:144" x14ac:dyDescent="0.2"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  <c r="CZ394" s="169"/>
      <c r="DA394" s="169"/>
      <c r="DB394" s="169"/>
      <c r="DC394" s="169"/>
      <c r="DD394" s="169"/>
      <c r="DE394" s="169"/>
      <c r="DF394" s="169"/>
      <c r="DG394" s="169"/>
      <c r="DH394" s="169"/>
      <c r="DI394" s="169"/>
      <c r="DJ394" s="169"/>
      <c r="DK394" s="169"/>
      <c r="DL394" s="169"/>
      <c r="DM394" s="169"/>
      <c r="DN394" s="169"/>
      <c r="DO394" s="169"/>
      <c r="DP394" s="169"/>
      <c r="DQ394" s="169"/>
      <c r="DR394" s="169"/>
      <c r="DS394" s="169"/>
      <c r="DT394" s="169"/>
      <c r="DU394" s="169"/>
      <c r="DV394" s="169"/>
      <c r="DW394" s="169"/>
      <c r="DX394" s="169"/>
      <c r="DY394" s="169"/>
      <c r="DZ394" s="169"/>
      <c r="EA394" s="169"/>
      <c r="EB394" s="169"/>
      <c r="EC394" s="169"/>
      <c r="ED394" s="169"/>
      <c r="EE394" s="169"/>
      <c r="EF394" s="169"/>
      <c r="EG394" s="169"/>
      <c r="EH394" s="169"/>
      <c r="EI394" s="169"/>
      <c r="EJ394" s="169"/>
      <c r="EK394" s="169"/>
      <c r="EL394" s="169"/>
      <c r="EM394" s="169"/>
      <c r="EN394" s="169"/>
    </row>
    <row r="395" spans="3:144" x14ac:dyDescent="0.2"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  <c r="CZ395" s="169"/>
      <c r="DA395" s="169"/>
      <c r="DB395" s="169"/>
      <c r="DC395" s="169"/>
      <c r="DD395" s="169"/>
      <c r="DE395" s="169"/>
      <c r="DF395" s="169"/>
      <c r="DG395" s="169"/>
      <c r="DH395" s="169"/>
      <c r="DI395" s="169"/>
      <c r="DJ395" s="169"/>
      <c r="DK395" s="169"/>
      <c r="DL395" s="169"/>
      <c r="DM395" s="169"/>
      <c r="DN395" s="169"/>
      <c r="DO395" s="169"/>
      <c r="DP395" s="169"/>
      <c r="DQ395" s="169"/>
      <c r="DR395" s="169"/>
      <c r="DS395" s="169"/>
      <c r="DT395" s="169"/>
      <c r="DU395" s="169"/>
      <c r="DV395" s="169"/>
      <c r="DW395" s="169"/>
      <c r="DX395" s="169"/>
      <c r="DY395" s="169"/>
      <c r="DZ395" s="169"/>
      <c r="EA395" s="169"/>
      <c r="EB395" s="169"/>
      <c r="EC395" s="169"/>
      <c r="ED395" s="169"/>
      <c r="EE395" s="169"/>
      <c r="EF395" s="169"/>
      <c r="EG395" s="169"/>
      <c r="EH395" s="169"/>
      <c r="EI395" s="169"/>
      <c r="EJ395" s="169"/>
      <c r="EK395" s="169"/>
      <c r="EL395" s="169"/>
      <c r="EM395" s="169"/>
      <c r="EN395" s="169"/>
    </row>
    <row r="396" spans="3:144" x14ac:dyDescent="0.2"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69"/>
      <c r="CZ396" s="169"/>
      <c r="DA396" s="169"/>
      <c r="DB396" s="169"/>
      <c r="DC396" s="169"/>
      <c r="DD396" s="169"/>
      <c r="DE396" s="169"/>
      <c r="DF396" s="169"/>
      <c r="DG396" s="169"/>
      <c r="DH396" s="169"/>
      <c r="DI396" s="169"/>
      <c r="DJ396" s="169"/>
      <c r="DK396" s="169"/>
      <c r="DL396" s="169"/>
      <c r="DM396" s="169"/>
      <c r="DN396" s="169"/>
      <c r="DO396" s="169"/>
      <c r="DP396" s="169"/>
      <c r="DQ396" s="169"/>
      <c r="DR396" s="169"/>
      <c r="DS396" s="169"/>
      <c r="DT396" s="169"/>
      <c r="DU396" s="169"/>
      <c r="DV396" s="169"/>
      <c r="DW396" s="169"/>
      <c r="DX396" s="169"/>
      <c r="DY396" s="169"/>
      <c r="DZ396" s="169"/>
      <c r="EA396" s="169"/>
      <c r="EB396" s="169"/>
      <c r="EC396" s="169"/>
      <c r="ED396" s="169"/>
      <c r="EE396" s="169"/>
      <c r="EF396" s="169"/>
      <c r="EG396" s="169"/>
      <c r="EH396" s="169"/>
      <c r="EI396" s="169"/>
      <c r="EJ396" s="169"/>
      <c r="EK396" s="169"/>
      <c r="EL396" s="169"/>
      <c r="EM396" s="169"/>
      <c r="EN396" s="169"/>
    </row>
    <row r="397" spans="3:144" x14ac:dyDescent="0.2"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  <c r="CZ397" s="169"/>
      <c r="DA397" s="169"/>
      <c r="DB397" s="169"/>
      <c r="DC397" s="169"/>
      <c r="DD397" s="169"/>
      <c r="DE397" s="169"/>
      <c r="DF397" s="169"/>
      <c r="DG397" s="169"/>
      <c r="DH397" s="169"/>
      <c r="DI397" s="169"/>
      <c r="DJ397" s="169"/>
      <c r="DK397" s="169"/>
      <c r="DL397" s="169"/>
      <c r="DM397" s="169"/>
      <c r="DN397" s="169"/>
      <c r="DO397" s="169"/>
      <c r="DP397" s="169"/>
      <c r="DQ397" s="169"/>
      <c r="DR397" s="169"/>
      <c r="DS397" s="169"/>
      <c r="DT397" s="169"/>
      <c r="DU397" s="169"/>
      <c r="DV397" s="169"/>
      <c r="DW397" s="169"/>
      <c r="DX397" s="169"/>
      <c r="DY397" s="169"/>
      <c r="DZ397" s="169"/>
      <c r="EA397" s="169"/>
      <c r="EB397" s="169"/>
      <c r="EC397" s="169"/>
      <c r="ED397" s="169"/>
      <c r="EE397" s="169"/>
      <c r="EF397" s="169"/>
      <c r="EG397" s="169"/>
      <c r="EH397" s="169"/>
      <c r="EI397" s="169"/>
      <c r="EJ397" s="169"/>
      <c r="EK397" s="169"/>
      <c r="EL397" s="169"/>
      <c r="EM397" s="169"/>
      <c r="EN397" s="169"/>
    </row>
    <row r="398" spans="3:144" x14ac:dyDescent="0.2"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69"/>
      <c r="CZ398" s="169"/>
      <c r="DA398" s="169"/>
      <c r="DB398" s="169"/>
      <c r="DC398" s="169"/>
      <c r="DD398" s="169"/>
      <c r="DE398" s="169"/>
      <c r="DF398" s="169"/>
      <c r="DG398" s="169"/>
      <c r="DH398" s="169"/>
      <c r="DI398" s="169"/>
      <c r="DJ398" s="169"/>
      <c r="DK398" s="169"/>
      <c r="DL398" s="169"/>
      <c r="DM398" s="169"/>
      <c r="DN398" s="169"/>
      <c r="DO398" s="169"/>
      <c r="DP398" s="169"/>
      <c r="DQ398" s="169"/>
      <c r="DR398" s="169"/>
      <c r="DS398" s="169"/>
      <c r="DT398" s="169"/>
      <c r="DU398" s="169"/>
      <c r="DV398" s="169"/>
      <c r="DW398" s="169"/>
      <c r="DX398" s="169"/>
      <c r="DY398" s="169"/>
      <c r="DZ398" s="169"/>
      <c r="EA398" s="169"/>
      <c r="EB398" s="169"/>
      <c r="EC398" s="169"/>
      <c r="ED398" s="169"/>
      <c r="EE398" s="169"/>
      <c r="EF398" s="169"/>
      <c r="EG398" s="169"/>
      <c r="EH398" s="169"/>
      <c r="EI398" s="169"/>
      <c r="EJ398" s="169"/>
      <c r="EK398" s="169"/>
      <c r="EL398" s="169"/>
      <c r="EM398" s="169"/>
      <c r="EN398" s="169"/>
    </row>
    <row r="399" spans="3:144" x14ac:dyDescent="0.2"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  <c r="CZ399" s="169"/>
      <c r="DA399" s="169"/>
      <c r="DB399" s="169"/>
      <c r="DC399" s="169"/>
      <c r="DD399" s="169"/>
      <c r="DE399" s="169"/>
      <c r="DF399" s="169"/>
      <c r="DG399" s="169"/>
      <c r="DH399" s="169"/>
      <c r="DI399" s="169"/>
      <c r="DJ399" s="169"/>
      <c r="DK399" s="169"/>
      <c r="DL399" s="169"/>
      <c r="DM399" s="169"/>
      <c r="DN399" s="169"/>
      <c r="DO399" s="169"/>
      <c r="DP399" s="169"/>
      <c r="DQ399" s="169"/>
      <c r="DR399" s="169"/>
      <c r="DS399" s="169"/>
      <c r="DT399" s="169"/>
      <c r="DU399" s="169"/>
      <c r="DV399" s="169"/>
      <c r="DW399" s="169"/>
      <c r="DX399" s="169"/>
      <c r="DY399" s="169"/>
      <c r="DZ399" s="169"/>
      <c r="EA399" s="169"/>
      <c r="EB399" s="169"/>
      <c r="EC399" s="169"/>
      <c r="ED399" s="169"/>
      <c r="EE399" s="169"/>
      <c r="EF399" s="169"/>
      <c r="EG399" s="169"/>
      <c r="EH399" s="169"/>
      <c r="EI399" s="169"/>
      <c r="EJ399" s="169"/>
      <c r="EK399" s="169"/>
      <c r="EL399" s="169"/>
      <c r="EM399" s="169"/>
      <c r="EN399" s="169"/>
    </row>
    <row r="400" spans="3:144" x14ac:dyDescent="0.2"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69"/>
      <c r="CZ400" s="169"/>
      <c r="DA400" s="169"/>
      <c r="DB400" s="169"/>
      <c r="DC400" s="169"/>
      <c r="DD400" s="169"/>
      <c r="DE400" s="169"/>
      <c r="DF400" s="169"/>
      <c r="DG400" s="169"/>
      <c r="DH400" s="169"/>
      <c r="DI400" s="169"/>
      <c r="DJ400" s="169"/>
      <c r="DK400" s="169"/>
      <c r="DL400" s="169"/>
      <c r="DM400" s="169"/>
      <c r="DN400" s="169"/>
      <c r="DO400" s="169"/>
      <c r="DP400" s="169"/>
      <c r="DQ400" s="169"/>
      <c r="DR400" s="169"/>
      <c r="DS400" s="169"/>
      <c r="DT400" s="169"/>
      <c r="DU400" s="169"/>
      <c r="DV400" s="169"/>
      <c r="DW400" s="169"/>
      <c r="DX400" s="169"/>
      <c r="DY400" s="169"/>
      <c r="DZ400" s="169"/>
      <c r="EA400" s="169"/>
      <c r="EB400" s="169"/>
      <c r="EC400" s="169"/>
      <c r="ED400" s="169"/>
      <c r="EE400" s="169"/>
      <c r="EF400" s="169"/>
      <c r="EG400" s="169"/>
      <c r="EH400" s="169"/>
      <c r="EI400" s="169"/>
      <c r="EJ400" s="169"/>
      <c r="EK400" s="169"/>
      <c r="EL400" s="169"/>
      <c r="EM400" s="169"/>
      <c r="EN400" s="169"/>
    </row>
    <row r="401" spans="3:144" x14ac:dyDescent="0.2"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  <c r="CW401" s="169"/>
      <c r="CX401" s="169"/>
      <c r="CY401" s="169"/>
      <c r="CZ401" s="169"/>
      <c r="DA401" s="169"/>
      <c r="DB401" s="169"/>
      <c r="DC401" s="169"/>
      <c r="DD401" s="169"/>
      <c r="DE401" s="169"/>
      <c r="DF401" s="169"/>
      <c r="DG401" s="169"/>
      <c r="DH401" s="169"/>
      <c r="DI401" s="169"/>
      <c r="DJ401" s="169"/>
      <c r="DK401" s="169"/>
      <c r="DL401" s="169"/>
      <c r="DM401" s="169"/>
      <c r="DN401" s="169"/>
      <c r="DO401" s="169"/>
      <c r="DP401" s="169"/>
      <c r="DQ401" s="169"/>
      <c r="DR401" s="169"/>
      <c r="DS401" s="169"/>
      <c r="DT401" s="169"/>
      <c r="DU401" s="169"/>
      <c r="DV401" s="169"/>
      <c r="DW401" s="169"/>
      <c r="DX401" s="169"/>
      <c r="DY401" s="169"/>
      <c r="DZ401" s="169"/>
      <c r="EA401" s="169"/>
      <c r="EB401" s="169"/>
      <c r="EC401" s="169"/>
      <c r="ED401" s="169"/>
      <c r="EE401" s="169"/>
      <c r="EF401" s="169"/>
      <c r="EG401" s="169"/>
      <c r="EH401" s="169"/>
      <c r="EI401" s="169"/>
      <c r="EJ401" s="169"/>
      <c r="EK401" s="169"/>
      <c r="EL401" s="169"/>
      <c r="EM401" s="169"/>
      <c r="EN401" s="169"/>
    </row>
    <row r="402" spans="3:144" x14ac:dyDescent="0.2"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69"/>
      <c r="CZ402" s="169"/>
      <c r="DA402" s="169"/>
      <c r="DB402" s="169"/>
      <c r="DC402" s="169"/>
      <c r="DD402" s="169"/>
      <c r="DE402" s="169"/>
      <c r="DF402" s="169"/>
      <c r="DG402" s="169"/>
      <c r="DH402" s="169"/>
      <c r="DI402" s="169"/>
      <c r="DJ402" s="169"/>
      <c r="DK402" s="169"/>
      <c r="DL402" s="169"/>
      <c r="DM402" s="169"/>
      <c r="DN402" s="169"/>
      <c r="DO402" s="169"/>
      <c r="DP402" s="169"/>
      <c r="DQ402" s="169"/>
      <c r="DR402" s="169"/>
      <c r="DS402" s="169"/>
      <c r="DT402" s="169"/>
      <c r="DU402" s="169"/>
      <c r="DV402" s="169"/>
      <c r="DW402" s="169"/>
      <c r="DX402" s="169"/>
      <c r="DY402" s="169"/>
      <c r="DZ402" s="169"/>
      <c r="EA402" s="169"/>
      <c r="EB402" s="169"/>
      <c r="EC402" s="169"/>
      <c r="ED402" s="169"/>
      <c r="EE402" s="169"/>
      <c r="EF402" s="169"/>
      <c r="EG402" s="169"/>
      <c r="EH402" s="169"/>
      <c r="EI402" s="169"/>
      <c r="EJ402" s="169"/>
      <c r="EK402" s="169"/>
      <c r="EL402" s="169"/>
      <c r="EM402" s="169"/>
      <c r="EN402" s="169"/>
    </row>
    <row r="403" spans="3:144" x14ac:dyDescent="0.2"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69"/>
      <c r="CZ403" s="169"/>
      <c r="DA403" s="169"/>
      <c r="DB403" s="169"/>
      <c r="DC403" s="169"/>
      <c r="DD403" s="169"/>
      <c r="DE403" s="169"/>
      <c r="DF403" s="169"/>
      <c r="DG403" s="169"/>
      <c r="DH403" s="169"/>
      <c r="DI403" s="169"/>
      <c r="DJ403" s="169"/>
      <c r="DK403" s="169"/>
      <c r="DL403" s="169"/>
      <c r="DM403" s="169"/>
      <c r="DN403" s="169"/>
      <c r="DO403" s="169"/>
      <c r="DP403" s="169"/>
      <c r="DQ403" s="169"/>
      <c r="DR403" s="169"/>
      <c r="DS403" s="169"/>
      <c r="DT403" s="169"/>
      <c r="DU403" s="169"/>
      <c r="DV403" s="169"/>
      <c r="DW403" s="169"/>
      <c r="DX403" s="169"/>
      <c r="DY403" s="169"/>
      <c r="DZ403" s="169"/>
      <c r="EA403" s="169"/>
      <c r="EB403" s="169"/>
      <c r="EC403" s="169"/>
      <c r="ED403" s="169"/>
      <c r="EE403" s="169"/>
      <c r="EF403" s="169"/>
      <c r="EG403" s="169"/>
      <c r="EH403" s="169"/>
      <c r="EI403" s="169"/>
      <c r="EJ403" s="169"/>
      <c r="EK403" s="169"/>
      <c r="EL403" s="169"/>
      <c r="EM403" s="169"/>
      <c r="EN403" s="169"/>
    </row>
    <row r="404" spans="3:144" x14ac:dyDescent="0.2"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69"/>
      <c r="CZ404" s="169"/>
      <c r="DA404" s="169"/>
      <c r="DB404" s="169"/>
      <c r="DC404" s="169"/>
      <c r="DD404" s="169"/>
      <c r="DE404" s="169"/>
      <c r="DF404" s="169"/>
      <c r="DG404" s="169"/>
      <c r="DH404" s="169"/>
      <c r="DI404" s="169"/>
      <c r="DJ404" s="169"/>
      <c r="DK404" s="169"/>
      <c r="DL404" s="169"/>
      <c r="DM404" s="169"/>
      <c r="DN404" s="169"/>
      <c r="DO404" s="169"/>
      <c r="DP404" s="169"/>
      <c r="DQ404" s="169"/>
      <c r="DR404" s="169"/>
      <c r="DS404" s="169"/>
      <c r="DT404" s="169"/>
      <c r="DU404" s="169"/>
      <c r="DV404" s="169"/>
      <c r="DW404" s="169"/>
      <c r="DX404" s="169"/>
      <c r="DY404" s="169"/>
      <c r="DZ404" s="169"/>
      <c r="EA404" s="169"/>
      <c r="EB404" s="169"/>
      <c r="EC404" s="169"/>
      <c r="ED404" s="169"/>
      <c r="EE404" s="169"/>
      <c r="EF404" s="169"/>
      <c r="EG404" s="169"/>
      <c r="EH404" s="169"/>
      <c r="EI404" s="169"/>
      <c r="EJ404" s="169"/>
      <c r="EK404" s="169"/>
      <c r="EL404" s="169"/>
      <c r="EM404" s="169"/>
      <c r="EN404" s="169"/>
    </row>
    <row r="405" spans="3:144" x14ac:dyDescent="0.2"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69"/>
      <c r="CZ405" s="169"/>
      <c r="DA405" s="169"/>
      <c r="DB405" s="169"/>
      <c r="DC405" s="169"/>
      <c r="DD405" s="169"/>
      <c r="DE405" s="169"/>
      <c r="DF405" s="169"/>
      <c r="DG405" s="169"/>
      <c r="DH405" s="169"/>
      <c r="DI405" s="169"/>
      <c r="DJ405" s="169"/>
      <c r="DK405" s="169"/>
      <c r="DL405" s="169"/>
      <c r="DM405" s="169"/>
      <c r="DN405" s="169"/>
      <c r="DO405" s="169"/>
      <c r="DP405" s="169"/>
      <c r="DQ405" s="169"/>
      <c r="DR405" s="169"/>
      <c r="DS405" s="169"/>
      <c r="DT405" s="169"/>
      <c r="DU405" s="169"/>
      <c r="DV405" s="169"/>
      <c r="DW405" s="169"/>
      <c r="DX405" s="169"/>
      <c r="DY405" s="169"/>
      <c r="DZ405" s="169"/>
      <c r="EA405" s="169"/>
      <c r="EB405" s="169"/>
      <c r="EC405" s="169"/>
      <c r="ED405" s="169"/>
      <c r="EE405" s="169"/>
      <c r="EF405" s="169"/>
      <c r="EG405" s="169"/>
      <c r="EH405" s="169"/>
      <c r="EI405" s="169"/>
      <c r="EJ405" s="169"/>
      <c r="EK405" s="169"/>
      <c r="EL405" s="169"/>
      <c r="EM405" s="169"/>
      <c r="EN405" s="169"/>
    </row>
    <row r="406" spans="3:144" x14ac:dyDescent="0.2"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  <c r="CW406" s="169"/>
      <c r="CX406" s="169"/>
      <c r="CY406" s="169"/>
      <c r="CZ406" s="169"/>
      <c r="DA406" s="169"/>
      <c r="DB406" s="169"/>
      <c r="DC406" s="169"/>
      <c r="DD406" s="169"/>
      <c r="DE406" s="169"/>
      <c r="DF406" s="169"/>
      <c r="DG406" s="169"/>
      <c r="DH406" s="169"/>
      <c r="DI406" s="169"/>
      <c r="DJ406" s="169"/>
      <c r="DK406" s="169"/>
      <c r="DL406" s="169"/>
      <c r="DM406" s="169"/>
      <c r="DN406" s="169"/>
      <c r="DO406" s="169"/>
      <c r="DP406" s="169"/>
      <c r="DQ406" s="169"/>
      <c r="DR406" s="169"/>
      <c r="DS406" s="169"/>
      <c r="DT406" s="169"/>
      <c r="DU406" s="169"/>
      <c r="DV406" s="169"/>
      <c r="DW406" s="169"/>
      <c r="DX406" s="169"/>
      <c r="DY406" s="169"/>
      <c r="DZ406" s="169"/>
      <c r="EA406" s="169"/>
      <c r="EB406" s="169"/>
      <c r="EC406" s="169"/>
      <c r="ED406" s="169"/>
      <c r="EE406" s="169"/>
      <c r="EF406" s="169"/>
      <c r="EG406" s="169"/>
      <c r="EH406" s="169"/>
      <c r="EI406" s="169"/>
      <c r="EJ406" s="169"/>
      <c r="EK406" s="169"/>
      <c r="EL406" s="169"/>
      <c r="EM406" s="169"/>
      <c r="EN406" s="169"/>
    </row>
    <row r="407" spans="3:144" x14ac:dyDescent="0.2"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  <c r="CW407" s="169"/>
      <c r="CX407" s="169"/>
      <c r="CY407" s="169"/>
      <c r="CZ407" s="169"/>
      <c r="DA407" s="169"/>
      <c r="DB407" s="169"/>
      <c r="DC407" s="169"/>
      <c r="DD407" s="169"/>
      <c r="DE407" s="169"/>
      <c r="DF407" s="169"/>
      <c r="DG407" s="169"/>
      <c r="DH407" s="169"/>
      <c r="DI407" s="169"/>
      <c r="DJ407" s="169"/>
      <c r="DK407" s="169"/>
      <c r="DL407" s="169"/>
      <c r="DM407" s="169"/>
      <c r="DN407" s="169"/>
      <c r="DO407" s="169"/>
      <c r="DP407" s="169"/>
      <c r="DQ407" s="169"/>
      <c r="DR407" s="169"/>
      <c r="DS407" s="169"/>
      <c r="DT407" s="169"/>
      <c r="DU407" s="169"/>
      <c r="DV407" s="169"/>
      <c r="DW407" s="169"/>
      <c r="DX407" s="169"/>
      <c r="DY407" s="169"/>
      <c r="DZ407" s="169"/>
      <c r="EA407" s="169"/>
      <c r="EB407" s="169"/>
      <c r="EC407" s="169"/>
      <c r="ED407" s="169"/>
      <c r="EE407" s="169"/>
      <c r="EF407" s="169"/>
      <c r="EG407" s="169"/>
      <c r="EH407" s="169"/>
      <c r="EI407" s="169"/>
      <c r="EJ407" s="169"/>
      <c r="EK407" s="169"/>
      <c r="EL407" s="169"/>
      <c r="EM407" s="169"/>
      <c r="EN407" s="169"/>
    </row>
    <row r="408" spans="3:144" x14ac:dyDescent="0.2"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69"/>
      <c r="CZ408" s="169"/>
      <c r="DA408" s="169"/>
      <c r="DB408" s="169"/>
      <c r="DC408" s="169"/>
      <c r="DD408" s="169"/>
      <c r="DE408" s="169"/>
      <c r="DF408" s="169"/>
      <c r="DG408" s="169"/>
      <c r="DH408" s="169"/>
      <c r="DI408" s="169"/>
      <c r="DJ408" s="169"/>
      <c r="DK408" s="169"/>
      <c r="DL408" s="169"/>
      <c r="DM408" s="169"/>
      <c r="DN408" s="169"/>
      <c r="DO408" s="169"/>
      <c r="DP408" s="169"/>
      <c r="DQ408" s="169"/>
      <c r="DR408" s="169"/>
      <c r="DS408" s="169"/>
      <c r="DT408" s="169"/>
      <c r="DU408" s="169"/>
      <c r="DV408" s="169"/>
      <c r="DW408" s="169"/>
      <c r="DX408" s="169"/>
      <c r="DY408" s="169"/>
      <c r="DZ408" s="169"/>
      <c r="EA408" s="169"/>
      <c r="EB408" s="169"/>
      <c r="EC408" s="169"/>
      <c r="ED408" s="169"/>
      <c r="EE408" s="169"/>
      <c r="EF408" s="169"/>
      <c r="EG408" s="169"/>
      <c r="EH408" s="169"/>
      <c r="EI408" s="169"/>
      <c r="EJ408" s="169"/>
      <c r="EK408" s="169"/>
      <c r="EL408" s="169"/>
      <c r="EM408" s="169"/>
      <c r="EN408" s="169"/>
    </row>
    <row r="409" spans="3:144" x14ac:dyDescent="0.2"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  <c r="CW409" s="169"/>
      <c r="CX409" s="169"/>
      <c r="CY409" s="169"/>
      <c r="CZ409" s="169"/>
      <c r="DA409" s="169"/>
      <c r="DB409" s="169"/>
      <c r="DC409" s="169"/>
      <c r="DD409" s="169"/>
      <c r="DE409" s="169"/>
      <c r="DF409" s="169"/>
      <c r="DG409" s="169"/>
      <c r="DH409" s="169"/>
      <c r="DI409" s="169"/>
      <c r="DJ409" s="169"/>
      <c r="DK409" s="169"/>
      <c r="DL409" s="169"/>
      <c r="DM409" s="169"/>
      <c r="DN409" s="169"/>
      <c r="DO409" s="169"/>
      <c r="DP409" s="169"/>
      <c r="DQ409" s="169"/>
      <c r="DR409" s="169"/>
      <c r="DS409" s="169"/>
      <c r="DT409" s="169"/>
      <c r="DU409" s="169"/>
      <c r="DV409" s="169"/>
      <c r="DW409" s="169"/>
      <c r="DX409" s="169"/>
      <c r="DY409" s="169"/>
      <c r="DZ409" s="169"/>
      <c r="EA409" s="169"/>
      <c r="EB409" s="169"/>
      <c r="EC409" s="169"/>
      <c r="ED409" s="169"/>
      <c r="EE409" s="169"/>
      <c r="EF409" s="169"/>
      <c r="EG409" s="169"/>
      <c r="EH409" s="169"/>
      <c r="EI409" s="169"/>
      <c r="EJ409" s="169"/>
      <c r="EK409" s="169"/>
      <c r="EL409" s="169"/>
      <c r="EM409" s="169"/>
      <c r="EN409" s="169"/>
    </row>
    <row r="410" spans="3:144" x14ac:dyDescent="0.2"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  <c r="CW410" s="169"/>
      <c r="CX410" s="169"/>
      <c r="CY410" s="169"/>
      <c r="CZ410" s="169"/>
      <c r="DA410" s="169"/>
      <c r="DB410" s="169"/>
      <c r="DC410" s="169"/>
      <c r="DD410" s="169"/>
      <c r="DE410" s="169"/>
      <c r="DF410" s="169"/>
      <c r="DG410" s="169"/>
      <c r="DH410" s="169"/>
      <c r="DI410" s="169"/>
      <c r="DJ410" s="169"/>
      <c r="DK410" s="169"/>
      <c r="DL410" s="169"/>
      <c r="DM410" s="169"/>
      <c r="DN410" s="169"/>
      <c r="DO410" s="169"/>
      <c r="DP410" s="169"/>
      <c r="DQ410" s="169"/>
      <c r="DR410" s="169"/>
      <c r="DS410" s="169"/>
      <c r="DT410" s="169"/>
      <c r="DU410" s="169"/>
      <c r="DV410" s="169"/>
      <c r="DW410" s="169"/>
      <c r="DX410" s="169"/>
      <c r="DY410" s="169"/>
      <c r="DZ410" s="169"/>
      <c r="EA410" s="169"/>
      <c r="EB410" s="169"/>
      <c r="EC410" s="169"/>
      <c r="ED410" s="169"/>
      <c r="EE410" s="169"/>
      <c r="EF410" s="169"/>
      <c r="EG410" s="169"/>
      <c r="EH410" s="169"/>
      <c r="EI410" s="169"/>
      <c r="EJ410" s="169"/>
      <c r="EK410" s="169"/>
      <c r="EL410" s="169"/>
      <c r="EM410" s="169"/>
      <c r="EN410" s="169"/>
    </row>
    <row r="411" spans="3:144" x14ac:dyDescent="0.2"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  <c r="CW411" s="169"/>
      <c r="CX411" s="169"/>
      <c r="CY411" s="169"/>
      <c r="CZ411" s="169"/>
      <c r="DA411" s="169"/>
      <c r="DB411" s="169"/>
      <c r="DC411" s="169"/>
      <c r="DD411" s="169"/>
      <c r="DE411" s="169"/>
      <c r="DF411" s="169"/>
      <c r="DG411" s="169"/>
      <c r="DH411" s="169"/>
      <c r="DI411" s="169"/>
      <c r="DJ411" s="169"/>
      <c r="DK411" s="169"/>
      <c r="DL411" s="169"/>
      <c r="DM411" s="169"/>
      <c r="DN411" s="169"/>
      <c r="DO411" s="169"/>
      <c r="DP411" s="169"/>
      <c r="DQ411" s="169"/>
      <c r="DR411" s="169"/>
      <c r="DS411" s="169"/>
      <c r="DT411" s="169"/>
      <c r="DU411" s="169"/>
      <c r="DV411" s="169"/>
      <c r="DW411" s="169"/>
      <c r="DX411" s="169"/>
      <c r="DY411" s="169"/>
      <c r="DZ411" s="169"/>
      <c r="EA411" s="169"/>
      <c r="EB411" s="169"/>
      <c r="EC411" s="169"/>
      <c r="ED411" s="169"/>
      <c r="EE411" s="169"/>
      <c r="EF411" s="169"/>
      <c r="EG411" s="169"/>
      <c r="EH411" s="169"/>
      <c r="EI411" s="169"/>
      <c r="EJ411" s="169"/>
      <c r="EK411" s="169"/>
      <c r="EL411" s="169"/>
      <c r="EM411" s="169"/>
      <c r="EN411" s="169"/>
    </row>
    <row r="412" spans="3:144" x14ac:dyDescent="0.2"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  <c r="CW412" s="169"/>
      <c r="CX412" s="169"/>
      <c r="CY412" s="169"/>
      <c r="CZ412" s="169"/>
      <c r="DA412" s="169"/>
      <c r="DB412" s="169"/>
      <c r="DC412" s="169"/>
      <c r="DD412" s="169"/>
      <c r="DE412" s="169"/>
      <c r="DF412" s="169"/>
      <c r="DG412" s="169"/>
      <c r="DH412" s="169"/>
      <c r="DI412" s="169"/>
      <c r="DJ412" s="169"/>
      <c r="DK412" s="169"/>
      <c r="DL412" s="169"/>
      <c r="DM412" s="169"/>
      <c r="DN412" s="169"/>
      <c r="DO412" s="169"/>
      <c r="DP412" s="169"/>
      <c r="DQ412" s="169"/>
      <c r="DR412" s="169"/>
      <c r="DS412" s="169"/>
      <c r="DT412" s="169"/>
      <c r="DU412" s="169"/>
      <c r="DV412" s="169"/>
      <c r="DW412" s="169"/>
      <c r="DX412" s="169"/>
      <c r="DY412" s="169"/>
      <c r="DZ412" s="169"/>
      <c r="EA412" s="169"/>
      <c r="EB412" s="169"/>
      <c r="EC412" s="169"/>
      <c r="ED412" s="169"/>
      <c r="EE412" s="169"/>
      <c r="EF412" s="169"/>
      <c r="EG412" s="169"/>
      <c r="EH412" s="169"/>
      <c r="EI412" s="169"/>
      <c r="EJ412" s="169"/>
      <c r="EK412" s="169"/>
      <c r="EL412" s="169"/>
      <c r="EM412" s="169"/>
      <c r="EN412" s="169"/>
    </row>
    <row r="413" spans="3:144" x14ac:dyDescent="0.2"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  <c r="CB413" s="169"/>
      <c r="CC413" s="169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69"/>
      <c r="CN413" s="169"/>
      <c r="CO413" s="169"/>
      <c r="CP413" s="169"/>
      <c r="CQ413" s="169"/>
      <c r="CR413" s="169"/>
      <c r="CS413" s="169"/>
      <c r="CT413" s="169"/>
      <c r="CU413" s="169"/>
      <c r="CV413" s="169"/>
      <c r="CW413" s="169"/>
      <c r="CX413" s="169"/>
      <c r="CY413" s="169"/>
      <c r="CZ413" s="169"/>
      <c r="DA413" s="169"/>
      <c r="DB413" s="169"/>
      <c r="DC413" s="169"/>
      <c r="DD413" s="169"/>
      <c r="DE413" s="169"/>
      <c r="DF413" s="169"/>
      <c r="DG413" s="169"/>
      <c r="DH413" s="169"/>
      <c r="DI413" s="169"/>
      <c r="DJ413" s="169"/>
      <c r="DK413" s="169"/>
      <c r="DL413" s="169"/>
      <c r="DM413" s="169"/>
      <c r="DN413" s="169"/>
      <c r="DO413" s="169"/>
      <c r="DP413" s="169"/>
      <c r="DQ413" s="169"/>
      <c r="DR413" s="169"/>
      <c r="DS413" s="169"/>
      <c r="DT413" s="169"/>
      <c r="DU413" s="169"/>
      <c r="DV413" s="169"/>
      <c r="DW413" s="169"/>
      <c r="DX413" s="169"/>
      <c r="DY413" s="169"/>
      <c r="DZ413" s="169"/>
      <c r="EA413" s="169"/>
      <c r="EB413" s="169"/>
      <c r="EC413" s="169"/>
      <c r="ED413" s="169"/>
      <c r="EE413" s="169"/>
      <c r="EF413" s="169"/>
      <c r="EG413" s="169"/>
      <c r="EH413" s="169"/>
      <c r="EI413" s="169"/>
      <c r="EJ413" s="169"/>
      <c r="EK413" s="169"/>
      <c r="EL413" s="169"/>
      <c r="EM413" s="169"/>
      <c r="EN413" s="169"/>
    </row>
  </sheetData>
  <printOptions gridLines="1"/>
  <pageMargins left="0" right="0" top="0.25" bottom="0" header="0" footer="0.25"/>
  <pageSetup scale="53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0" activePane="bottomRight" state="frozen"/>
      <selection activeCell="I56" sqref="I56"/>
      <selection pane="topRight" activeCell="I56" sqref="I56"/>
      <selection pane="bottomLeft" activeCell="I56" sqref="I56"/>
      <selection pane="bottomRight" activeCell="I48" sqref="I48"/>
    </sheetView>
  </sheetViews>
  <sheetFormatPr defaultColWidth="9.140625" defaultRowHeight="10.5" outlineLevelRow="1" outlineLevelCol="1" x14ac:dyDescent="0.15"/>
  <cols>
    <col min="1" max="1" width="11.85546875" style="174" bestFit="1" customWidth="1"/>
    <col min="2" max="2" width="6.42578125" style="174" bestFit="1" customWidth="1"/>
    <col min="3" max="3" width="14.7109375" style="174" bestFit="1" customWidth="1"/>
    <col min="4" max="5" width="16.140625" style="174" bestFit="1" customWidth="1"/>
    <col min="6" max="6" width="22.28515625" style="174" bestFit="1" customWidth="1"/>
    <col min="7" max="8" width="18.28515625" style="174" bestFit="1" customWidth="1"/>
    <col min="9" max="9" width="17.7109375" style="174" bestFit="1" customWidth="1"/>
    <col min="10" max="10" width="22.7109375" style="174" bestFit="1" customWidth="1"/>
    <col min="11" max="11" width="19.42578125" style="174" bestFit="1" customWidth="1"/>
    <col min="12" max="13" width="17.5703125" style="174" bestFit="1" customWidth="1"/>
    <col min="14" max="14" width="17" style="174" bestFit="1" customWidth="1"/>
    <col min="15" max="15" width="10" style="174" customWidth="1" outlineLevel="1"/>
    <col min="16" max="16384" width="9.140625" style="174"/>
  </cols>
  <sheetData>
    <row r="1" spans="1:14" ht="12.75" x14ac:dyDescent="0.2">
      <c r="A1" s="243" t="s">
        <v>140</v>
      </c>
      <c r="B1" s="241"/>
      <c r="C1" s="241"/>
      <c r="D1" s="241"/>
      <c r="E1" s="241"/>
      <c r="F1" s="241"/>
      <c r="G1" s="242"/>
      <c r="H1" s="242"/>
      <c r="I1" s="242"/>
      <c r="J1" s="233"/>
      <c r="K1" s="233"/>
      <c r="L1" s="233"/>
      <c r="M1" s="233"/>
    </row>
    <row r="2" spans="1:14" ht="12.75" x14ac:dyDescent="0.2">
      <c r="A2" s="244" t="s">
        <v>251</v>
      </c>
      <c r="B2" s="241"/>
      <c r="C2" s="241"/>
      <c r="D2" s="241"/>
      <c r="E2" s="241"/>
      <c r="F2" s="241"/>
      <c r="G2" s="242"/>
      <c r="H2" s="242"/>
      <c r="I2" s="242"/>
      <c r="J2" s="233"/>
      <c r="K2" s="233"/>
      <c r="L2" s="233"/>
      <c r="M2" s="233"/>
    </row>
    <row r="3" spans="1:14" ht="12.75" x14ac:dyDescent="0.2">
      <c r="A3" s="243" t="s">
        <v>139</v>
      </c>
      <c r="B3" s="241"/>
      <c r="C3" s="241"/>
      <c r="D3" s="241"/>
      <c r="E3" s="241"/>
      <c r="F3" s="241"/>
      <c r="G3" s="242"/>
      <c r="H3" s="242"/>
      <c r="I3" s="242"/>
      <c r="J3" s="233"/>
      <c r="K3" s="233"/>
      <c r="L3" s="233"/>
      <c r="M3" s="233"/>
    </row>
    <row r="4" spans="1:14" ht="12.75" x14ac:dyDescent="0.2">
      <c r="A4" s="241"/>
      <c r="B4" s="241"/>
      <c r="C4" s="240"/>
      <c r="D4" s="239"/>
      <c r="E4" s="238"/>
      <c r="F4" s="237" t="s">
        <v>138</v>
      </c>
      <c r="G4" s="236"/>
      <c r="H4" s="236"/>
      <c r="I4" s="236"/>
      <c r="J4" s="234"/>
      <c r="K4" s="235"/>
      <c r="L4" s="234"/>
      <c r="M4" s="234"/>
    </row>
    <row r="5" spans="1:14" ht="12.75" x14ac:dyDescent="0.2">
      <c r="A5" s="233"/>
      <c r="B5" s="233"/>
      <c r="C5" s="232" t="s">
        <v>137</v>
      </c>
      <c r="D5" s="231"/>
      <c r="E5" s="230"/>
      <c r="F5" s="229" t="s">
        <v>136</v>
      </c>
      <c r="G5" s="227"/>
      <c r="H5" s="227"/>
      <c r="I5" s="227"/>
      <c r="J5" s="228" t="s">
        <v>135</v>
      </c>
      <c r="K5" s="227"/>
      <c r="L5" s="227"/>
      <c r="M5" s="227"/>
    </row>
    <row r="6" spans="1:14" ht="15" x14ac:dyDescent="0.25">
      <c r="A6" s="226"/>
      <c r="B6" s="226"/>
      <c r="C6" s="225" t="s">
        <v>134</v>
      </c>
      <c r="D6" s="225" t="s">
        <v>69</v>
      </c>
      <c r="E6" s="224" t="s">
        <v>133</v>
      </c>
      <c r="F6" s="225" t="s">
        <v>131</v>
      </c>
      <c r="G6" s="225" t="s">
        <v>55</v>
      </c>
      <c r="H6" s="225" t="s">
        <v>132</v>
      </c>
      <c r="I6" s="225" t="s">
        <v>125</v>
      </c>
      <c r="J6" s="225" t="s">
        <v>131</v>
      </c>
      <c r="K6" s="225" t="s">
        <v>55</v>
      </c>
      <c r="L6" s="224" t="s">
        <v>124</v>
      </c>
      <c r="M6" s="223" t="s">
        <v>130</v>
      </c>
      <c r="N6" s="222" t="s">
        <v>69</v>
      </c>
    </row>
    <row r="7" spans="1:14" ht="15" x14ac:dyDescent="0.25">
      <c r="A7" s="206" t="s">
        <v>129</v>
      </c>
      <c r="B7" s="221"/>
      <c r="C7" s="206" t="s">
        <v>128</v>
      </c>
      <c r="D7" s="206"/>
      <c r="E7" s="219" t="s">
        <v>69</v>
      </c>
      <c r="F7" s="206" t="s">
        <v>127</v>
      </c>
      <c r="G7" s="206" t="s">
        <v>127</v>
      </c>
      <c r="H7" s="206" t="s">
        <v>127</v>
      </c>
      <c r="I7" s="206" t="s">
        <v>126</v>
      </c>
      <c r="J7" s="206" t="s">
        <v>25</v>
      </c>
      <c r="K7" s="219" t="s">
        <v>25</v>
      </c>
      <c r="L7" s="206" t="s">
        <v>125</v>
      </c>
      <c r="M7" s="218" t="s">
        <v>124</v>
      </c>
      <c r="N7" s="217" t="s">
        <v>123</v>
      </c>
    </row>
    <row r="8" spans="1:14" ht="15" x14ac:dyDescent="0.25">
      <c r="A8" s="206" t="s">
        <v>122</v>
      </c>
      <c r="B8" s="221"/>
      <c r="C8" s="206" t="s">
        <v>121</v>
      </c>
      <c r="D8" s="206" t="s">
        <v>41</v>
      </c>
      <c r="E8" s="219" t="s">
        <v>120</v>
      </c>
      <c r="F8" s="206" t="s">
        <v>119</v>
      </c>
      <c r="G8" s="220" t="s">
        <v>118</v>
      </c>
      <c r="H8" s="206" t="s">
        <v>117</v>
      </c>
      <c r="I8" s="206" t="s">
        <v>116</v>
      </c>
      <c r="J8" s="206" t="s">
        <v>115</v>
      </c>
      <c r="K8" s="219" t="s">
        <v>114</v>
      </c>
      <c r="L8" s="206" t="s">
        <v>113</v>
      </c>
      <c r="M8" s="218" t="s">
        <v>112</v>
      </c>
      <c r="N8" s="217" t="s">
        <v>111</v>
      </c>
    </row>
    <row r="9" spans="1:14" ht="15" x14ac:dyDescent="0.25">
      <c r="A9" s="216"/>
      <c r="B9" s="216"/>
      <c r="C9" s="212"/>
      <c r="D9" s="212"/>
      <c r="E9" s="214"/>
      <c r="F9" s="215" t="s">
        <v>110</v>
      </c>
      <c r="G9" s="214"/>
      <c r="H9" s="212"/>
      <c r="I9" s="212"/>
      <c r="J9" s="212" t="s">
        <v>109</v>
      </c>
      <c r="K9" s="213"/>
      <c r="L9" s="212"/>
      <c r="M9" s="211"/>
      <c r="N9" s="210"/>
    </row>
    <row r="10" spans="1:14" ht="15" outlineLevel="1" x14ac:dyDescent="0.25">
      <c r="A10" s="209"/>
      <c r="B10" s="208"/>
      <c r="C10" s="206"/>
      <c r="D10" s="200"/>
      <c r="E10" s="207"/>
      <c r="F10" s="206"/>
      <c r="G10" s="206"/>
      <c r="H10" s="200"/>
      <c r="I10" s="200"/>
      <c r="J10" s="205"/>
      <c r="K10" s="205"/>
      <c r="L10" s="205"/>
      <c r="M10" s="202"/>
      <c r="N10" s="204"/>
    </row>
    <row r="11" spans="1:14" ht="15" outlineLevel="1" x14ac:dyDescent="0.25">
      <c r="A11" s="192" t="s">
        <v>108</v>
      </c>
      <c r="B11" s="192"/>
      <c r="C11" s="203"/>
      <c r="D11" s="200">
        <f t="shared" ref="D11:D61" si="0">D10+C11</f>
        <v>0</v>
      </c>
      <c r="E11" s="188"/>
      <c r="F11" s="200"/>
      <c r="G11" s="200"/>
      <c r="H11" s="200"/>
      <c r="I11" s="200"/>
      <c r="J11" s="188">
        <f t="shared" ref="J11:J61" si="1">(-C11*0.21)+(F11*0.21)</f>
        <v>0</v>
      </c>
      <c r="K11" s="188">
        <f t="shared" ref="K11:K61" si="2">K10+J11</f>
        <v>0</v>
      </c>
      <c r="L11" s="188"/>
      <c r="M11" s="202"/>
      <c r="N11" s="186">
        <f t="shared" ref="N11:N61" si="3">+D11+G11+K11</f>
        <v>0</v>
      </c>
    </row>
    <row r="12" spans="1:14" ht="15" outlineLevel="1" x14ac:dyDescent="0.25">
      <c r="A12" s="192">
        <v>43555</v>
      </c>
      <c r="B12" s="192"/>
      <c r="C12" s="190"/>
      <c r="D12" s="190">
        <f>D11+C12</f>
        <v>0</v>
      </c>
      <c r="E12" s="188">
        <f>($D$12+D12+SUM($D11:D$13)*2)/24</f>
        <v>0</v>
      </c>
      <c r="F12" s="200"/>
      <c r="G12" s="200"/>
      <c r="H12" s="200"/>
      <c r="I12" s="188">
        <f>($D$12+H12+SUM($D11:H$13)*2)/24</f>
        <v>0</v>
      </c>
      <c r="J12" s="188">
        <f t="shared" si="1"/>
        <v>0</v>
      </c>
      <c r="K12" s="188">
        <f t="shared" si="2"/>
        <v>0</v>
      </c>
      <c r="L12" s="188">
        <f>($D$12+K12+SUM($D11:K$13)*2)/24</f>
        <v>0</v>
      </c>
      <c r="M12" s="187">
        <f t="shared" ref="M12:M61" si="4">L12+I12</f>
        <v>0</v>
      </c>
      <c r="N12" s="186">
        <f t="shared" si="3"/>
        <v>0</v>
      </c>
    </row>
    <row r="13" spans="1:14" ht="15" outlineLevel="1" x14ac:dyDescent="0.25">
      <c r="A13" s="192">
        <v>43585</v>
      </c>
      <c r="B13" s="192"/>
      <c r="C13" s="190"/>
      <c r="D13" s="190">
        <f t="shared" si="0"/>
        <v>0</v>
      </c>
      <c r="E13" s="188">
        <f>($D$12+D13+SUM($D12:D$13)*2)/24</f>
        <v>0</v>
      </c>
      <c r="F13" s="200"/>
      <c r="G13" s="200"/>
      <c r="H13" s="200"/>
      <c r="I13" s="188">
        <f>($D$12+H13+SUM($D12:H$13)*2)/24</f>
        <v>0</v>
      </c>
      <c r="J13" s="188">
        <f t="shared" si="1"/>
        <v>0</v>
      </c>
      <c r="K13" s="188">
        <f t="shared" si="2"/>
        <v>0</v>
      </c>
      <c r="L13" s="188">
        <f>($D$12+K13+SUM($D12:K$13)*2)/24</f>
        <v>0</v>
      </c>
      <c r="M13" s="187">
        <f t="shared" si="4"/>
        <v>0</v>
      </c>
      <c r="N13" s="186">
        <f t="shared" si="3"/>
        <v>0</v>
      </c>
    </row>
    <row r="14" spans="1:14" ht="15" outlineLevel="1" x14ac:dyDescent="0.25">
      <c r="A14" s="192">
        <v>43616</v>
      </c>
      <c r="B14" s="192"/>
      <c r="C14" s="190">
        <f>'GTZ depreciation deferral'!B8</f>
        <v>2539710.7381798397</v>
      </c>
      <c r="D14" s="190">
        <f t="shared" si="0"/>
        <v>2539710.7381798397</v>
      </c>
      <c r="E14" s="188">
        <f>($D$12+D14+SUM($D$13:D13)*2)/24</f>
        <v>105821.28075749332</v>
      </c>
      <c r="F14" s="190"/>
      <c r="G14" s="188"/>
      <c r="H14" s="200"/>
      <c r="I14" s="188">
        <f>($D$12+H14+SUM($D$13:H13)*2)/24</f>
        <v>0</v>
      </c>
      <c r="J14" s="188">
        <f>(-C14*0.21)+(F14*0.21)</f>
        <v>-533339.25501776626</v>
      </c>
      <c r="K14" s="188">
        <f t="shared" si="2"/>
        <v>-533339.25501776626</v>
      </c>
      <c r="L14" s="188">
        <f>($D$12+K14+SUM($D$13:K13)*2)/24</f>
        <v>-22222.468959073594</v>
      </c>
      <c r="M14" s="187">
        <f t="shared" si="4"/>
        <v>-22222.468959073594</v>
      </c>
      <c r="N14" s="186">
        <f>+D14+G14+K14</f>
        <v>2006371.4831620734</v>
      </c>
    </row>
    <row r="15" spans="1:14" ht="15" outlineLevel="1" x14ac:dyDescent="0.25">
      <c r="A15" s="192">
        <v>43646</v>
      </c>
      <c r="B15" s="201"/>
      <c r="C15" s="190">
        <f>'GTZ depreciation deferral'!B9</f>
        <v>2546569.0715131732</v>
      </c>
      <c r="D15" s="190">
        <f t="shared" si="0"/>
        <v>5086279.8096930124</v>
      </c>
      <c r="E15" s="188">
        <f>($D$12+D15+SUM($D$13:D14)*2)/24</f>
        <v>423570.88691886218</v>
      </c>
      <c r="F15" s="190"/>
      <c r="G15" s="188"/>
      <c r="H15" s="200"/>
      <c r="I15" s="188">
        <f>($D$12+H15+SUM($D$13:H14)*2)/24</f>
        <v>220461.00157811109</v>
      </c>
      <c r="J15" s="188">
        <f t="shared" si="1"/>
        <v>-534779.50501776638</v>
      </c>
      <c r="K15" s="188">
        <f t="shared" si="2"/>
        <v>-1068118.7600355325</v>
      </c>
      <c r="L15" s="188">
        <f>($D$12+K15+SUM($D$13:K14)*2)/24</f>
        <v>87066.177407002848</v>
      </c>
      <c r="M15" s="187">
        <f t="shared" si="4"/>
        <v>307527.17898511392</v>
      </c>
      <c r="N15" s="186">
        <f t="shared" si="3"/>
        <v>4018161.0496574799</v>
      </c>
    </row>
    <row r="16" spans="1:14" ht="15" outlineLevel="1" x14ac:dyDescent="0.25">
      <c r="A16" s="192">
        <v>43677</v>
      </c>
      <c r="B16" s="192"/>
      <c r="C16" s="190">
        <f>'GTZ depreciation deferral'!B10</f>
        <v>2546569.0715131732</v>
      </c>
      <c r="D16" s="190">
        <f t="shared" si="0"/>
        <v>7632848.8812061856</v>
      </c>
      <c r="E16" s="188">
        <f>($D$12+D16+SUM($D$13:D15)*2)/24</f>
        <v>953534.58237299544</v>
      </c>
      <c r="F16" s="190"/>
      <c r="G16" s="188"/>
      <c r="H16" s="188"/>
      <c r="I16" s="188">
        <f>($D$12+H16+SUM($D$13:H15)*2)/24</f>
        <v>679615.22629576724</v>
      </c>
      <c r="J16" s="188">
        <f t="shared" si="1"/>
        <v>-534779.50501776638</v>
      </c>
      <c r="K16" s="188">
        <f t="shared" si="2"/>
        <v>-1602898.2650532988</v>
      </c>
      <c r="L16" s="188">
        <f>($D$12+K16+SUM($D$13:K15)*2)/24</f>
        <v>408734.81745931989</v>
      </c>
      <c r="M16" s="187">
        <f t="shared" si="4"/>
        <v>1088350.0437550871</v>
      </c>
      <c r="N16" s="186">
        <f t="shared" si="3"/>
        <v>6029950.6161528863</v>
      </c>
    </row>
    <row r="17" spans="1:14" ht="15" outlineLevel="1" x14ac:dyDescent="0.25">
      <c r="A17" s="192">
        <v>43708</v>
      </c>
      <c r="B17" s="192"/>
      <c r="C17" s="190">
        <f>'GTZ depreciation deferral'!B11</f>
        <v>2546569.0715131732</v>
      </c>
      <c r="D17" s="190">
        <f t="shared" si="0"/>
        <v>10179417.952719359</v>
      </c>
      <c r="E17" s="188">
        <f>($D$12+D17+SUM($D$13:D16)*2)/24</f>
        <v>1695712.3671198932</v>
      </c>
      <c r="F17" s="190"/>
      <c r="G17" s="188"/>
      <c r="H17" s="188"/>
      <c r="I17" s="188">
        <f>($D$12+H17+SUM($D$13:H16)*2)/24</f>
        <v>1395147.1815940323</v>
      </c>
      <c r="J17" s="188">
        <f t="shared" si="1"/>
        <v>-534779.50501776638</v>
      </c>
      <c r="K17" s="188">
        <f t="shared" si="2"/>
        <v>-2137677.7700710651</v>
      </c>
      <c r="L17" s="188">
        <f>($D$12+K17+SUM($D$13:K16)*2)/24</f>
        <v>980479.08140056988</v>
      </c>
      <c r="M17" s="187">
        <f t="shared" si="4"/>
        <v>2375626.2629946023</v>
      </c>
      <c r="N17" s="186">
        <f t="shared" si="3"/>
        <v>8041740.1826482937</v>
      </c>
    </row>
    <row r="18" spans="1:14" ht="15" outlineLevel="1" x14ac:dyDescent="0.25">
      <c r="A18" s="192">
        <v>43738</v>
      </c>
      <c r="B18" s="192"/>
      <c r="C18" s="190">
        <f>'GTZ depreciation deferral'!B12</f>
        <v>2546569.0715131732</v>
      </c>
      <c r="D18" s="190">
        <f t="shared" si="0"/>
        <v>12725987.024232533</v>
      </c>
      <c r="E18" s="188">
        <f>($D$12+D18+SUM($D$13:D17)*2)/24</f>
        <v>2650104.241159555</v>
      </c>
      <c r="F18" s="190"/>
      <c r="G18" s="188"/>
      <c r="H18" s="188"/>
      <c r="I18" s="188">
        <f>($D$12+H18+SUM($D$13:H17)*2)/24</f>
        <v>2384741.37491397</v>
      </c>
      <c r="J18" s="188">
        <f t="shared" si="1"/>
        <v>-534779.50501776638</v>
      </c>
      <c r="K18" s="188">
        <f t="shared" si="2"/>
        <v>-2672457.2750888313</v>
      </c>
      <c r="L18" s="188">
        <f>($D$12+K18+SUM($D$13:K17)*2)/24</f>
        <v>1841348.2875535339</v>
      </c>
      <c r="M18" s="187">
        <f t="shared" si="4"/>
        <v>4226089.6624675039</v>
      </c>
      <c r="N18" s="186">
        <f t="shared" si="3"/>
        <v>10053529.749143701</v>
      </c>
    </row>
    <row r="19" spans="1:14" ht="15" outlineLevel="1" x14ac:dyDescent="0.25">
      <c r="A19" s="192">
        <v>43769</v>
      </c>
      <c r="B19" s="192"/>
      <c r="C19" s="190">
        <f>'GTZ depreciation deferral'!B13</f>
        <v>2546569.0715131732</v>
      </c>
      <c r="D19" s="190">
        <f t="shared" si="0"/>
        <v>15272556.095745705</v>
      </c>
      <c r="E19" s="188">
        <f>($D$12+D19+SUM($D$13:D18)*2)/24</f>
        <v>3816710.2044919818</v>
      </c>
      <c r="F19" s="190"/>
      <c r="G19" s="190"/>
      <c r="H19" s="190"/>
      <c r="I19" s="190">
        <f t="shared" ref="I19:I61" si="5">E19+H19</f>
        <v>3816710.2044919818</v>
      </c>
      <c r="J19" s="190">
        <f t="shared" si="1"/>
        <v>-534779.50501776638</v>
      </c>
      <c r="K19" s="188">
        <f t="shared" si="2"/>
        <v>-3207236.7801065976</v>
      </c>
      <c r="L19" s="188">
        <f>(K12+K19+SUM(K13:K18)*2)/24</f>
        <v>-801509.14294331602</v>
      </c>
      <c r="M19" s="187">
        <f t="shared" si="4"/>
        <v>3015201.0615486656</v>
      </c>
      <c r="N19" s="186">
        <f t="shared" si="3"/>
        <v>12065319.315639108</v>
      </c>
    </row>
    <row r="20" spans="1:14" ht="15" outlineLevel="1" x14ac:dyDescent="0.25">
      <c r="A20" s="192">
        <v>43799</v>
      </c>
      <c r="B20" s="192"/>
      <c r="C20" s="190">
        <f>'GTZ depreciation deferral'!B14</f>
        <v>2546569.0715131732</v>
      </c>
      <c r="D20" s="190">
        <f t="shared" si="0"/>
        <v>17819125.167258877</v>
      </c>
      <c r="E20" s="188">
        <f>(D10+D20+SUM(D11:D19)*2)/24</f>
        <v>5195530.2571171718</v>
      </c>
      <c r="F20" s="190"/>
      <c r="G20" s="190"/>
      <c r="H20" s="190"/>
      <c r="I20" s="190">
        <f t="shared" si="5"/>
        <v>5195530.2571171718</v>
      </c>
      <c r="J20" s="190">
        <f t="shared" si="1"/>
        <v>-534779.50501776638</v>
      </c>
      <c r="K20" s="188">
        <f t="shared" si="2"/>
        <v>-3742016.2851243638</v>
      </c>
      <c r="L20" s="188">
        <f>(K10+K20+SUM(K11:K19)*2)/24</f>
        <v>-1091061.3539946063</v>
      </c>
      <c r="M20" s="187">
        <f t="shared" si="4"/>
        <v>4104468.9031225657</v>
      </c>
      <c r="N20" s="186">
        <f t="shared" si="3"/>
        <v>14077108.882134514</v>
      </c>
    </row>
    <row r="21" spans="1:14" ht="15" outlineLevel="1" x14ac:dyDescent="0.25">
      <c r="A21" s="192">
        <v>43830</v>
      </c>
      <c r="B21" s="192"/>
      <c r="C21" s="190">
        <f>'GTZ depreciation deferral'!B15</f>
        <v>2546569.0715131732</v>
      </c>
      <c r="D21" s="190">
        <f t="shared" si="0"/>
        <v>20365694.23877205</v>
      </c>
      <c r="E21" s="188">
        <f t="shared" ref="E21:E61" si="6">(D9+D21+SUM(D10:D20)*2)/24</f>
        <v>6786564.3990351288</v>
      </c>
      <c r="F21" s="190"/>
      <c r="G21" s="190"/>
      <c r="H21" s="190"/>
      <c r="I21" s="190">
        <f t="shared" si="5"/>
        <v>6786564.3990351288</v>
      </c>
      <c r="J21" s="190">
        <f t="shared" si="1"/>
        <v>-534779.50501776638</v>
      </c>
      <c r="K21" s="188">
        <f t="shared" si="2"/>
        <v>-4276795.7901421301</v>
      </c>
      <c r="L21" s="188">
        <f>(K12+K21+SUM(K13:K20)*2)/24</f>
        <v>-1425178.5237973768</v>
      </c>
      <c r="M21" s="187">
        <f t="shared" si="4"/>
        <v>5361385.8752377518</v>
      </c>
      <c r="N21" s="186">
        <f t="shared" si="3"/>
        <v>16088898.448629919</v>
      </c>
    </row>
    <row r="22" spans="1:14" ht="15" outlineLevel="1" x14ac:dyDescent="0.25">
      <c r="A22" s="192">
        <v>43861</v>
      </c>
      <c r="B22" s="192"/>
      <c r="C22" s="190">
        <f>'GTZ depreciation deferral'!B16</f>
        <v>2546569.0715131732</v>
      </c>
      <c r="D22" s="190">
        <f t="shared" si="0"/>
        <v>22912263.310285222</v>
      </c>
      <c r="E22" s="188">
        <f t="shared" si="6"/>
        <v>8589812.6302458476</v>
      </c>
      <c r="F22" s="190"/>
      <c r="G22" s="190"/>
      <c r="H22" s="190"/>
      <c r="I22" s="190">
        <f t="shared" si="5"/>
        <v>8589812.6302458476</v>
      </c>
      <c r="J22" s="190">
        <f t="shared" si="1"/>
        <v>-534779.50501776638</v>
      </c>
      <c r="K22" s="188">
        <f t="shared" si="2"/>
        <v>-4811575.2951598968</v>
      </c>
      <c r="L22" s="188">
        <f t="shared" ref="L22:L61" si="7">(K10+K22+SUM(K11:K21)*2)/24</f>
        <v>-1803860.6523516281</v>
      </c>
      <c r="M22" s="187">
        <f t="shared" si="4"/>
        <v>6785951.9778942196</v>
      </c>
      <c r="N22" s="186">
        <f t="shared" si="3"/>
        <v>18100688.015125327</v>
      </c>
    </row>
    <row r="23" spans="1:14" ht="15" outlineLevel="1" x14ac:dyDescent="0.25">
      <c r="A23" s="192">
        <v>43890</v>
      </c>
      <c r="B23" s="192"/>
      <c r="C23" s="190">
        <f>'GTZ depreciation deferral'!B17</f>
        <v>2546569.0715131732</v>
      </c>
      <c r="D23" s="190">
        <f t="shared" si="0"/>
        <v>25458832.381798394</v>
      </c>
      <c r="E23" s="188">
        <f t="shared" si="6"/>
        <v>10605274.950749332</v>
      </c>
      <c r="F23" s="190"/>
      <c r="G23" s="190"/>
      <c r="H23" s="190"/>
      <c r="I23" s="190">
        <f t="shared" si="5"/>
        <v>10605274.950749332</v>
      </c>
      <c r="J23" s="190">
        <f t="shared" si="1"/>
        <v>-534779.50501776638</v>
      </c>
      <c r="K23" s="188">
        <f t="shared" si="2"/>
        <v>-5346354.8001776636</v>
      </c>
      <c r="L23" s="188">
        <f t="shared" si="7"/>
        <v>-2227107.7396573597</v>
      </c>
      <c r="M23" s="187">
        <f t="shared" si="4"/>
        <v>8378167.2110919729</v>
      </c>
      <c r="N23" s="186">
        <f t="shared" si="3"/>
        <v>20112477.58162073</v>
      </c>
    </row>
    <row r="24" spans="1:14" ht="15" outlineLevel="1" x14ac:dyDescent="0.25">
      <c r="A24" s="192">
        <v>43921</v>
      </c>
      <c r="B24" s="192"/>
      <c r="C24" s="190">
        <f>'GTZ depreciation deferral'!B18</f>
        <v>2546569.0715131732</v>
      </c>
      <c r="D24" s="190">
        <f t="shared" si="0"/>
        <v>28005401.453311566</v>
      </c>
      <c r="E24" s="188">
        <f t="shared" si="6"/>
        <v>12832951.360545581</v>
      </c>
      <c r="F24" s="190"/>
      <c r="G24" s="190"/>
      <c r="H24" s="190"/>
      <c r="I24" s="190">
        <f t="shared" si="5"/>
        <v>12832951.360545581</v>
      </c>
      <c r="J24" s="190">
        <f t="shared" si="1"/>
        <v>-534779.50501776638</v>
      </c>
      <c r="K24" s="188">
        <f t="shared" si="2"/>
        <v>-5881134.3051954303</v>
      </c>
      <c r="L24" s="188">
        <f t="shared" si="7"/>
        <v>-2694919.7857145718</v>
      </c>
      <c r="M24" s="187">
        <f t="shared" si="4"/>
        <v>10138031.574831009</v>
      </c>
      <c r="N24" s="186">
        <f t="shared" si="3"/>
        <v>22124267.148116134</v>
      </c>
    </row>
    <row r="25" spans="1:14" ht="15" outlineLevel="1" x14ac:dyDescent="0.25">
      <c r="A25" s="192">
        <v>43951</v>
      </c>
      <c r="B25" s="192"/>
      <c r="C25" s="190">
        <f>'GTZ depreciation deferral'!B19</f>
        <v>2546569.0715131732</v>
      </c>
      <c r="D25" s="190">
        <f t="shared" si="0"/>
        <v>30551970.524824739</v>
      </c>
      <c r="E25" s="188">
        <f t="shared" si="6"/>
        <v>15272841.859634593</v>
      </c>
      <c r="F25" s="190"/>
      <c r="G25" s="190"/>
      <c r="H25" s="190"/>
      <c r="I25" s="190">
        <f t="shared" si="5"/>
        <v>15272841.859634593</v>
      </c>
      <c r="J25" s="190">
        <f t="shared" si="1"/>
        <v>-534779.50501776638</v>
      </c>
      <c r="K25" s="188">
        <f t="shared" si="2"/>
        <v>-6415913.810213197</v>
      </c>
      <c r="L25" s="188">
        <f t="shared" si="7"/>
        <v>-3207296.7905232646</v>
      </c>
      <c r="M25" s="187">
        <f t="shared" si="4"/>
        <v>12065545.069111329</v>
      </c>
      <c r="N25" s="193">
        <f t="shared" si="3"/>
        <v>24136056.714611541</v>
      </c>
    </row>
    <row r="26" spans="1:14" ht="15" outlineLevel="1" x14ac:dyDescent="0.25">
      <c r="A26" s="199">
        <v>43982</v>
      </c>
      <c r="B26" s="198" t="s">
        <v>107</v>
      </c>
      <c r="C26" s="197"/>
      <c r="D26" s="197">
        <f t="shared" si="0"/>
        <v>30551970.524824739</v>
      </c>
      <c r="E26" s="196">
        <f t="shared" si="6"/>
        <v>17713018.122612495</v>
      </c>
      <c r="F26" s="197">
        <f>+$D$25/36</f>
        <v>848665.84791179828</v>
      </c>
      <c r="G26" s="197">
        <f t="shared" ref="G26:G61" si="8">G25-F26</f>
        <v>-848665.84791179828</v>
      </c>
      <c r="H26" s="197">
        <f t="shared" ref="H26:H61" si="9">(G14+G26+SUM(G15:G25)*2)/24</f>
        <v>-35361.076996324926</v>
      </c>
      <c r="I26" s="197">
        <f t="shared" si="5"/>
        <v>17677657.045616169</v>
      </c>
      <c r="J26" s="197">
        <f t="shared" si="1"/>
        <v>178219.82806147763</v>
      </c>
      <c r="K26" s="196">
        <f t="shared" si="2"/>
        <v>-6237693.9821517197</v>
      </c>
      <c r="L26" s="196">
        <f t="shared" si="7"/>
        <v>-3712307.9795793961</v>
      </c>
      <c r="M26" s="195">
        <f t="shared" si="4"/>
        <v>13965349.066036772</v>
      </c>
      <c r="N26" s="194">
        <f t="shared" si="3"/>
        <v>23465610.69476122</v>
      </c>
    </row>
    <row r="27" spans="1:14" ht="15" outlineLevel="1" x14ac:dyDescent="0.25">
      <c r="A27" s="199">
        <v>44012</v>
      </c>
      <c r="B27" s="198" t="s">
        <v>107</v>
      </c>
      <c r="C27" s="197"/>
      <c r="D27" s="197">
        <f t="shared" si="0"/>
        <v>30551970.524824739</v>
      </c>
      <c r="E27" s="196">
        <f t="shared" si="6"/>
        <v>19941266.06018652</v>
      </c>
      <c r="F27" s="197">
        <f t="shared" ref="F27:F61" si="10">+$D$25/36</f>
        <v>848665.84791179828</v>
      </c>
      <c r="G27" s="197">
        <f t="shared" si="8"/>
        <v>-1697331.6958235966</v>
      </c>
      <c r="H27" s="197">
        <f t="shared" si="9"/>
        <v>-141444.3079852997</v>
      </c>
      <c r="I27" s="197">
        <f t="shared" si="5"/>
        <v>19799821.752201222</v>
      </c>
      <c r="J27" s="197">
        <f t="shared" si="1"/>
        <v>178219.82806147763</v>
      </c>
      <c r="K27" s="196">
        <f t="shared" si="2"/>
        <v>-6059474.1540902425</v>
      </c>
      <c r="L27" s="196">
        <f t="shared" si="7"/>
        <v>-4157962.5679622567</v>
      </c>
      <c r="M27" s="195">
        <f t="shared" si="4"/>
        <v>15641859.184238965</v>
      </c>
      <c r="N27" s="194">
        <f t="shared" si="3"/>
        <v>22795164.674910903</v>
      </c>
    </row>
    <row r="28" spans="1:14" ht="15" outlineLevel="1" x14ac:dyDescent="0.25">
      <c r="A28" s="199">
        <v>44043</v>
      </c>
      <c r="B28" s="198" t="s">
        <v>107</v>
      </c>
      <c r="C28" s="197"/>
      <c r="D28" s="197">
        <f t="shared" si="0"/>
        <v>30551970.524824739</v>
      </c>
      <c r="E28" s="196">
        <f t="shared" si="6"/>
        <v>21957299.908467781</v>
      </c>
      <c r="F28" s="197">
        <f t="shared" si="10"/>
        <v>848665.84791179828</v>
      </c>
      <c r="G28" s="197">
        <f t="shared" si="8"/>
        <v>-2545997.5437353947</v>
      </c>
      <c r="H28" s="197">
        <f t="shared" si="9"/>
        <v>-318249.69296692434</v>
      </c>
      <c r="I28" s="197">
        <f t="shared" si="5"/>
        <v>21639050.215500858</v>
      </c>
      <c r="J28" s="197">
        <f t="shared" si="1"/>
        <v>178219.82806147763</v>
      </c>
      <c r="K28" s="196">
        <f t="shared" si="2"/>
        <v>-5881254.3260287652</v>
      </c>
      <c r="L28" s="196">
        <f t="shared" si="7"/>
        <v>-4544200.5452551804</v>
      </c>
      <c r="M28" s="195">
        <f t="shared" si="4"/>
        <v>17094849.670245677</v>
      </c>
      <c r="N28" s="194">
        <f t="shared" si="3"/>
        <v>22124718.655060578</v>
      </c>
    </row>
    <row r="29" spans="1:14" ht="15" outlineLevel="1" x14ac:dyDescent="0.25">
      <c r="A29" s="199">
        <v>44074</v>
      </c>
      <c r="B29" s="198" t="s">
        <v>107</v>
      </c>
      <c r="C29" s="197"/>
      <c r="D29" s="197">
        <f t="shared" si="0"/>
        <v>30551970.524824739</v>
      </c>
      <c r="E29" s="196">
        <f t="shared" si="6"/>
        <v>23761119.66745628</v>
      </c>
      <c r="F29" s="197">
        <f t="shared" si="10"/>
        <v>848665.84791179828</v>
      </c>
      <c r="G29" s="197">
        <f t="shared" si="8"/>
        <v>-3394663.3916471931</v>
      </c>
      <c r="H29" s="197">
        <f t="shared" si="9"/>
        <v>-565777.23194119881</v>
      </c>
      <c r="I29" s="197">
        <f t="shared" si="5"/>
        <v>23195342.435515083</v>
      </c>
      <c r="J29" s="197">
        <f t="shared" si="1"/>
        <v>178219.82806147763</v>
      </c>
      <c r="K29" s="196">
        <f t="shared" si="2"/>
        <v>-5703034.4979672879</v>
      </c>
      <c r="L29" s="196">
        <f t="shared" si="7"/>
        <v>-4871021.9114581672</v>
      </c>
      <c r="M29" s="195">
        <f t="shared" si="4"/>
        <v>18324320.524056915</v>
      </c>
      <c r="N29" s="194">
        <f t="shared" si="3"/>
        <v>21454272.635210257</v>
      </c>
    </row>
    <row r="30" spans="1:14" ht="15" outlineLevel="1" x14ac:dyDescent="0.25">
      <c r="A30" s="199">
        <v>44104</v>
      </c>
      <c r="B30" s="198" t="s">
        <v>107</v>
      </c>
      <c r="C30" s="197"/>
      <c r="D30" s="197">
        <f t="shared" si="0"/>
        <v>30551970.524824739</v>
      </c>
      <c r="E30" s="196">
        <f t="shared" si="6"/>
        <v>25352725.337152015</v>
      </c>
      <c r="F30" s="197">
        <f t="shared" si="10"/>
        <v>848665.84791179828</v>
      </c>
      <c r="G30" s="197">
        <f t="shared" si="8"/>
        <v>-4243329.239558991</v>
      </c>
      <c r="H30" s="197">
        <f t="shared" si="9"/>
        <v>-884026.9249081231</v>
      </c>
      <c r="I30" s="197">
        <f t="shared" si="5"/>
        <v>24468698.412243892</v>
      </c>
      <c r="J30" s="197">
        <f t="shared" si="1"/>
        <v>178219.82806147763</v>
      </c>
      <c r="K30" s="196">
        <f t="shared" si="2"/>
        <v>-5524814.6699058106</v>
      </c>
      <c r="L30" s="196">
        <f t="shared" si="7"/>
        <v>-5138426.6665712176</v>
      </c>
      <c r="M30" s="195">
        <f t="shared" si="4"/>
        <v>19330271.745672673</v>
      </c>
      <c r="N30" s="194">
        <f t="shared" si="3"/>
        <v>20783826.615359936</v>
      </c>
    </row>
    <row r="31" spans="1:14" ht="15" outlineLevel="1" x14ac:dyDescent="0.25">
      <c r="A31" s="199">
        <v>44135</v>
      </c>
      <c r="B31" s="198" t="s">
        <v>107</v>
      </c>
      <c r="C31" s="197"/>
      <c r="D31" s="197">
        <f t="shared" si="0"/>
        <v>30551970.524824739</v>
      </c>
      <c r="E31" s="196">
        <f t="shared" si="6"/>
        <v>26732116.917554978</v>
      </c>
      <c r="F31" s="197">
        <f t="shared" si="10"/>
        <v>848665.84791179828</v>
      </c>
      <c r="G31" s="196">
        <f t="shared" si="8"/>
        <v>-5091995.0874707894</v>
      </c>
      <c r="H31" s="196">
        <f t="shared" si="9"/>
        <v>-1272998.7718676974</v>
      </c>
      <c r="I31" s="196">
        <f t="shared" si="5"/>
        <v>25459118.145687282</v>
      </c>
      <c r="J31" s="196">
        <f t="shared" si="1"/>
        <v>178219.82806147763</v>
      </c>
      <c r="K31" s="196">
        <f t="shared" si="2"/>
        <v>-5346594.8418443333</v>
      </c>
      <c r="L31" s="196">
        <f t="shared" si="7"/>
        <v>-5346414.8105943315</v>
      </c>
      <c r="M31" s="195">
        <f t="shared" si="4"/>
        <v>20112703.335092951</v>
      </c>
      <c r="N31" s="194">
        <f t="shared" si="3"/>
        <v>20113380.595509619</v>
      </c>
    </row>
    <row r="32" spans="1:14" ht="15" outlineLevel="1" x14ac:dyDescent="0.25">
      <c r="A32" s="199">
        <v>44165</v>
      </c>
      <c r="B32" s="198" t="s">
        <v>107</v>
      </c>
      <c r="C32" s="197"/>
      <c r="D32" s="197">
        <f t="shared" si="0"/>
        <v>30551970.524824739</v>
      </c>
      <c r="E32" s="196">
        <f t="shared" si="6"/>
        <v>27899294.40866518</v>
      </c>
      <c r="F32" s="197">
        <f t="shared" si="10"/>
        <v>848665.84791179828</v>
      </c>
      <c r="G32" s="196">
        <f t="shared" si="8"/>
        <v>-5940660.9353825878</v>
      </c>
      <c r="H32" s="196">
        <f t="shared" si="9"/>
        <v>-1732692.7728199214</v>
      </c>
      <c r="I32" s="196">
        <f t="shared" si="5"/>
        <v>26166601.635845259</v>
      </c>
      <c r="J32" s="196">
        <f t="shared" si="1"/>
        <v>178219.82806147763</v>
      </c>
      <c r="K32" s="196">
        <f t="shared" si="2"/>
        <v>-5168375.0137828561</v>
      </c>
      <c r="L32" s="196">
        <f t="shared" si="7"/>
        <v>-5494986.343527508</v>
      </c>
      <c r="M32" s="195">
        <f t="shared" si="4"/>
        <v>20671615.292317752</v>
      </c>
      <c r="N32" s="194">
        <f t="shared" si="3"/>
        <v>19442934.575659294</v>
      </c>
    </row>
    <row r="33" spans="1:14" ht="15" outlineLevel="1" x14ac:dyDescent="0.25">
      <c r="A33" s="199">
        <v>44196</v>
      </c>
      <c r="B33" s="198" t="s">
        <v>107</v>
      </c>
      <c r="C33" s="197"/>
      <c r="D33" s="197">
        <f t="shared" si="0"/>
        <v>30551970.524824739</v>
      </c>
      <c r="E33" s="196">
        <f t="shared" si="6"/>
        <v>28854257.810482621</v>
      </c>
      <c r="F33" s="197">
        <f t="shared" si="10"/>
        <v>848665.84791179828</v>
      </c>
      <c r="G33" s="196">
        <f t="shared" si="8"/>
        <v>-6789326.7832943862</v>
      </c>
      <c r="H33" s="196">
        <f t="shared" si="9"/>
        <v>-2263108.9277647953</v>
      </c>
      <c r="I33" s="196">
        <f t="shared" si="5"/>
        <v>26591148.882717825</v>
      </c>
      <c r="J33" s="196">
        <f t="shared" si="1"/>
        <v>178219.82806147763</v>
      </c>
      <c r="K33" s="196">
        <f t="shared" si="2"/>
        <v>-4990155.1857213788</v>
      </c>
      <c r="L33" s="196">
        <f t="shared" si="7"/>
        <v>-5584141.2653707461</v>
      </c>
      <c r="M33" s="195">
        <f t="shared" si="4"/>
        <v>21007007.61734708</v>
      </c>
      <c r="N33" s="194">
        <f t="shared" si="3"/>
        <v>18772488.555808973</v>
      </c>
    </row>
    <row r="34" spans="1:14" ht="15" outlineLevel="1" x14ac:dyDescent="0.25">
      <c r="A34" s="199">
        <v>44227</v>
      </c>
      <c r="B34" s="198" t="s">
        <v>107</v>
      </c>
      <c r="C34" s="197"/>
      <c r="D34" s="197">
        <f t="shared" si="0"/>
        <v>30551970.524824739</v>
      </c>
      <c r="E34" s="196">
        <f t="shared" si="6"/>
        <v>29597007.123007298</v>
      </c>
      <c r="F34" s="197">
        <f t="shared" si="10"/>
        <v>848665.84791179828</v>
      </c>
      <c r="G34" s="196">
        <f t="shared" si="8"/>
        <v>-7637992.6312061846</v>
      </c>
      <c r="H34" s="196">
        <f t="shared" si="9"/>
        <v>-2864247.2367023192</v>
      </c>
      <c r="I34" s="196">
        <f t="shared" si="5"/>
        <v>26732759.886304978</v>
      </c>
      <c r="J34" s="196">
        <f t="shared" si="1"/>
        <v>178219.82806147763</v>
      </c>
      <c r="K34" s="196">
        <f t="shared" si="2"/>
        <v>-4811935.3576599015</v>
      </c>
      <c r="L34" s="196">
        <f t="shared" si="7"/>
        <v>-5613879.5761240497</v>
      </c>
      <c r="M34" s="195">
        <f t="shared" si="4"/>
        <v>21118880.310180929</v>
      </c>
      <c r="N34" s="194">
        <f t="shared" si="3"/>
        <v>18102042.535958651</v>
      </c>
    </row>
    <row r="35" spans="1:14" ht="15" outlineLevel="1" x14ac:dyDescent="0.25">
      <c r="A35" s="199">
        <v>44255</v>
      </c>
      <c r="B35" s="198" t="s">
        <v>107</v>
      </c>
      <c r="C35" s="197"/>
      <c r="D35" s="197">
        <f t="shared" si="0"/>
        <v>30551970.524824739</v>
      </c>
      <c r="E35" s="196">
        <f t="shared" si="6"/>
        <v>30127542.346239209</v>
      </c>
      <c r="F35" s="197">
        <f t="shared" si="10"/>
        <v>848665.84791179828</v>
      </c>
      <c r="G35" s="196">
        <f t="shared" si="8"/>
        <v>-8486658.4791179821</v>
      </c>
      <c r="H35" s="196">
        <f t="shared" si="9"/>
        <v>-3536107.6996324933</v>
      </c>
      <c r="I35" s="196">
        <f t="shared" si="5"/>
        <v>26591434.646606717</v>
      </c>
      <c r="J35" s="196">
        <f t="shared" si="1"/>
        <v>178219.82806147763</v>
      </c>
      <c r="K35" s="196">
        <f t="shared" si="2"/>
        <v>-4633715.5295984242</v>
      </c>
      <c r="L35" s="196">
        <f t="shared" si="7"/>
        <v>-5584201.2757874141</v>
      </c>
      <c r="M35" s="195">
        <f t="shared" si="4"/>
        <v>21007233.370819304</v>
      </c>
      <c r="N35" s="194">
        <f t="shared" si="3"/>
        <v>17431596.516108334</v>
      </c>
    </row>
    <row r="36" spans="1:14" ht="15" outlineLevel="1" x14ac:dyDescent="0.25">
      <c r="A36" s="199">
        <v>44286</v>
      </c>
      <c r="B36" s="198" t="s">
        <v>107</v>
      </c>
      <c r="C36" s="197"/>
      <c r="D36" s="197">
        <f t="shared" si="0"/>
        <v>30551970.524824739</v>
      </c>
      <c r="E36" s="196">
        <f t="shared" si="6"/>
        <v>30445863.480178356</v>
      </c>
      <c r="F36" s="197">
        <f t="shared" si="10"/>
        <v>848665.84791179828</v>
      </c>
      <c r="G36" s="196">
        <f t="shared" si="8"/>
        <v>-9335324.3270297796</v>
      </c>
      <c r="H36" s="196">
        <f t="shared" si="9"/>
        <v>-4278690.3165553166</v>
      </c>
      <c r="I36" s="196">
        <f t="shared" si="5"/>
        <v>26167173.163623039</v>
      </c>
      <c r="J36" s="196">
        <f t="shared" si="1"/>
        <v>178219.82806147763</v>
      </c>
      <c r="K36" s="196">
        <f t="shared" si="2"/>
        <v>-4455495.7015369469</v>
      </c>
      <c r="L36" s="196">
        <f t="shared" si="7"/>
        <v>-5495106.3643608419</v>
      </c>
      <c r="M36" s="195">
        <f t="shared" si="4"/>
        <v>20672066.799262196</v>
      </c>
      <c r="N36" s="194">
        <f t="shared" si="3"/>
        <v>16761150.496258013</v>
      </c>
    </row>
    <row r="37" spans="1:14" ht="15" outlineLevel="1" x14ac:dyDescent="0.25">
      <c r="A37" s="199">
        <v>44316</v>
      </c>
      <c r="B37" s="198" t="s">
        <v>107</v>
      </c>
      <c r="C37" s="196"/>
      <c r="D37" s="196">
        <f t="shared" si="0"/>
        <v>30551970.524824739</v>
      </c>
      <c r="E37" s="248">
        <f t="shared" si="6"/>
        <v>30551970.524824739</v>
      </c>
      <c r="F37" s="197">
        <f t="shared" si="10"/>
        <v>848665.84791179828</v>
      </c>
      <c r="G37" s="196">
        <f t="shared" si="8"/>
        <v>-10183990.174941577</v>
      </c>
      <c r="H37" s="248">
        <f t="shared" si="9"/>
        <v>-5091995.0874707894</v>
      </c>
      <c r="I37" s="196">
        <f t="shared" si="5"/>
        <v>25459975.43735395</v>
      </c>
      <c r="J37" s="196">
        <f t="shared" si="1"/>
        <v>178219.82806147763</v>
      </c>
      <c r="K37" s="196">
        <f t="shared" si="2"/>
        <v>-4277275.8734754696</v>
      </c>
      <c r="L37" s="248">
        <f t="shared" si="7"/>
        <v>-5346594.8418443333</v>
      </c>
      <c r="M37" s="195">
        <f t="shared" si="4"/>
        <v>20113380.595509619</v>
      </c>
      <c r="N37" s="194">
        <f t="shared" si="3"/>
        <v>16090704.476407692</v>
      </c>
    </row>
    <row r="38" spans="1:14" ht="15" outlineLevel="1" x14ac:dyDescent="0.25">
      <c r="A38" s="192">
        <v>44347</v>
      </c>
      <c r="B38" s="192"/>
      <c r="C38" s="188"/>
      <c r="D38" s="188">
        <f t="shared" si="0"/>
        <v>30551970.524824739</v>
      </c>
      <c r="E38" s="188">
        <f t="shared" si="6"/>
        <v>30551970.524824739</v>
      </c>
      <c r="F38" s="190">
        <f t="shared" si="10"/>
        <v>848665.84791179828</v>
      </c>
      <c r="G38" s="188">
        <f t="shared" si="8"/>
        <v>-11032656.022853374</v>
      </c>
      <c r="H38" s="188">
        <f t="shared" si="9"/>
        <v>-5940660.9353825869</v>
      </c>
      <c r="I38" s="188">
        <f t="shared" si="5"/>
        <v>24611309.589442153</v>
      </c>
      <c r="J38" s="188">
        <f t="shared" si="1"/>
        <v>178219.82806147763</v>
      </c>
      <c r="K38" s="188">
        <f t="shared" si="2"/>
        <v>-4099056.0454139919</v>
      </c>
      <c r="L38" s="188">
        <f t="shared" si="7"/>
        <v>-5168375.0137828561</v>
      </c>
      <c r="M38" s="187">
        <f t="shared" si="4"/>
        <v>19442934.575659297</v>
      </c>
      <c r="N38" s="186">
        <f t="shared" si="3"/>
        <v>15420258.456557373</v>
      </c>
    </row>
    <row r="39" spans="1:14" ht="15" outlineLevel="1" x14ac:dyDescent="0.25">
      <c r="A39" s="192">
        <v>44377</v>
      </c>
      <c r="B39" s="192"/>
      <c r="C39" s="188"/>
      <c r="D39" s="188">
        <f t="shared" si="0"/>
        <v>30551970.524824739</v>
      </c>
      <c r="E39" s="188">
        <f t="shared" si="6"/>
        <v>30551970.524824739</v>
      </c>
      <c r="F39" s="190">
        <f t="shared" si="10"/>
        <v>848665.84791179828</v>
      </c>
      <c r="G39" s="188">
        <f t="shared" si="8"/>
        <v>-11881321.870765172</v>
      </c>
      <c r="H39" s="188">
        <f t="shared" si="9"/>
        <v>-6789326.7832943844</v>
      </c>
      <c r="I39" s="188">
        <f t="shared" si="5"/>
        <v>23762643.741530355</v>
      </c>
      <c r="J39" s="188">
        <f t="shared" si="1"/>
        <v>178219.82806147763</v>
      </c>
      <c r="K39" s="188">
        <f t="shared" si="2"/>
        <v>-3920836.2173525142</v>
      </c>
      <c r="L39" s="188">
        <f t="shared" si="7"/>
        <v>-4990155.1857213788</v>
      </c>
      <c r="M39" s="187">
        <f t="shared" si="4"/>
        <v>18772488.555808976</v>
      </c>
      <c r="N39" s="193">
        <f t="shared" si="3"/>
        <v>14749812.436707053</v>
      </c>
    </row>
    <row r="40" spans="1:14" ht="15" outlineLevel="1" x14ac:dyDescent="0.25">
      <c r="A40" s="192">
        <v>44408</v>
      </c>
      <c r="B40" s="192"/>
      <c r="C40" s="188"/>
      <c r="D40" s="188">
        <f t="shared" si="0"/>
        <v>30551970.524824739</v>
      </c>
      <c r="E40" s="188">
        <f t="shared" si="6"/>
        <v>30551970.524824739</v>
      </c>
      <c r="F40" s="190">
        <f t="shared" si="10"/>
        <v>848665.84791179828</v>
      </c>
      <c r="G40" s="188">
        <f t="shared" si="8"/>
        <v>-12729987.718676969</v>
      </c>
      <c r="H40" s="188">
        <f t="shared" si="9"/>
        <v>-7637992.6312061846</v>
      </c>
      <c r="I40" s="188">
        <f t="shared" si="5"/>
        <v>22913977.893618554</v>
      </c>
      <c r="J40" s="188">
        <f t="shared" si="1"/>
        <v>178219.82806147763</v>
      </c>
      <c r="K40" s="189">
        <f t="shared" si="2"/>
        <v>-3742616.3892910364</v>
      </c>
      <c r="L40" s="188">
        <f t="shared" si="7"/>
        <v>-4811935.3576599015</v>
      </c>
      <c r="M40" s="187">
        <f t="shared" si="4"/>
        <v>18102042.535958651</v>
      </c>
      <c r="N40" s="193">
        <f t="shared" si="3"/>
        <v>14079366.416856732</v>
      </c>
    </row>
    <row r="41" spans="1:14" ht="15" outlineLevel="1" x14ac:dyDescent="0.25">
      <c r="A41" s="192">
        <v>44439</v>
      </c>
      <c r="B41" s="192"/>
      <c r="C41" s="188"/>
      <c r="D41" s="188">
        <f t="shared" si="0"/>
        <v>30551970.524824739</v>
      </c>
      <c r="E41" s="188">
        <f t="shared" si="6"/>
        <v>30551970.524824739</v>
      </c>
      <c r="F41" s="190">
        <f t="shared" si="10"/>
        <v>848665.84791179828</v>
      </c>
      <c r="G41" s="188">
        <f t="shared" si="8"/>
        <v>-13578653.566588767</v>
      </c>
      <c r="H41" s="188">
        <f t="shared" si="9"/>
        <v>-8486658.4791179821</v>
      </c>
      <c r="I41" s="188">
        <f t="shared" si="5"/>
        <v>22065312.045706756</v>
      </c>
      <c r="J41" s="188">
        <f t="shared" si="1"/>
        <v>178219.82806147763</v>
      </c>
      <c r="K41" s="189">
        <f t="shared" si="2"/>
        <v>-3564396.5612295587</v>
      </c>
      <c r="L41" s="188">
        <f t="shared" si="7"/>
        <v>-4633715.5295984233</v>
      </c>
      <c r="M41" s="187">
        <f t="shared" si="4"/>
        <v>17431596.516108334</v>
      </c>
      <c r="N41" s="193">
        <f t="shared" si="3"/>
        <v>13408920.397006413</v>
      </c>
    </row>
    <row r="42" spans="1:14" ht="15" x14ac:dyDescent="0.25">
      <c r="A42" s="192">
        <v>44469</v>
      </c>
      <c r="B42" s="192"/>
      <c r="C42" s="188"/>
      <c r="D42" s="188">
        <f t="shared" si="0"/>
        <v>30551970.524824739</v>
      </c>
      <c r="E42" s="188">
        <f t="shared" si="6"/>
        <v>30551970.524824739</v>
      </c>
      <c r="F42" s="190">
        <f t="shared" si="10"/>
        <v>848665.84791179828</v>
      </c>
      <c r="G42" s="188">
        <f t="shared" si="8"/>
        <v>-14427319.414500564</v>
      </c>
      <c r="H42" s="188">
        <f t="shared" si="9"/>
        <v>-9335324.3270297777</v>
      </c>
      <c r="I42" s="188">
        <f t="shared" si="5"/>
        <v>21216646.197794959</v>
      </c>
      <c r="J42" s="188">
        <f t="shared" si="1"/>
        <v>178219.82806147763</v>
      </c>
      <c r="K42" s="189">
        <f t="shared" si="2"/>
        <v>-3386176.7331680809</v>
      </c>
      <c r="L42" s="188">
        <f t="shared" si="7"/>
        <v>-4455495.7015369469</v>
      </c>
      <c r="M42" s="187">
        <f t="shared" si="4"/>
        <v>16761150.496258013</v>
      </c>
      <c r="N42" s="186">
        <f t="shared" si="3"/>
        <v>12738474.377156094</v>
      </c>
    </row>
    <row r="43" spans="1:14" ht="15" x14ac:dyDescent="0.25">
      <c r="A43" s="192">
        <v>44500</v>
      </c>
      <c r="B43" s="192"/>
      <c r="C43" s="188"/>
      <c r="D43" s="188">
        <f t="shared" si="0"/>
        <v>30551970.524824739</v>
      </c>
      <c r="E43" s="188">
        <f t="shared" si="6"/>
        <v>30551970.524824739</v>
      </c>
      <c r="F43" s="190">
        <f t="shared" si="10"/>
        <v>848665.84791179828</v>
      </c>
      <c r="G43" s="188">
        <f t="shared" si="8"/>
        <v>-15275985.262412362</v>
      </c>
      <c r="H43" s="188">
        <f t="shared" si="9"/>
        <v>-10183990.174941577</v>
      </c>
      <c r="I43" s="188">
        <f t="shared" si="5"/>
        <v>20367980.349883161</v>
      </c>
      <c r="J43" s="188">
        <f t="shared" si="1"/>
        <v>178219.82806147763</v>
      </c>
      <c r="K43" s="189">
        <f t="shared" si="2"/>
        <v>-3207956.9051066032</v>
      </c>
      <c r="L43" s="188">
        <f t="shared" si="7"/>
        <v>-4277275.8734754687</v>
      </c>
      <c r="M43" s="187">
        <f t="shared" si="4"/>
        <v>16090704.476407692</v>
      </c>
      <c r="N43" s="193">
        <f t="shared" si="3"/>
        <v>12068028.357305773</v>
      </c>
    </row>
    <row r="44" spans="1:14" ht="15" x14ac:dyDescent="0.25">
      <c r="A44" s="192">
        <v>44530</v>
      </c>
      <c r="B44" s="192"/>
      <c r="C44" s="190"/>
      <c r="D44" s="188">
        <f t="shared" si="0"/>
        <v>30551970.524824739</v>
      </c>
      <c r="E44" s="188">
        <f t="shared" si="6"/>
        <v>30551970.524824739</v>
      </c>
      <c r="F44" s="190">
        <f t="shared" si="10"/>
        <v>848665.84791179828</v>
      </c>
      <c r="G44" s="188">
        <f t="shared" si="8"/>
        <v>-16124651.110324159</v>
      </c>
      <c r="H44" s="188">
        <f t="shared" si="9"/>
        <v>-11032656.022853374</v>
      </c>
      <c r="I44" s="188">
        <f t="shared" si="5"/>
        <v>19519314.501971364</v>
      </c>
      <c r="J44" s="188">
        <f t="shared" si="1"/>
        <v>178219.82806147763</v>
      </c>
      <c r="K44" s="189">
        <f t="shared" si="2"/>
        <v>-3029737.0770451254</v>
      </c>
      <c r="L44" s="188">
        <f t="shared" si="7"/>
        <v>-4099056.0454139914</v>
      </c>
      <c r="M44" s="187">
        <f t="shared" si="4"/>
        <v>15420258.456557373</v>
      </c>
      <c r="N44" s="193">
        <f t="shared" si="3"/>
        <v>11397582.337455453</v>
      </c>
    </row>
    <row r="45" spans="1:14" ht="15" outlineLevel="1" x14ac:dyDescent="0.25">
      <c r="A45" s="192">
        <v>44561</v>
      </c>
      <c r="B45" s="192"/>
      <c r="C45" s="190"/>
      <c r="D45" s="188">
        <f t="shared" si="0"/>
        <v>30551970.524824739</v>
      </c>
      <c r="E45" s="188">
        <f t="shared" si="6"/>
        <v>30551970.524824739</v>
      </c>
      <c r="F45" s="190">
        <f t="shared" si="10"/>
        <v>848665.84791179828</v>
      </c>
      <c r="G45" s="188">
        <f t="shared" si="8"/>
        <v>-16973316.958235957</v>
      </c>
      <c r="H45" s="188">
        <f t="shared" si="9"/>
        <v>-11881321.870765172</v>
      </c>
      <c r="I45" s="188">
        <f t="shared" si="5"/>
        <v>18670648.654059567</v>
      </c>
      <c r="J45" s="188">
        <f t="shared" si="1"/>
        <v>178219.82806147763</v>
      </c>
      <c r="K45" s="189">
        <f t="shared" si="2"/>
        <v>-2851517.2489836477</v>
      </c>
      <c r="L45" s="188">
        <f t="shared" si="7"/>
        <v>-3920836.2173525146</v>
      </c>
      <c r="M45" s="187">
        <f t="shared" si="4"/>
        <v>14749812.436707051</v>
      </c>
      <c r="N45" s="193">
        <f t="shared" si="3"/>
        <v>10727136.317605134</v>
      </c>
    </row>
    <row r="46" spans="1:14" ht="15" outlineLevel="1" x14ac:dyDescent="0.25">
      <c r="A46" s="192">
        <v>44592</v>
      </c>
      <c r="B46" s="192"/>
      <c r="C46" s="190"/>
      <c r="D46" s="188">
        <f t="shared" si="0"/>
        <v>30551970.524824739</v>
      </c>
      <c r="E46" s="188">
        <f t="shared" si="6"/>
        <v>30551970.524824739</v>
      </c>
      <c r="F46" s="190">
        <f t="shared" si="10"/>
        <v>848665.84791179828</v>
      </c>
      <c r="G46" s="188">
        <f t="shared" si="8"/>
        <v>-17821982.806147754</v>
      </c>
      <c r="H46" s="188">
        <f t="shared" si="9"/>
        <v>-12729987.718676969</v>
      </c>
      <c r="I46" s="188">
        <f t="shared" si="5"/>
        <v>17821982.806147769</v>
      </c>
      <c r="J46" s="188">
        <f t="shared" si="1"/>
        <v>178219.82806147763</v>
      </c>
      <c r="K46" s="189">
        <f t="shared" si="2"/>
        <v>-2673297.4209221699</v>
      </c>
      <c r="L46" s="188">
        <f t="shared" si="7"/>
        <v>-3742616.3892910369</v>
      </c>
      <c r="M46" s="187">
        <f t="shared" si="4"/>
        <v>14079366.416856732</v>
      </c>
      <c r="N46" s="193">
        <f t="shared" si="3"/>
        <v>10056690.297754815</v>
      </c>
    </row>
    <row r="47" spans="1:14" ht="15" outlineLevel="1" x14ac:dyDescent="0.25">
      <c r="A47" s="192">
        <v>44620</v>
      </c>
      <c r="B47" s="192"/>
      <c r="C47" s="190"/>
      <c r="D47" s="188">
        <f t="shared" si="0"/>
        <v>30551970.524824739</v>
      </c>
      <c r="E47" s="188">
        <f t="shared" si="6"/>
        <v>30551970.524824739</v>
      </c>
      <c r="F47" s="190">
        <f t="shared" si="10"/>
        <v>848665.84791179828</v>
      </c>
      <c r="G47" s="188">
        <f t="shared" si="8"/>
        <v>-18670648.654059552</v>
      </c>
      <c r="H47" s="188">
        <f t="shared" si="9"/>
        <v>-13578653.566588767</v>
      </c>
      <c r="I47" s="188">
        <f t="shared" si="5"/>
        <v>16973316.958235972</v>
      </c>
      <c r="J47" s="188">
        <f t="shared" si="1"/>
        <v>178219.82806147763</v>
      </c>
      <c r="K47" s="189">
        <f t="shared" si="2"/>
        <v>-2495077.5928606922</v>
      </c>
      <c r="L47" s="188">
        <f t="shared" si="7"/>
        <v>-3564396.5612295587</v>
      </c>
      <c r="M47" s="187">
        <f t="shared" si="4"/>
        <v>13408920.397006413</v>
      </c>
      <c r="N47" s="193">
        <f t="shared" si="3"/>
        <v>9386244.2779044956</v>
      </c>
    </row>
    <row r="48" spans="1:14" ht="15" outlineLevel="1" x14ac:dyDescent="0.25">
      <c r="A48" s="192">
        <v>44651</v>
      </c>
      <c r="B48" s="192"/>
      <c r="C48" s="190"/>
      <c r="D48" s="188">
        <f t="shared" si="0"/>
        <v>30551970.524824739</v>
      </c>
      <c r="E48" s="188">
        <f t="shared" si="6"/>
        <v>30551970.524824739</v>
      </c>
      <c r="F48" s="190">
        <f t="shared" si="10"/>
        <v>848665.84791179828</v>
      </c>
      <c r="G48" s="188">
        <f t="shared" si="8"/>
        <v>-19519314.501971349</v>
      </c>
      <c r="H48" s="188">
        <f t="shared" si="9"/>
        <v>-14427319.414500566</v>
      </c>
      <c r="I48" s="188">
        <f t="shared" si="5"/>
        <v>16124651.110324172</v>
      </c>
      <c r="J48" s="188">
        <f t="shared" si="1"/>
        <v>178219.82806147763</v>
      </c>
      <c r="K48" s="189">
        <f t="shared" si="2"/>
        <v>-2316857.7647992144</v>
      </c>
      <c r="L48" s="188">
        <f t="shared" si="7"/>
        <v>-3386176.7331680804</v>
      </c>
      <c r="M48" s="187">
        <f t="shared" si="4"/>
        <v>12738474.377156092</v>
      </c>
      <c r="N48" s="186">
        <f t="shared" si="3"/>
        <v>8715798.2580541745</v>
      </c>
    </row>
    <row r="49" spans="1:14" ht="15" outlineLevel="1" x14ac:dyDescent="0.25">
      <c r="A49" s="192">
        <v>44681</v>
      </c>
      <c r="B49" s="192"/>
      <c r="C49" s="190"/>
      <c r="D49" s="188">
        <f t="shared" si="0"/>
        <v>30551970.524824739</v>
      </c>
      <c r="E49" s="188">
        <f t="shared" si="6"/>
        <v>30551970.524824739</v>
      </c>
      <c r="F49" s="190">
        <f t="shared" si="10"/>
        <v>848665.84791179828</v>
      </c>
      <c r="G49" s="188">
        <f t="shared" si="8"/>
        <v>-20367980.349883147</v>
      </c>
      <c r="H49" s="188">
        <f t="shared" si="9"/>
        <v>-15275985.262412364</v>
      </c>
      <c r="I49" s="188">
        <f t="shared" si="5"/>
        <v>15275985.262412375</v>
      </c>
      <c r="J49" s="188">
        <f t="shared" si="1"/>
        <v>178219.82806147763</v>
      </c>
      <c r="K49" s="189">
        <f t="shared" si="2"/>
        <v>-2138637.9367377367</v>
      </c>
      <c r="L49" s="188">
        <f t="shared" si="7"/>
        <v>-3207956.9051066036</v>
      </c>
      <c r="M49" s="187">
        <f t="shared" si="4"/>
        <v>12068028.357305771</v>
      </c>
      <c r="N49" s="193">
        <f t="shared" si="3"/>
        <v>8045352.2382038552</v>
      </c>
    </row>
    <row r="50" spans="1:14" ht="15" outlineLevel="1" x14ac:dyDescent="0.25">
      <c r="A50" s="192">
        <v>44712</v>
      </c>
      <c r="B50" s="192"/>
      <c r="C50" s="190"/>
      <c r="D50" s="188">
        <f t="shared" si="0"/>
        <v>30551970.524824739</v>
      </c>
      <c r="E50" s="188">
        <f t="shared" si="6"/>
        <v>30551970.524824739</v>
      </c>
      <c r="F50" s="190">
        <f t="shared" si="10"/>
        <v>848665.84791179828</v>
      </c>
      <c r="G50" s="188">
        <f t="shared" si="8"/>
        <v>-21216646.197794944</v>
      </c>
      <c r="H50" s="188">
        <f t="shared" si="9"/>
        <v>-16124651.110324159</v>
      </c>
      <c r="I50" s="188">
        <f t="shared" si="5"/>
        <v>14427319.414500579</v>
      </c>
      <c r="J50" s="188">
        <f t="shared" si="1"/>
        <v>178219.82806147763</v>
      </c>
      <c r="K50" s="189">
        <f t="shared" si="2"/>
        <v>-1960418.1086762589</v>
      </c>
      <c r="L50" s="188">
        <f t="shared" si="7"/>
        <v>-3029737.0770451254</v>
      </c>
      <c r="M50" s="187">
        <f t="shared" si="4"/>
        <v>11397582.337455453</v>
      </c>
      <c r="N50" s="193">
        <f t="shared" si="3"/>
        <v>7374906.218353536</v>
      </c>
    </row>
    <row r="51" spans="1:14" ht="15" outlineLevel="1" x14ac:dyDescent="0.25">
      <c r="A51" s="192">
        <v>44742</v>
      </c>
      <c r="B51" s="192"/>
      <c r="C51" s="190"/>
      <c r="D51" s="188">
        <f t="shared" si="0"/>
        <v>30551970.524824739</v>
      </c>
      <c r="E51" s="188">
        <f t="shared" si="6"/>
        <v>30551970.524824739</v>
      </c>
      <c r="F51" s="190">
        <f t="shared" si="10"/>
        <v>848665.84791179828</v>
      </c>
      <c r="G51" s="188">
        <f t="shared" si="8"/>
        <v>-22065312.045706742</v>
      </c>
      <c r="H51" s="188">
        <f t="shared" si="9"/>
        <v>-16973316.958235953</v>
      </c>
      <c r="I51" s="188">
        <f t="shared" si="5"/>
        <v>13578653.566588785</v>
      </c>
      <c r="J51" s="188">
        <f t="shared" si="1"/>
        <v>178219.82806147763</v>
      </c>
      <c r="K51" s="189">
        <f t="shared" si="2"/>
        <v>-1782198.2806147812</v>
      </c>
      <c r="L51" s="188">
        <f t="shared" si="7"/>
        <v>-2851517.2489836477</v>
      </c>
      <c r="M51" s="187">
        <f t="shared" si="4"/>
        <v>10727136.317605138</v>
      </c>
      <c r="N51" s="186">
        <f t="shared" si="3"/>
        <v>6704460.1985032158</v>
      </c>
    </row>
    <row r="52" spans="1:14" ht="15" outlineLevel="1" x14ac:dyDescent="0.25">
      <c r="A52" s="192">
        <v>44773</v>
      </c>
      <c r="B52" s="191"/>
      <c r="C52" s="191"/>
      <c r="D52" s="188">
        <f t="shared" si="0"/>
        <v>30551970.524824739</v>
      </c>
      <c r="E52" s="188">
        <f t="shared" si="6"/>
        <v>30551970.524824739</v>
      </c>
      <c r="F52" s="190">
        <f t="shared" si="10"/>
        <v>848665.84791179828</v>
      </c>
      <c r="G52" s="188">
        <f t="shared" si="8"/>
        <v>-22913977.893618539</v>
      </c>
      <c r="H52" s="188">
        <f t="shared" si="9"/>
        <v>-17821982.806147758</v>
      </c>
      <c r="I52" s="188">
        <f t="shared" si="5"/>
        <v>12729987.718676981</v>
      </c>
      <c r="J52" s="188">
        <f t="shared" si="1"/>
        <v>178219.82806147763</v>
      </c>
      <c r="K52" s="189">
        <f t="shared" si="2"/>
        <v>-1603978.4525533034</v>
      </c>
      <c r="L52" s="188">
        <f t="shared" si="7"/>
        <v>-2673297.4209221699</v>
      </c>
      <c r="M52" s="187">
        <f t="shared" si="4"/>
        <v>10056690.297754811</v>
      </c>
      <c r="N52" s="186">
        <f t="shared" si="3"/>
        <v>6034014.1786528956</v>
      </c>
    </row>
    <row r="53" spans="1:14" ht="15" outlineLevel="1" x14ac:dyDescent="0.25">
      <c r="A53" s="192">
        <v>44804</v>
      </c>
      <c r="B53" s="191"/>
      <c r="C53" s="191"/>
      <c r="D53" s="188">
        <f t="shared" si="0"/>
        <v>30551970.524824739</v>
      </c>
      <c r="E53" s="188">
        <f t="shared" si="6"/>
        <v>30551970.524824739</v>
      </c>
      <c r="F53" s="190">
        <f t="shared" si="10"/>
        <v>848665.84791179828</v>
      </c>
      <c r="G53" s="188">
        <f t="shared" si="8"/>
        <v>-23762643.741530336</v>
      </c>
      <c r="H53" s="188">
        <f t="shared" si="9"/>
        <v>-18670648.654059552</v>
      </c>
      <c r="I53" s="188">
        <f t="shared" si="5"/>
        <v>11881321.870765187</v>
      </c>
      <c r="J53" s="188">
        <f t="shared" si="1"/>
        <v>178219.82806147763</v>
      </c>
      <c r="K53" s="189">
        <f t="shared" si="2"/>
        <v>-1425758.6244918257</v>
      </c>
      <c r="L53" s="188">
        <f t="shared" si="7"/>
        <v>-2495077.5928606917</v>
      </c>
      <c r="M53" s="187">
        <f t="shared" si="4"/>
        <v>9386244.2779044956</v>
      </c>
      <c r="N53" s="186">
        <f t="shared" si="3"/>
        <v>5363568.1588025764</v>
      </c>
    </row>
    <row r="54" spans="1:14" ht="15" outlineLevel="1" x14ac:dyDescent="0.25">
      <c r="A54" s="192">
        <v>44834</v>
      </c>
      <c r="B54" s="191"/>
      <c r="C54" s="191"/>
      <c r="D54" s="188">
        <f t="shared" si="0"/>
        <v>30551970.524824739</v>
      </c>
      <c r="E54" s="188">
        <f t="shared" si="6"/>
        <v>30551970.524824739</v>
      </c>
      <c r="F54" s="190">
        <f t="shared" si="10"/>
        <v>848665.84791179828</v>
      </c>
      <c r="G54" s="188">
        <f t="shared" si="8"/>
        <v>-24611309.589442134</v>
      </c>
      <c r="H54" s="188">
        <f t="shared" si="9"/>
        <v>-19519314.501971349</v>
      </c>
      <c r="I54" s="188">
        <f t="shared" si="5"/>
        <v>11032656.022853389</v>
      </c>
      <c r="J54" s="188">
        <f t="shared" si="1"/>
        <v>178219.82806147763</v>
      </c>
      <c r="K54" s="189">
        <f t="shared" si="2"/>
        <v>-1247538.796430348</v>
      </c>
      <c r="L54" s="188">
        <f t="shared" si="7"/>
        <v>-2316857.7647992144</v>
      </c>
      <c r="M54" s="187">
        <f t="shared" si="4"/>
        <v>8715798.2580541745</v>
      </c>
      <c r="N54" s="186">
        <f t="shared" si="3"/>
        <v>4693122.1389522571</v>
      </c>
    </row>
    <row r="55" spans="1:14" ht="15" outlineLevel="1" x14ac:dyDescent="0.25">
      <c r="A55" s="192">
        <v>44865</v>
      </c>
      <c r="B55" s="191"/>
      <c r="C55" s="191"/>
      <c r="D55" s="188">
        <f t="shared" si="0"/>
        <v>30551970.524824739</v>
      </c>
      <c r="E55" s="188">
        <f t="shared" si="6"/>
        <v>30551970.524824739</v>
      </c>
      <c r="F55" s="190">
        <f t="shared" si="10"/>
        <v>848665.84791179828</v>
      </c>
      <c r="G55" s="188">
        <f t="shared" si="8"/>
        <v>-25459975.437353931</v>
      </c>
      <c r="H55" s="188">
        <f t="shared" si="9"/>
        <v>-20367980.349883147</v>
      </c>
      <c r="I55" s="188">
        <f t="shared" si="5"/>
        <v>10183990.174941592</v>
      </c>
      <c r="J55" s="188">
        <f t="shared" si="1"/>
        <v>178219.82806147763</v>
      </c>
      <c r="K55" s="189">
        <f t="shared" si="2"/>
        <v>-1069318.9683688702</v>
      </c>
      <c r="L55" s="188">
        <f t="shared" si="7"/>
        <v>-2138637.9367377367</v>
      </c>
      <c r="M55" s="187">
        <f t="shared" si="4"/>
        <v>8045352.2382038552</v>
      </c>
      <c r="N55" s="186">
        <f t="shared" si="3"/>
        <v>4022676.1191019369</v>
      </c>
    </row>
    <row r="56" spans="1:14" ht="15" outlineLevel="1" x14ac:dyDescent="0.25">
      <c r="A56" s="192">
        <v>44895</v>
      </c>
      <c r="B56" s="191"/>
      <c r="C56" s="191"/>
      <c r="D56" s="188">
        <f t="shared" si="0"/>
        <v>30551970.524824739</v>
      </c>
      <c r="E56" s="188">
        <f t="shared" si="6"/>
        <v>30551970.524824739</v>
      </c>
      <c r="F56" s="190">
        <f t="shared" si="10"/>
        <v>848665.84791179828</v>
      </c>
      <c r="G56" s="188">
        <f t="shared" si="8"/>
        <v>-26308641.285265729</v>
      </c>
      <c r="H56" s="188">
        <f t="shared" si="9"/>
        <v>-21216646.197794948</v>
      </c>
      <c r="I56" s="188">
        <f t="shared" si="5"/>
        <v>9335324.3270297907</v>
      </c>
      <c r="J56" s="188">
        <f t="shared" si="1"/>
        <v>178219.82806147763</v>
      </c>
      <c r="K56" s="189">
        <f t="shared" si="2"/>
        <v>-891099.14030739258</v>
      </c>
      <c r="L56" s="188">
        <f t="shared" si="7"/>
        <v>-1960418.1086762587</v>
      </c>
      <c r="M56" s="187">
        <f t="shared" si="4"/>
        <v>7374906.2183535323</v>
      </c>
      <c r="N56" s="186">
        <f t="shared" si="3"/>
        <v>3352230.0992516172</v>
      </c>
    </row>
    <row r="57" spans="1:14" ht="15" outlineLevel="1" x14ac:dyDescent="0.25">
      <c r="A57" s="192">
        <v>44926</v>
      </c>
      <c r="B57" s="191"/>
      <c r="C57" s="191"/>
      <c r="D57" s="188">
        <f t="shared" si="0"/>
        <v>30551970.524824739</v>
      </c>
      <c r="E57" s="188">
        <f t="shared" si="6"/>
        <v>30551970.524824739</v>
      </c>
      <c r="F57" s="190">
        <f t="shared" si="10"/>
        <v>848665.84791179828</v>
      </c>
      <c r="G57" s="188">
        <f t="shared" si="8"/>
        <v>-27157307.133177526</v>
      </c>
      <c r="H57" s="188">
        <f t="shared" si="9"/>
        <v>-22065312.045706745</v>
      </c>
      <c r="I57" s="188">
        <f t="shared" si="5"/>
        <v>8486658.4791179933</v>
      </c>
      <c r="J57" s="188">
        <f t="shared" si="1"/>
        <v>178219.82806147763</v>
      </c>
      <c r="K57" s="189">
        <f t="shared" si="2"/>
        <v>-712879.31224591495</v>
      </c>
      <c r="L57" s="188">
        <f t="shared" si="7"/>
        <v>-1782198.2806147812</v>
      </c>
      <c r="M57" s="187">
        <f t="shared" si="4"/>
        <v>6704460.1985032121</v>
      </c>
      <c r="N57" s="186">
        <f t="shared" si="3"/>
        <v>2681784.0794012975</v>
      </c>
    </row>
    <row r="58" spans="1:14" ht="15" outlineLevel="1" x14ac:dyDescent="0.25">
      <c r="A58" s="192">
        <v>44957</v>
      </c>
      <c r="B58" s="191"/>
      <c r="C58" s="191"/>
      <c r="D58" s="188">
        <f t="shared" si="0"/>
        <v>30551970.524824739</v>
      </c>
      <c r="E58" s="188">
        <f t="shared" si="6"/>
        <v>30551970.524824739</v>
      </c>
      <c r="F58" s="190">
        <f t="shared" si="10"/>
        <v>848665.84791179828</v>
      </c>
      <c r="G58" s="188">
        <f t="shared" si="8"/>
        <v>-28005972.981089324</v>
      </c>
      <c r="H58" s="188">
        <f t="shared" si="9"/>
        <v>-22913977.893618539</v>
      </c>
      <c r="I58" s="188">
        <f t="shared" si="5"/>
        <v>7637992.6312061995</v>
      </c>
      <c r="J58" s="188">
        <f t="shared" si="1"/>
        <v>178219.82806147763</v>
      </c>
      <c r="K58" s="189">
        <f t="shared" si="2"/>
        <v>-534659.48418443731</v>
      </c>
      <c r="L58" s="188">
        <f t="shared" si="7"/>
        <v>-1603978.4525533032</v>
      </c>
      <c r="M58" s="187">
        <f t="shared" si="4"/>
        <v>6034014.1786528965</v>
      </c>
      <c r="N58" s="186">
        <f t="shared" si="3"/>
        <v>2011338.0595509773</v>
      </c>
    </row>
    <row r="59" spans="1:14" ht="15" outlineLevel="1" x14ac:dyDescent="0.25">
      <c r="A59" s="192">
        <v>44985</v>
      </c>
      <c r="B59" s="191"/>
      <c r="C59" s="191"/>
      <c r="D59" s="188">
        <f t="shared" si="0"/>
        <v>30551970.524824739</v>
      </c>
      <c r="E59" s="188">
        <f t="shared" si="6"/>
        <v>30551970.524824739</v>
      </c>
      <c r="F59" s="190">
        <f t="shared" si="10"/>
        <v>848665.84791179828</v>
      </c>
      <c r="G59" s="188">
        <f t="shared" si="8"/>
        <v>-28854638.829001121</v>
      </c>
      <c r="H59" s="188">
        <f t="shared" si="9"/>
        <v>-23762643.741530333</v>
      </c>
      <c r="I59" s="188">
        <f t="shared" si="5"/>
        <v>6789326.7832944058</v>
      </c>
      <c r="J59" s="188">
        <f t="shared" si="1"/>
        <v>178219.82806147763</v>
      </c>
      <c r="K59" s="189">
        <f t="shared" si="2"/>
        <v>-356439.65612295968</v>
      </c>
      <c r="L59" s="188">
        <f t="shared" si="7"/>
        <v>-1425758.6244918257</v>
      </c>
      <c r="M59" s="187">
        <f t="shared" si="4"/>
        <v>5363568.1588025801</v>
      </c>
      <c r="N59" s="186">
        <f t="shared" si="3"/>
        <v>1340892.0397006576</v>
      </c>
    </row>
    <row r="60" spans="1:14" ht="15" outlineLevel="1" x14ac:dyDescent="0.25">
      <c r="A60" s="192">
        <v>45016</v>
      </c>
      <c r="B60" s="191"/>
      <c r="C60" s="191"/>
      <c r="D60" s="188">
        <f t="shared" si="0"/>
        <v>30551970.524824739</v>
      </c>
      <c r="E60" s="188">
        <f t="shared" si="6"/>
        <v>30551970.524824739</v>
      </c>
      <c r="F60" s="190">
        <f t="shared" si="10"/>
        <v>848665.84791179828</v>
      </c>
      <c r="G60" s="188">
        <f t="shared" si="8"/>
        <v>-29703304.676912919</v>
      </c>
      <c r="H60" s="188">
        <f t="shared" si="9"/>
        <v>-24611309.589442134</v>
      </c>
      <c r="I60" s="188">
        <f t="shared" si="5"/>
        <v>5940660.9353826046</v>
      </c>
      <c r="J60" s="188">
        <f t="shared" si="1"/>
        <v>178219.82806147763</v>
      </c>
      <c r="K60" s="189">
        <f t="shared" si="2"/>
        <v>-178219.82806148205</v>
      </c>
      <c r="L60" s="188">
        <f t="shared" si="7"/>
        <v>-1247538.7964303482</v>
      </c>
      <c r="M60" s="187">
        <f t="shared" si="4"/>
        <v>4693122.1389522562</v>
      </c>
      <c r="N60" s="186">
        <f t="shared" si="3"/>
        <v>670446.01985033776</v>
      </c>
    </row>
    <row r="61" spans="1:14" ht="15" outlineLevel="1" x14ac:dyDescent="0.25">
      <c r="A61" s="192">
        <v>45046</v>
      </c>
      <c r="B61" s="191"/>
      <c r="C61" s="191"/>
      <c r="D61" s="188">
        <f t="shared" si="0"/>
        <v>30551970.524824739</v>
      </c>
      <c r="E61" s="188">
        <f t="shared" si="6"/>
        <v>30551970.524824739</v>
      </c>
      <c r="F61" s="190">
        <f t="shared" si="10"/>
        <v>848665.84791179828</v>
      </c>
      <c r="G61" s="188">
        <f t="shared" si="8"/>
        <v>-30551970.524824716</v>
      </c>
      <c r="H61" s="188">
        <f t="shared" si="9"/>
        <v>-25459975.437353928</v>
      </c>
      <c r="I61" s="188">
        <f t="shared" si="5"/>
        <v>5091995.0874708109</v>
      </c>
      <c r="J61" s="188">
        <f t="shared" si="1"/>
        <v>178219.82806147763</v>
      </c>
      <c r="K61" s="189">
        <f t="shared" si="2"/>
        <v>-4.4237822294235229E-9</v>
      </c>
      <c r="L61" s="188">
        <f t="shared" si="7"/>
        <v>-1069318.9683688704</v>
      </c>
      <c r="M61" s="187">
        <f t="shared" si="4"/>
        <v>4022676.1191019407</v>
      </c>
      <c r="N61" s="186">
        <f t="shared" si="3"/>
        <v>1.7927959561347961E-8</v>
      </c>
    </row>
    <row r="62" spans="1:14" ht="15" outlineLevel="1" x14ac:dyDescent="0.25">
      <c r="A62" s="192"/>
      <c r="B62" s="191"/>
      <c r="C62" s="191"/>
      <c r="D62" s="188"/>
      <c r="E62" s="188"/>
      <c r="F62" s="190"/>
      <c r="G62" s="188"/>
      <c r="H62" s="188"/>
      <c r="I62" s="188"/>
      <c r="J62" s="188"/>
      <c r="K62" s="189"/>
      <c r="L62" s="188"/>
      <c r="M62" s="187"/>
      <c r="N62" s="186"/>
    </row>
    <row r="63" spans="1:14" ht="15" x14ac:dyDescent="0.25">
      <c r="A63" s="184"/>
      <c r="B63" s="184"/>
      <c r="C63" s="184"/>
      <c r="D63" s="184"/>
      <c r="E63" s="184"/>
      <c r="F63" s="185"/>
      <c r="G63" s="184"/>
      <c r="H63" s="184"/>
      <c r="I63" s="184"/>
      <c r="J63" s="184"/>
      <c r="K63" s="184"/>
      <c r="L63" s="184"/>
      <c r="M63" s="183"/>
      <c r="N63" s="182"/>
    </row>
    <row r="64" spans="1:14" ht="15" x14ac:dyDescent="0.25">
      <c r="A64" s="181"/>
      <c r="B64" s="181"/>
      <c r="C64" s="181"/>
      <c r="D64" s="181"/>
      <c r="E64" s="181"/>
      <c r="F64" s="177"/>
      <c r="G64" s="181"/>
      <c r="H64" s="181"/>
      <c r="I64" s="181"/>
      <c r="J64" s="181"/>
      <c r="K64" s="181"/>
      <c r="L64" s="181"/>
      <c r="M64" s="181"/>
      <c r="N64" s="181"/>
    </row>
    <row r="65" spans="1:13" ht="12.75" x14ac:dyDescent="0.2">
      <c r="A65" s="179"/>
      <c r="B65" s="180"/>
      <c r="C65" s="178"/>
      <c r="D65" s="178"/>
      <c r="E65" s="176"/>
      <c r="F65" s="178"/>
      <c r="G65" s="176"/>
      <c r="H65" s="176"/>
      <c r="I65" s="176"/>
      <c r="J65" s="176"/>
      <c r="K65" s="176"/>
      <c r="L65" s="176"/>
      <c r="M65" s="176"/>
    </row>
    <row r="66" spans="1:13" ht="12.75" x14ac:dyDescent="0.2">
      <c r="A66" s="179"/>
      <c r="B66" s="178"/>
      <c r="C66" s="178"/>
      <c r="D66" s="178"/>
      <c r="E66" s="176"/>
      <c r="F66" s="178"/>
      <c r="G66" s="176"/>
      <c r="H66" s="176"/>
      <c r="I66" s="176"/>
      <c r="J66" s="176"/>
      <c r="K66" s="176"/>
      <c r="L66" s="176"/>
      <c r="M66" s="176"/>
    </row>
    <row r="67" spans="1:13" ht="15" x14ac:dyDescent="0.25">
      <c r="C67" s="176"/>
      <c r="D67" s="176"/>
      <c r="E67" s="176"/>
      <c r="F67" s="177"/>
      <c r="G67" s="176"/>
      <c r="H67" s="176"/>
      <c r="I67" s="176"/>
      <c r="J67" s="176"/>
      <c r="K67" s="176"/>
      <c r="L67" s="176"/>
      <c r="M67" s="176"/>
    </row>
    <row r="68" spans="1:13" ht="15" x14ac:dyDescent="0.25">
      <c r="C68" s="176"/>
      <c r="D68" s="176"/>
      <c r="E68" s="176"/>
      <c r="F68" s="177"/>
      <c r="G68" s="176"/>
      <c r="H68" s="176"/>
      <c r="I68" s="176"/>
      <c r="J68" s="176"/>
      <c r="K68" s="176"/>
      <c r="L68" s="176"/>
      <c r="M68" s="176"/>
    </row>
    <row r="69" spans="1:13" ht="15" x14ac:dyDescent="0.25">
      <c r="C69" s="176"/>
      <c r="D69" s="176"/>
      <c r="E69" s="176"/>
      <c r="F69" s="177"/>
      <c r="G69" s="176"/>
      <c r="H69" s="176"/>
      <c r="I69" s="176"/>
      <c r="J69" s="176"/>
      <c r="K69" s="176"/>
      <c r="L69" s="176"/>
      <c r="M69" s="176"/>
    </row>
    <row r="70" spans="1:13" ht="15" x14ac:dyDescent="0.25">
      <c r="C70" s="176"/>
      <c r="D70" s="176"/>
      <c r="E70" s="176"/>
      <c r="F70" s="177"/>
      <c r="G70" s="176"/>
      <c r="H70" s="176"/>
      <c r="I70" s="176"/>
      <c r="J70" s="176"/>
      <c r="K70" s="176"/>
      <c r="L70" s="176"/>
      <c r="M70" s="176"/>
    </row>
    <row r="71" spans="1:13" ht="15" x14ac:dyDescent="0.25">
      <c r="C71" s="176"/>
      <c r="D71" s="176"/>
      <c r="E71" s="176"/>
      <c r="F71" s="177"/>
      <c r="G71" s="176"/>
      <c r="H71" s="176"/>
      <c r="I71" s="176"/>
      <c r="J71" s="176"/>
      <c r="K71" s="176"/>
      <c r="L71" s="176"/>
      <c r="M71" s="176"/>
    </row>
    <row r="72" spans="1:13" ht="15" x14ac:dyDescent="0.25">
      <c r="C72" s="176"/>
      <c r="D72" s="176"/>
      <c r="E72" s="176"/>
      <c r="F72" s="177"/>
      <c r="G72" s="176"/>
      <c r="H72" s="176"/>
      <c r="I72" s="176"/>
      <c r="J72" s="176"/>
      <c r="K72" s="176"/>
      <c r="L72" s="176"/>
      <c r="M72" s="176"/>
    </row>
    <row r="73" spans="1:13" ht="15" x14ac:dyDescent="0.25">
      <c r="C73" s="176"/>
      <c r="D73" s="176"/>
      <c r="E73" s="176"/>
      <c r="F73" s="177"/>
      <c r="G73" s="176"/>
      <c r="H73" s="176"/>
      <c r="I73" s="176"/>
      <c r="J73" s="176"/>
      <c r="K73" s="176"/>
      <c r="L73" s="176"/>
      <c r="M73" s="176"/>
    </row>
    <row r="74" spans="1:13" ht="15" x14ac:dyDescent="0.25">
      <c r="C74" s="176"/>
      <c r="D74" s="176"/>
      <c r="E74" s="176"/>
      <c r="F74" s="177"/>
      <c r="G74" s="176"/>
      <c r="H74" s="176"/>
      <c r="I74" s="176"/>
      <c r="J74" s="176"/>
      <c r="K74" s="176"/>
      <c r="L74" s="176"/>
      <c r="M74" s="176"/>
    </row>
    <row r="75" spans="1:13" ht="15" x14ac:dyDescent="0.25">
      <c r="C75" s="176"/>
      <c r="D75" s="176"/>
      <c r="E75" s="176"/>
      <c r="F75" s="177"/>
      <c r="G75" s="176"/>
      <c r="H75" s="176"/>
      <c r="I75" s="176"/>
      <c r="J75" s="176"/>
      <c r="K75" s="176"/>
      <c r="L75" s="176"/>
      <c r="M75" s="176"/>
    </row>
    <row r="76" spans="1:13" ht="15" x14ac:dyDescent="0.25">
      <c r="C76" s="176"/>
      <c r="D76" s="176"/>
      <c r="E76" s="176"/>
      <c r="F76" s="177"/>
      <c r="G76" s="176"/>
      <c r="H76" s="176"/>
      <c r="I76" s="176"/>
      <c r="J76" s="176"/>
      <c r="K76" s="176"/>
      <c r="L76" s="176"/>
      <c r="M76" s="176"/>
    </row>
    <row r="77" spans="1:13" ht="15" x14ac:dyDescent="0.25">
      <c r="C77" s="176"/>
      <c r="D77" s="176"/>
      <c r="E77" s="176"/>
      <c r="F77" s="177"/>
      <c r="G77" s="176"/>
      <c r="H77" s="176"/>
      <c r="I77" s="176"/>
      <c r="J77" s="176"/>
      <c r="K77" s="176"/>
      <c r="L77" s="176"/>
      <c r="M77" s="176"/>
    </row>
    <row r="78" spans="1:13" ht="15" x14ac:dyDescent="0.25">
      <c r="C78" s="176"/>
      <c r="D78" s="176"/>
      <c r="E78" s="176"/>
      <c r="F78" s="177"/>
      <c r="G78" s="176"/>
      <c r="H78" s="176"/>
      <c r="I78" s="176"/>
      <c r="J78" s="176"/>
      <c r="K78" s="176"/>
      <c r="L78" s="176"/>
      <c r="M78" s="176"/>
    </row>
    <row r="79" spans="1:13" ht="15" x14ac:dyDescent="0.25">
      <c r="C79" s="176"/>
      <c r="D79" s="176"/>
      <c r="E79" s="176"/>
      <c r="F79" s="177"/>
      <c r="G79" s="176"/>
      <c r="H79" s="176"/>
      <c r="I79" s="176"/>
      <c r="J79" s="176"/>
      <c r="K79" s="176"/>
      <c r="L79" s="176"/>
      <c r="M79" s="176"/>
    </row>
    <row r="80" spans="1:13" ht="15" x14ac:dyDescent="0.25">
      <c r="C80" s="176"/>
      <c r="D80" s="176"/>
      <c r="E80" s="176"/>
      <c r="F80" s="177"/>
      <c r="G80" s="176"/>
      <c r="H80" s="176"/>
      <c r="I80" s="176"/>
      <c r="J80" s="176"/>
      <c r="K80" s="176"/>
      <c r="L80" s="176"/>
      <c r="M80" s="176"/>
    </row>
    <row r="81" spans="3:13" ht="15" x14ac:dyDescent="0.25">
      <c r="C81" s="176"/>
      <c r="D81" s="176"/>
      <c r="E81" s="176"/>
      <c r="F81" s="177"/>
      <c r="G81" s="176"/>
      <c r="H81" s="176"/>
      <c r="I81" s="176"/>
      <c r="J81" s="176"/>
      <c r="K81" s="176"/>
      <c r="L81" s="176"/>
      <c r="M81" s="176"/>
    </row>
    <row r="82" spans="3:13" ht="15" x14ac:dyDescent="0.25">
      <c r="C82" s="176"/>
      <c r="D82" s="176"/>
      <c r="E82" s="176"/>
      <c r="F82" s="177"/>
      <c r="G82" s="176"/>
      <c r="H82" s="176"/>
      <c r="I82" s="176"/>
      <c r="J82" s="176"/>
      <c r="K82" s="176"/>
      <c r="L82" s="176"/>
      <c r="M82" s="176"/>
    </row>
    <row r="83" spans="3:13" ht="15" x14ac:dyDescent="0.25">
      <c r="C83" s="176"/>
      <c r="D83" s="176"/>
      <c r="E83" s="176"/>
      <c r="F83" s="177"/>
      <c r="G83" s="176"/>
      <c r="H83" s="176"/>
      <c r="I83" s="176"/>
      <c r="J83" s="176"/>
      <c r="K83" s="176"/>
      <c r="L83" s="176"/>
      <c r="M83" s="176"/>
    </row>
    <row r="84" spans="3:13" ht="15" x14ac:dyDescent="0.25">
      <c r="C84" s="176"/>
      <c r="D84" s="176"/>
      <c r="E84" s="176"/>
      <c r="F84" s="177"/>
      <c r="G84" s="176"/>
      <c r="H84" s="176"/>
      <c r="I84" s="176"/>
      <c r="J84" s="176"/>
      <c r="K84" s="176"/>
      <c r="L84" s="176"/>
      <c r="M84" s="176"/>
    </row>
    <row r="85" spans="3:13" ht="15" x14ac:dyDescent="0.25">
      <c r="C85" s="176"/>
      <c r="D85" s="176"/>
      <c r="E85" s="176"/>
      <c r="F85" s="177"/>
      <c r="G85" s="176"/>
      <c r="H85" s="176"/>
      <c r="I85" s="176"/>
      <c r="J85" s="176"/>
      <c r="K85" s="176"/>
      <c r="L85" s="176"/>
      <c r="M85" s="176"/>
    </row>
    <row r="86" spans="3:13" ht="15" x14ac:dyDescent="0.25">
      <c r="C86" s="176"/>
      <c r="D86" s="176"/>
      <c r="E86" s="176"/>
      <c r="F86" s="177"/>
      <c r="G86" s="176"/>
      <c r="H86" s="176"/>
      <c r="I86" s="176"/>
      <c r="J86" s="176"/>
      <c r="K86" s="176"/>
      <c r="L86" s="176"/>
      <c r="M86" s="176"/>
    </row>
    <row r="87" spans="3:13" ht="15" x14ac:dyDescent="0.25">
      <c r="C87" s="176"/>
      <c r="D87" s="176"/>
      <c r="E87" s="176"/>
      <c r="F87" s="177"/>
      <c r="G87" s="176"/>
      <c r="H87" s="176"/>
      <c r="I87" s="176"/>
      <c r="J87" s="176"/>
      <c r="K87" s="176"/>
      <c r="L87" s="176"/>
      <c r="M87" s="176"/>
    </row>
    <row r="88" spans="3:13" ht="15" x14ac:dyDescent="0.25">
      <c r="C88" s="176"/>
      <c r="D88" s="176"/>
      <c r="E88" s="176"/>
      <c r="F88" s="177"/>
      <c r="G88" s="176"/>
      <c r="H88" s="176"/>
      <c r="I88" s="176"/>
      <c r="J88" s="176"/>
      <c r="K88" s="176"/>
      <c r="L88" s="176"/>
      <c r="M88" s="176"/>
    </row>
    <row r="89" spans="3:13" ht="15" x14ac:dyDescent="0.25">
      <c r="F89" s="175"/>
    </row>
    <row r="90" spans="3:13" ht="15" x14ac:dyDescent="0.25">
      <c r="F90" s="175"/>
    </row>
    <row r="91" spans="3:13" ht="15" x14ac:dyDescent="0.25">
      <c r="F91" s="175"/>
    </row>
    <row r="92" spans="3:13" ht="15" x14ac:dyDescent="0.25">
      <c r="F92" s="175"/>
    </row>
    <row r="93" spans="3:13" ht="15" x14ac:dyDescent="0.25">
      <c r="F93" s="175"/>
    </row>
    <row r="94" spans="3:13" ht="15" x14ac:dyDescent="0.25">
      <c r="F94" s="175"/>
    </row>
    <row r="95" spans="3:13" ht="15" x14ac:dyDescent="0.25">
      <c r="F95" s="175"/>
    </row>
    <row r="96" spans="3:13" ht="15" x14ac:dyDescent="0.25">
      <c r="F96" s="175"/>
    </row>
    <row r="97" spans="6:6" ht="15" x14ac:dyDescent="0.25">
      <c r="F97" s="175"/>
    </row>
    <row r="98" spans="6:6" ht="15" x14ac:dyDescent="0.25">
      <c r="F98" s="175"/>
    </row>
    <row r="99" spans="6:6" ht="15" x14ac:dyDescent="0.25">
      <c r="F99" s="175"/>
    </row>
    <row r="100" spans="6:6" ht="15" x14ac:dyDescent="0.25">
      <c r="F100" s="175"/>
    </row>
    <row r="101" spans="6:6" ht="15" x14ac:dyDescent="0.25">
      <c r="F101" s="175"/>
    </row>
    <row r="102" spans="6:6" ht="15" x14ac:dyDescent="0.25">
      <c r="F102" s="175"/>
    </row>
    <row r="103" spans="6:6" ht="15" x14ac:dyDescent="0.25">
      <c r="F103" s="175"/>
    </row>
    <row r="104" spans="6:6" ht="15" x14ac:dyDescent="0.25">
      <c r="F104" s="175"/>
    </row>
    <row r="105" spans="6:6" ht="15" x14ac:dyDescent="0.25">
      <c r="F105" s="175"/>
    </row>
    <row r="106" spans="6:6" ht="15" x14ac:dyDescent="0.25">
      <c r="F106" s="175"/>
    </row>
    <row r="107" spans="6:6" ht="15" x14ac:dyDescent="0.25">
      <c r="F107" s="175"/>
    </row>
    <row r="108" spans="6:6" ht="15" x14ac:dyDescent="0.25">
      <c r="F108" s="175"/>
    </row>
    <row r="109" spans="6:6" ht="15" x14ac:dyDescent="0.25">
      <c r="F109" s="175"/>
    </row>
    <row r="110" spans="6:6" ht="15" x14ac:dyDescent="0.25">
      <c r="F110" s="175"/>
    </row>
    <row r="111" spans="6:6" ht="15" x14ac:dyDescent="0.25">
      <c r="F111" s="175"/>
    </row>
    <row r="112" spans="6:6" ht="15" x14ac:dyDescent="0.25">
      <c r="F112" s="175"/>
    </row>
    <row r="113" spans="6:6" ht="15" x14ac:dyDescent="0.25">
      <c r="F113" s="175"/>
    </row>
    <row r="114" spans="6:6" ht="15" x14ac:dyDescent="0.25">
      <c r="F114" s="175"/>
    </row>
    <row r="115" spans="6:6" ht="15" x14ac:dyDescent="0.25">
      <c r="F115" s="175"/>
    </row>
    <row r="116" spans="6:6" ht="15" x14ac:dyDescent="0.25">
      <c r="F116" s="175"/>
    </row>
  </sheetData>
  <pageMargins left="0.7" right="0.7" top="0.75" bottom="0.75" header="0.3" footer="0.3"/>
  <pageSetup scale="51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40" activePane="bottomRight" state="frozen"/>
      <selection activeCell="I56" sqref="I56"/>
      <selection pane="topRight" activeCell="I56" sqref="I56"/>
      <selection pane="bottomLeft" activeCell="I56" sqref="I56"/>
      <selection pane="bottomRight" activeCell="C14" sqref="C14"/>
    </sheetView>
  </sheetViews>
  <sheetFormatPr defaultColWidth="9.140625" defaultRowHeight="10.5" outlineLevelRow="1" outlineLevelCol="1" x14ac:dyDescent="0.15"/>
  <cols>
    <col min="1" max="1" width="11.85546875" style="174" bestFit="1" customWidth="1"/>
    <col min="2" max="2" width="6.42578125" style="174" bestFit="1" customWidth="1"/>
    <col min="3" max="3" width="14.7109375" style="174" bestFit="1" customWidth="1"/>
    <col min="4" max="5" width="16.140625" style="174" bestFit="1" customWidth="1"/>
    <col min="6" max="6" width="22.28515625" style="174" bestFit="1" customWidth="1"/>
    <col min="7" max="8" width="18.28515625" style="174" bestFit="1" customWidth="1"/>
    <col min="9" max="9" width="17.7109375" style="174" bestFit="1" customWidth="1"/>
    <col min="10" max="10" width="22.7109375" style="174" bestFit="1" customWidth="1"/>
    <col min="11" max="11" width="19.42578125" style="174" bestFit="1" customWidth="1"/>
    <col min="12" max="13" width="17.5703125" style="174" bestFit="1" customWidth="1"/>
    <col min="14" max="14" width="17" style="174" bestFit="1" customWidth="1"/>
    <col min="15" max="15" width="10" style="174" customWidth="1" outlineLevel="1"/>
    <col min="16" max="16384" width="9.140625" style="174"/>
  </cols>
  <sheetData>
    <row r="1" spans="1:14" ht="12.75" x14ac:dyDescent="0.2">
      <c r="A1" s="243" t="s">
        <v>140</v>
      </c>
      <c r="B1" s="241"/>
      <c r="C1" s="241"/>
      <c r="D1" s="241"/>
      <c r="E1" s="241"/>
      <c r="F1" s="241"/>
      <c r="G1" s="242"/>
      <c r="H1" s="242"/>
      <c r="I1" s="242"/>
      <c r="J1" s="233"/>
      <c r="K1" s="233"/>
      <c r="L1" s="233"/>
      <c r="M1" s="233"/>
    </row>
    <row r="2" spans="1:14" ht="12.75" x14ac:dyDescent="0.2">
      <c r="A2" s="244" t="s">
        <v>252</v>
      </c>
      <c r="B2" s="241"/>
      <c r="C2" s="241"/>
      <c r="D2" s="241"/>
      <c r="E2" s="241"/>
      <c r="F2" s="241"/>
      <c r="G2" s="242"/>
      <c r="H2" s="242"/>
      <c r="I2" s="242"/>
      <c r="J2" s="233"/>
      <c r="K2" s="233"/>
      <c r="L2" s="233"/>
      <c r="M2" s="233"/>
    </row>
    <row r="3" spans="1:14" ht="12.75" x14ac:dyDescent="0.2">
      <c r="A3" s="243" t="s">
        <v>139</v>
      </c>
      <c r="B3" s="241"/>
      <c r="C3" s="241"/>
      <c r="D3" s="241"/>
      <c r="E3" s="241"/>
      <c r="F3" s="241"/>
      <c r="G3" s="242"/>
      <c r="H3" s="242"/>
      <c r="I3" s="242"/>
      <c r="J3" s="233"/>
      <c r="K3" s="233"/>
      <c r="L3" s="233"/>
      <c r="M3" s="233"/>
    </row>
    <row r="4" spans="1:14" ht="12.75" x14ac:dyDescent="0.2">
      <c r="A4" s="241"/>
      <c r="B4" s="241"/>
      <c r="C4" s="240"/>
      <c r="D4" s="239"/>
      <c r="E4" s="238"/>
      <c r="F4" s="237" t="s">
        <v>138</v>
      </c>
      <c r="G4" s="236"/>
      <c r="H4" s="236"/>
      <c r="I4" s="236"/>
      <c r="J4" s="234"/>
      <c r="K4" s="235"/>
      <c r="L4" s="234"/>
      <c r="M4" s="234"/>
    </row>
    <row r="5" spans="1:14" ht="12.75" x14ac:dyDescent="0.2">
      <c r="A5" s="233"/>
      <c r="B5" s="233"/>
      <c r="C5" s="232" t="s">
        <v>137</v>
      </c>
      <c r="D5" s="231"/>
      <c r="E5" s="230"/>
      <c r="F5" s="229" t="s">
        <v>136</v>
      </c>
      <c r="G5" s="227"/>
      <c r="H5" s="227"/>
      <c r="I5" s="227"/>
      <c r="J5" s="228" t="s">
        <v>135</v>
      </c>
      <c r="K5" s="227"/>
      <c r="L5" s="227"/>
      <c r="M5" s="227"/>
    </row>
    <row r="6" spans="1:14" ht="15" x14ac:dyDescent="0.25">
      <c r="A6" s="226"/>
      <c r="B6" s="226"/>
      <c r="C6" s="225" t="s">
        <v>134</v>
      </c>
      <c r="D6" s="225" t="s">
        <v>69</v>
      </c>
      <c r="E6" s="224" t="s">
        <v>133</v>
      </c>
      <c r="F6" s="225" t="s">
        <v>131</v>
      </c>
      <c r="G6" s="225" t="s">
        <v>55</v>
      </c>
      <c r="H6" s="225" t="s">
        <v>132</v>
      </c>
      <c r="I6" s="225" t="s">
        <v>125</v>
      </c>
      <c r="J6" s="225" t="s">
        <v>131</v>
      </c>
      <c r="K6" s="225" t="s">
        <v>55</v>
      </c>
      <c r="L6" s="224" t="s">
        <v>124</v>
      </c>
      <c r="M6" s="223" t="s">
        <v>130</v>
      </c>
      <c r="N6" s="222" t="s">
        <v>69</v>
      </c>
    </row>
    <row r="7" spans="1:14" ht="15" x14ac:dyDescent="0.25">
      <c r="A7" s="206" t="s">
        <v>129</v>
      </c>
      <c r="B7" s="221"/>
      <c r="C7" s="206" t="s">
        <v>128</v>
      </c>
      <c r="D7" s="206"/>
      <c r="E7" s="219" t="s">
        <v>69</v>
      </c>
      <c r="F7" s="206" t="s">
        <v>127</v>
      </c>
      <c r="G7" s="206" t="s">
        <v>127</v>
      </c>
      <c r="H7" s="206" t="s">
        <v>127</v>
      </c>
      <c r="I7" s="206" t="s">
        <v>126</v>
      </c>
      <c r="J7" s="206" t="s">
        <v>25</v>
      </c>
      <c r="K7" s="219" t="s">
        <v>25</v>
      </c>
      <c r="L7" s="206" t="s">
        <v>125</v>
      </c>
      <c r="M7" s="218" t="s">
        <v>124</v>
      </c>
      <c r="N7" s="217" t="s">
        <v>123</v>
      </c>
    </row>
    <row r="8" spans="1:14" ht="15" x14ac:dyDescent="0.25">
      <c r="A8" s="206" t="s">
        <v>122</v>
      </c>
      <c r="B8" s="221"/>
      <c r="C8" s="206" t="s">
        <v>121</v>
      </c>
      <c r="D8" s="206" t="s">
        <v>41</v>
      </c>
      <c r="E8" s="219" t="s">
        <v>120</v>
      </c>
      <c r="F8" s="206" t="s">
        <v>119</v>
      </c>
      <c r="G8" s="220" t="s">
        <v>118</v>
      </c>
      <c r="H8" s="206" t="s">
        <v>117</v>
      </c>
      <c r="I8" s="206" t="s">
        <v>116</v>
      </c>
      <c r="J8" s="206" t="s">
        <v>115</v>
      </c>
      <c r="K8" s="219" t="s">
        <v>114</v>
      </c>
      <c r="L8" s="206" t="s">
        <v>113</v>
      </c>
      <c r="M8" s="218" t="s">
        <v>112</v>
      </c>
      <c r="N8" s="217" t="s">
        <v>111</v>
      </c>
    </row>
    <row r="9" spans="1:14" ht="15" x14ac:dyDescent="0.25">
      <c r="A9" s="216"/>
      <c r="B9" s="216"/>
      <c r="C9" s="212"/>
      <c r="D9" s="212"/>
      <c r="E9" s="214"/>
      <c r="F9" s="215" t="s">
        <v>110</v>
      </c>
      <c r="G9" s="214"/>
      <c r="H9" s="212"/>
      <c r="I9" s="212"/>
      <c r="J9" s="212" t="s">
        <v>109</v>
      </c>
      <c r="K9" s="213"/>
      <c r="L9" s="212"/>
      <c r="M9" s="211"/>
      <c r="N9" s="210"/>
    </row>
    <row r="10" spans="1:14" ht="15" outlineLevel="1" x14ac:dyDescent="0.25">
      <c r="A10" s="209"/>
      <c r="B10" s="208"/>
      <c r="C10" s="206"/>
      <c r="D10" s="200"/>
      <c r="E10" s="207"/>
      <c r="F10" s="206"/>
      <c r="G10" s="206"/>
      <c r="H10" s="200"/>
      <c r="I10" s="200"/>
      <c r="J10" s="205"/>
      <c r="K10" s="205"/>
      <c r="L10" s="205"/>
      <c r="M10" s="202"/>
      <c r="N10" s="204"/>
    </row>
    <row r="11" spans="1:14" ht="15" outlineLevel="1" x14ac:dyDescent="0.25">
      <c r="A11" s="192" t="s">
        <v>108</v>
      </c>
      <c r="B11" s="192"/>
      <c r="C11" s="203"/>
      <c r="D11" s="200">
        <f t="shared" ref="D11:D61" si="0">D10+C11</f>
        <v>0</v>
      </c>
      <c r="E11" s="188"/>
      <c r="F11" s="200"/>
      <c r="G11" s="200"/>
      <c r="H11" s="200"/>
      <c r="I11" s="200"/>
      <c r="J11" s="188">
        <f t="shared" ref="J11:J61" si="1">(-C11*0.21)+(F11*0.21)</f>
        <v>0</v>
      </c>
      <c r="K11" s="188">
        <f t="shared" ref="K11:K61" si="2">K10+J11</f>
        <v>0</v>
      </c>
      <c r="L11" s="188"/>
      <c r="M11" s="202"/>
      <c r="N11" s="186">
        <f t="shared" ref="N11:N61" si="3">+D11+G11+K11</f>
        <v>0</v>
      </c>
    </row>
    <row r="12" spans="1:14" ht="15" outlineLevel="1" x14ac:dyDescent="0.25">
      <c r="A12" s="192">
        <v>43555</v>
      </c>
      <c r="B12" s="192"/>
      <c r="C12" s="190"/>
      <c r="D12" s="190">
        <f>D11+C12</f>
        <v>0</v>
      </c>
      <c r="E12" s="188">
        <f>($D$12+D12+SUM($D11:D$13)*2)/24</f>
        <v>0</v>
      </c>
      <c r="F12" s="200"/>
      <c r="G12" s="200"/>
      <c r="H12" s="200"/>
      <c r="I12" s="188">
        <f>($D$12+H12+SUM($D11:H$13)*2)/24</f>
        <v>0</v>
      </c>
      <c r="J12" s="188">
        <f t="shared" si="1"/>
        <v>0</v>
      </c>
      <c r="K12" s="188">
        <f t="shared" si="2"/>
        <v>0</v>
      </c>
      <c r="L12" s="188">
        <f>($D$12+K12+SUM($D11:K$13)*2)/24</f>
        <v>0</v>
      </c>
      <c r="M12" s="187">
        <f t="shared" ref="M12:M61" si="4">L12+I12</f>
        <v>0</v>
      </c>
      <c r="N12" s="186">
        <f t="shared" si="3"/>
        <v>0</v>
      </c>
    </row>
    <row r="13" spans="1:14" ht="15" outlineLevel="1" x14ac:dyDescent="0.25">
      <c r="A13" s="192">
        <v>43585</v>
      </c>
      <c r="B13" s="192"/>
      <c r="C13" s="190"/>
      <c r="D13" s="190">
        <f t="shared" si="0"/>
        <v>0</v>
      </c>
      <c r="E13" s="188">
        <f>($D$12+D13+SUM($D12:D$13)*2)/24</f>
        <v>0</v>
      </c>
      <c r="F13" s="200"/>
      <c r="G13" s="200"/>
      <c r="H13" s="200"/>
      <c r="I13" s="188">
        <f>($D$12+H13+SUM($D12:H$13)*2)/24</f>
        <v>0</v>
      </c>
      <c r="J13" s="188">
        <f t="shared" si="1"/>
        <v>0</v>
      </c>
      <c r="K13" s="188">
        <f t="shared" si="2"/>
        <v>0</v>
      </c>
      <c r="L13" s="188">
        <f>($D$12+K13+SUM($D12:K$13)*2)/24</f>
        <v>0</v>
      </c>
      <c r="M13" s="187">
        <f t="shared" si="4"/>
        <v>0</v>
      </c>
      <c r="N13" s="186">
        <f t="shared" si="3"/>
        <v>0</v>
      </c>
    </row>
    <row r="14" spans="1:14" ht="15" outlineLevel="1" x14ac:dyDescent="0.25">
      <c r="A14" s="192">
        <v>43616</v>
      </c>
      <c r="B14" s="192"/>
      <c r="C14" s="190">
        <f>'GTZ depreciation deferral'!F8</f>
        <v>11428.698321809277</v>
      </c>
      <c r="D14" s="190">
        <f t="shared" si="0"/>
        <v>11428.698321809277</v>
      </c>
      <c r="E14" s="188">
        <f>($D$12+D14+SUM($D$13:D13)*2)/24</f>
        <v>476.19576340871987</v>
      </c>
      <c r="F14" s="190"/>
      <c r="G14" s="188"/>
      <c r="H14" s="200"/>
      <c r="I14" s="188">
        <f>($D$12+H14+SUM($D$13:H13)*2)/24</f>
        <v>0</v>
      </c>
      <c r="J14" s="188">
        <f>(-C14*0.21)+(F14*0.21)</f>
        <v>-2400.0266475799481</v>
      </c>
      <c r="K14" s="188">
        <f t="shared" si="2"/>
        <v>-2400.0266475799481</v>
      </c>
      <c r="L14" s="188">
        <f>($D$12+K14+SUM($D$13:K13)*2)/24</f>
        <v>-100.00111031583117</v>
      </c>
      <c r="M14" s="187">
        <f t="shared" si="4"/>
        <v>-100.00111031583117</v>
      </c>
      <c r="N14" s="186">
        <f>+D14+G14+K14</f>
        <v>9028.6716742293283</v>
      </c>
    </row>
    <row r="15" spans="1:14" ht="15" outlineLevel="1" x14ac:dyDescent="0.25">
      <c r="A15" s="192">
        <v>43646</v>
      </c>
      <c r="B15" s="201"/>
      <c r="C15" s="190">
        <f>'GTZ depreciation deferral'!F9</f>
        <v>22888.259143618554</v>
      </c>
      <c r="D15" s="190">
        <f t="shared" si="0"/>
        <v>34316.957465427833</v>
      </c>
      <c r="E15" s="188">
        <f>($D$12+D15+SUM($D$13:D14)*2)/24</f>
        <v>2382.2647545435993</v>
      </c>
      <c r="F15" s="190"/>
      <c r="G15" s="188"/>
      <c r="H15" s="200"/>
      <c r="I15" s="188">
        <f>($D$12+H15+SUM($D$13:H14)*2)/24</f>
        <v>992.07450710149976</v>
      </c>
      <c r="J15" s="188">
        <f t="shared" si="1"/>
        <v>-4806.5344201598964</v>
      </c>
      <c r="K15" s="188">
        <f t="shared" si="2"/>
        <v>-7206.5610677398445</v>
      </c>
      <c r="L15" s="188">
        <f>($D$12+K15+SUM($D$13:K14)*2)/24</f>
        <v>291.79668801568147</v>
      </c>
      <c r="M15" s="187">
        <f t="shared" si="4"/>
        <v>1283.8711951171813</v>
      </c>
      <c r="N15" s="186">
        <f t="shared" si="3"/>
        <v>27110.39639768799</v>
      </c>
    </row>
    <row r="16" spans="1:14" ht="15" outlineLevel="1" x14ac:dyDescent="0.25">
      <c r="A16" s="192">
        <v>43677</v>
      </c>
      <c r="B16" s="192"/>
      <c r="C16" s="190">
        <f>'GTZ depreciation deferral'!F10</f>
        <v>34347.819965427836</v>
      </c>
      <c r="D16" s="190">
        <f t="shared" si="0"/>
        <v>68664.777430855669</v>
      </c>
      <c r="E16" s="188">
        <f>($D$12+D16+SUM($D$13:D15)*2)/24</f>
        <v>6673.1703752220783</v>
      </c>
      <c r="F16" s="190"/>
      <c r="G16" s="188"/>
      <c r="H16" s="188"/>
      <c r="I16" s="188">
        <f>($D$12+H16+SUM($D$13:H15)*2)/24</f>
        <v>4050.3430254324521</v>
      </c>
      <c r="J16" s="188">
        <f t="shared" si="1"/>
        <v>-7213.0421927398456</v>
      </c>
      <c r="K16" s="188">
        <f t="shared" si="2"/>
        <v>-14419.603260479689</v>
      </c>
      <c r="L16" s="188">
        <f>($D$12+K16+SUM($D$13:K15)*2)/24</f>
        <v>2131.1033665826199</v>
      </c>
      <c r="M16" s="187">
        <f t="shared" si="4"/>
        <v>6181.446392015072</v>
      </c>
      <c r="N16" s="186">
        <f t="shared" si="3"/>
        <v>54245.174170375976</v>
      </c>
    </row>
    <row r="17" spans="1:14" ht="15" outlineLevel="1" x14ac:dyDescent="0.25">
      <c r="A17" s="192">
        <v>43708</v>
      </c>
      <c r="B17" s="192"/>
      <c r="C17" s="190">
        <f>'GTZ depreciation deferral'!F11</f>
        <v>45807.380787237111</v>
      </c>
      <c r="D17" s="190">
        <f t="shared" si="0"/>
        <v>114472.15821809278</v>
      </c>
      <c r="E17" s="188">
        <f>($D$12+D17+SUM($D$13:D16)*2)/24</f>
        <v>14303.876027261596</v>
      </c>
      <c r="F17" s="190"/>
      <c r="G17" s="188"/>
      <c r="H17" s="188"/>
      <c r="I17" s="188">
        <f>($D$12+H17+SUM($D$13:H16)*2)/24</f>
        <v>10328.505342605598</v>
      </c>
      <c r="J17" s="188">
        <f t="shared" si="1"/>
        <v>-9619.549965319793</v>
      </c>
      <c r="K17" s="188">
        <f t="shared" si="2"/>
        <v>-24039.153225799484</v>
      </c>
      <c r="L17" s="188">
        <f>($D$12+K17+SUM($D$13:K16)*2)/24</f>
        <v>6543.2592328851852</v>
      </c>
      <c r="M17" s="187">
        <f t="shared" si="4"/>
        <v>16871.764575490783</v>
      </c>
      <c r="N17" s="186">
        <f t="shared" si="3"/>
        <v>90433.004992293296</v>
      </c>
    </row>
    <row r="18" spans="1:14" ht="15" outlineLevel="1" x14ac:dyDescent="0.25">
      <c r="A18" s="192">
        <v>43738</v>
      </c>
      <c r="B18" s="192"/>
      <c r="C18" s="190">
        <f>'GTZ depreciation deferral'!F12</f>
        <v>57266.941609046393</v>
      </c>
      <c r="D18" s="190">
        <f t="shared" si="0"/>
        <v>171739.09982713917</v>
      </c>
      <c r="E18" s="188">
        <f>($D$12+D18+SUM($D$13:D17)*2)/24</f>
        <v>26229.345112479594</v>
      </c>
      <c r="F18" s="190"/>
      <c r="G18" s="188"/>
      <c r="H18" s="188"/>
      <c r="I18" s="188">
        <f>($D$12+H18+SUM($D$13:H17)*2)/24</f>
        <v>21059.841529718466</v>
      </c>
      <c r="J18" s="188">
        <f t="shared" si="1"/>
        <v>-12026.057737899742</v>
      </c>
      <c r="K18" s="188">
        <f t="shared" si="2"/>
        <v>-36065.210963699225</v>
      </c>
      <c r="L18" s="188">
        <f>($D$12+K18+SUM($D$13:K17)*2)/24</f>
        <v>14829.32652687609</v>
      </c>
      <c r="M18" s="187">
        <f t="shared" si="4"/>
        <v>35889.168056594557</v>
      </c>
      <c r="N18" s="186">
        <f t="shared" si="3"/>
        <v>135673.88886343996</v>
      </c>
    </row>
    <row r="19" spans="1:14" ht="15" outlineLevel="1" x14ac:dyDescent="0.25">
      <c r="A19" s="192">
        <v>43769</v>
      </c>
      <c r="B19" s="192"/>
      <c r="C19" s="190">
        <f>'GTZ depreciation deferral'!F13</f>
        <v>68726.50243085566</v>
      </c>
      <c r="D19" s="190">
        <f t="shared" si="0"/>
        <v>240465.60225799482</v>
      </c>
      <c r="E19" s="188">
        <f>($D$12+D19+SUM($D$13:D18)*2)/24</f>
        <v>43404.541032693509</v>
      </c>
      <c r="F19" s="190"/>
      <c r="G19" s="190"/>
      <c r="H19" s="190"/>
      <c r="I19" s="190">
        <f t="shared" ref="I19:I61" si="5">E19+H19</f>
        <v>43404.541032693509</v>
      </c>
      <c r="J19" s="190">
        <f t="shared" si="1"/>
        <v>-14432.565510479688</v>
      </c>
      <c r="K19" s="188">
        <f t="shared" si="2"/>
        <v>-50497.776474178914</v>
      </c>
      <c r="L19" s="188">
        <f>(K12+K19+SUM(K13:K18)*2)/24</f>
        <v>-9114.9536168656377</v>
      </c>
      <c r="M19" s="187">
        <f t="shared" si="4"/>
        <v>34289.587415827875</v>
      </c>
      <c r="N19" s="186">
        <f t="shared" si="3"/>
        <v>189967.8257838159</v>
      </c>
    </row>
    <row r="20" spans="1:14" ht="15" outlineLevel="1" x14ac:dyDescent="0.25">
      <c r="A20" s="192">
        <v>43799</v>
      </c>
      <c r="B20" s="192"/>
      <c r="C20" s="190">
        <f>'GTZ depreciation deferral'!F14</f>
        <v>80186.063252664942</v>
      </c>
      <c r="D20" s="190">
        <f t="shared" si="0"/>
        <v>320651.66551065975</v>
      </c>
      <c r="E20" s="188">
        <f>(D10+D20+SUM(D11:D19)*2)/24</f>
        <v>66784.42718972078</v>
      </c>
      <c r="F20" s="190"/>
      <c r="G20" s="190"/>
      <c r="H20" s="190"/>
      <c r="I20" s="190">
        <f t="shared" si="5"/>
        <v>66784.42718972078</v>
      </c>
      <c r="J20" s="190">
        <f t="shared" si="1"/>
        <v>-16839.073283059639</v>
      </c>
      <c r="K20" s="188">
        <f t="shared" si="2"/>
        <v>-67336.849757238553</v>
      </c>
      <c r="L20" s="188">
        <f>(K10+K20+SUM(K11:K19)*2)/24</f>
        <v>-14024.729709841364</v>
      </c>
      <c r="M20" s="187">
        <f t="shared" si="4"/>
        <v>52759.697479879418</v>
      </c>
      <c r="N20" s="186">
        <f t="shared" si="3"/>
        <v>253314.81575342119</v>
      </c>
    </row>
    <row r="21" spans="1:14" ht="15" outlineLevel="1" x14ac:dyDescent="0.25">
      <c r="A21" s="192">
        <v>43830</v>
      </c>
      <c r="B21" s="192"/>
      <c r="C21" s="190">
        <f>'GTZ depreciation deferral'!F15</f>
        <v>91645.62407447421</v>
      </c>
      <c r="D21" s="190">
        <f t="shared" si="0"/>
        <v>412297.28958513396</v>
      </c>
      <c r="E21" s="188">
        <f t="shared" ref="E21:E61" si="6">(D9+D21+SUM(D10:D20)*2)/24</f>
        <v>97323.966985378866</v>
      </c>
      <c r="F21" s="190"/>
      <c r="G21" s="190"/>
      <c r="H21" s="190"/>
      <c r="I21" s="190">
        <f t="shared" si="5"/>
        <v>97323.966985378866</v>
      </c>
      <c r="J21" s="190">
        <f t="shared" si="1"/>
        <v>-19245.581055639585</v>
      </c>
      <c r="K21" s="188">
        <f t="shared" si="2"/>
        <v>-86582.430812878141</v>
      </c>
      <c r="L21" s="188">
        <f>(K12+K21+SUM(K13:K20)*2)/24</f>
        <v>-20438.033066929562</v>
      </c>
      <c r="M21" s="187">
        <f t="shared" si="4"/>
        <v>76885.9339184493</v>
      </c>
      <c r="N21" s="186">
        <f t="shared" si="3"/>
        <v>325714.85877225583</v>
      </c>
    </row>
    <row r="22" spans="1:14" ht="15" outlineLevel="1" x14ac:dyDescent="0.25">
      <c r="A22" s="192">
        <v>43861</v>
      </c>
      <c r="B22" s="192"/>
      <c r="C22" s="190">
        <f>'GTZ depreciation deferral'!F16</f>
        <v>103105.18489628349</v>
      </c>
      <c r="D22" s="190">
        <f t="shared" si="0"/>
        <v>515402.47448141745</v>
      </c>
      <c r="E22" s="188">
        <f t="shared" si="6"/>
        <v>135978.12382148518</v>
      </c>
      <c r="F22" s="190"/>
      <c r="G22" s="190"/>
      <c r="H22" s="190"/>
      <c r="I22" s="190">
        <f t="shared" si="5"/>
        <v>135978.12382148518</v>
      </c>
      <c r="J22" s="190">
        <f t="shared" si="1"/>
        <v>-21652.088828219534</v>
      </c>
      <c r="K22" s="188">
        <f t="shared" si="2"/>
        <v>-108234.51964109768</v>
      </c>
      <c r="L22" s="188">
        <f t="shared" ref="L22:L61" si="7">(K10+K22+SUM(K11:K21)*2)/24</f>
        <v>-28555.406002511885</v>
      </c>
      <c r="M22" s="187">
        <f t="shared" si="4"/>
        <v>107422.71781897329</v>
      </c>
      <c r="N22" s="186">
        <f t="shared" si="3"/>
        <v>407167.95484031976</v>
      </c>
    </row>
    <row r="23" spans="1:14" ht="15" outlineLevel="1" x14ac:dyDescent="0.25">
      <c r="A23" s="192">
        <v>43890</v>
      </c>
      <c r="B23" s="192"/>
      <c r="C23" s="190">
        <f>'GTZ depreciation deferral'!F17</f>
        <v>114564.74571809276</v>
      </c>
      <c r="D23" s="190">
        <f t="shared" si="0"/>
        <v>629967.22019951022</v>
      </c>
      <c r="E23" s="188">
        <f t="shared" si="6"/>
        <v>183701.86109985717</v>
      </c>
      <c r="F23" s="190"/>
      <c r="G23" s="190"/>
      <c r="H23" s="190"/>
      <c r="I23" s="190">
        <f t="shared" si="5"/>
        <v>183701.86109985717</v>
      </c>
      <c r="J23" s="190">
        <f t="shared" si="1"/>
        <v>-24058.596600799479</v>
      </c>
      <c r="K23" s="188">
        <f t="shared" si="2"/>
        <v>-132293.11624189717</v>
      </c>
      <c r="L23" s="188">
        <f t="shared" si="7"/>
        <v>-38577.390830970013</v>
      </c>
      <c r="M23" s="187">
        <f t="shared" si="4"/>
        <v>145124.47026888715</v>
      </c>
      <c r="N23" s="186">
        <f t="shared" si="3"/>
        <v>497674.10395761306</v>
      </c>
    </row>
    <row r="24" spans="1:14" ht="15" outlineLevel="1" x14ac:dyDescent="0.25">
      <c r="A24" s="192">
        <v>43921</v>
      </c>
      <c r="B24" s="192"/>
      <c r="C24" s="190">
        <f>'GTZ depreciation deferral'!F18</f>
        <v>126024.30653990204</v>
      </c>
      <c r="D24" s="190">
        <f t="shared" si="0"/>
        <v>755991.52673941222</v>
      </c>
      <c r="E24" s="188">
        <f t="shared" si="6"/>
        <v>241450.14222231225</v>
      </c>
      <c r="F24" s="190"/>
      <c r="G24" s="190"/>
      <c r="H24" s="190"/>
      <c r="I24" s="190">
        <f t="shared" si="5"/>
        <v>241450.14222231225</v>
      </c>
      <c r="J24" s="190">
        <f t="shared" si="1"/>
        <v>-26465.104373379429</v>
      </c>
      <c r="K24" s="188">
        <f t="shared" si="2"/>
        <v>-158758.2206152766</v>
      </c>
      <c r="L24" s="188">
        <f t="shared" si="7"/>
        <v>-50704.529866685589</v>
      </c>
      <c r="M24" s="187">
        <f t="shared" si="4"/>
        <v>190745.61235562665</v>
      </c>
      <c r="N24" s="186">
        <f t="shared" si="3"/>
        <v>597233.30612413562</v>
      </c>
    </row>
    <row r="25" spans="1:14" ht="15" outlineLevel="1" x14ac:dyDescent="0.25">
      <c r="A25" s="192">
        <v>43951</v>
      </c>
      <c r="B25" s="192"/>
      <c r="C25" s="190">
        <f>'GTZ depreciation deferral'!F19</f>
        <v>137483.86736171131</v>
      </c>
      <c r="D25" s="190">
        <f t="shared" si="0"/>
        <v>893475.39410112356</v>
      </c>
      <c r="E25" s="188">
        <f t="shared" si="6"/>
        <v>310177.93059066788</v>
      </c>
      <c r="F25" s="190"/>
      <c r="G25" s="190"/>
      <c r="H25" s="190"/>
      <c r="I25" s="190">
        <f t="shared" si="5"/>
        <v>310177.93059066788</v>
      </c>
      <c r="J25" s="190">
        <f t="shared" si="1"/>
        <v>-28871.612145959374</v>
      </c>
      <c r="K25" s="188">
        <f t="shared" si="2"/>
        <v>-187629.83276123597</v>
      </c>
      <c r="L25" s="188">
        <f t="shared" si="7"/>
        <v>-65137.365424040276</v>
      </c>
      <c r="M25" s="187">
        <f t="shared" si="4"/>
        <v>245040.56516662761</v>
      </c>
      <c r="N25" s="193">
        <f t="shared" si="3"/>
        <v>705845.56133988756</v>
      </c>
    </row>
    <row r="26" spans="1:14" ht="15" outlineLevel="1" x14ac:dyDescent="0.25">
      <c r="A26" s="199">
        <v>43982</v>
      </c>
      <c r="B26" s="198" t="s">
        <v>107</v>
      </c>
      <c r="C26" s="197"/>
      <c r="D26" s="197">
        <f t="shared" si="0"/>
        <v>893475.39410112356</v>
      </c>
      <c r="E26" s="196">
        <f t="shared" si="6"/>
        <v>384158.01766901946</v>
      </c>
      <c r="F26" s="197">
        <f>+$D$25/36</f>
        <v>24818.760947253431</v>
      </c>
      <c r="G26" s="197">
        <f t="shared" ref="G26:G61" si="8">G25-F26</f>
        <v>-24818.760947253431</v>
      </c>
      <c r="H26" s="197">
        <f t="shared" ref="H26:H61" si="9">(G14+G26+SUM(G15:G25)*2)/24</f>
        <v>-1034.115039468893</v>
      </c>
      <c r="I26" s="197">
        <f t="shared" si="5"/>
        <v>383123.90262955055</v>
      </c>
      <c r="J26" s="197">
        <f t="shared" si="1"/>
        <v>5211.9397989232202</v>
      </c>
      <c r="K26" s="196">
        <f t="shared" si="2"/>
        <v>-182417.89296231276</v>
      </c>
      <c r="L26" s="196">
        <f t="shared" si="7"/>
        <v>-80456.019552205631</v>
      </c>
      <c r="M26" s="195">
        <f t="shared" si="4"/>
        <v>302667.88307734492</v>
      </c>
      <c r="N26" s="194">
        <f t="shared" si="3"/>
        <v>686238.74019155733</v>
      </c>
    </row>
    <row r="27" spans="1:14" ht="15" outlineLevel="1" x14ac:dyDescent="0.25">
      <c r="A27" s="199">
        <v>44012</v>
      </c>
      <c r="B27" s="198" t="s">
        <v>107</v>
      </c>
      <c r="C27" s="197"/>
      <c r="D27" s="197">
        <f t="shared" si="0"/>
        <v>893475.39410112356</v>
      </c>
      <c r="E27" s="196">
        <f t="shared" si="6"/>
        <v>456708.23151964485</v>
      </c>
      <c r="F27" s="197">
        <f t="shared" ref="F27:F61" si="10">+$D$25/36</f>
        <v>24818.760947253431</v>
      </c>
      <c r="G27" s="197">
        <f t="shared" si="8"/>
        <v>-49637.521894506863</v>
      </c>
      <c r="H27" s="197">
        <f t="shared" si="9"/>
        <v>-4136.4601578755719</v>
      </c>
      <c r="I27" s="197">
        <f t="shared" si="5"/>
        <v>452571.77136176929</v>
      </c>
      <c r="J27" s="197">
        <f t="shared" si="1"/>
        <v>5211.9397989232202</v>
      </c>
      <c r="K27" s="196">
        <f t="shared" si="2"/>
        <v>-177205.95316338955</v>
      </c>
      <c r="L27" s="196">
        <f t="shared" si="7"/>
        <v>-95040.07198597159</v>
      </c>
      <c r="M27" s="195">
        <f t="shared" si="4"/>
        <v>357531.6993757977</v>
      </c>
      <c r="N27" s="194">
        <f t="shared" si="3"/>
        <v>666631.9190432271</v>
      </c>
    </row>
    <row r="28" spans="1:14" ht="15" outlineLevel="1" x14ac:dyDescent="0.25">
      <c r="A28" s="199">
        <v>44043</v>
      </c>
      <c r="B28" s="198" t="s">
        <v>107</v>
      </c>
      <c r="C28" s="197"/>
      <c r="D28" s="197">
        <f t="shared" si="0"/>
        <v>893475.39410112356</v>
      </c>
      <c r="E28" s="196">
        <f t="shared" si="6"/>
        <v>526873.6087407266</v>
      </c>
      <c r="F28" s="197">
        <f t="shared" si="10"/>
        <v>24818.760947253431</v>
      </c>
      <c r="G28" s="197">
        <f t="shared" si="8"/>
        <v>-74456.282841760287</v>
      </c>
      <c r="H28" s="197">
        <f t="shared" si="9"/>
        <v>-9307.0353552200359</v>
      </c>
      <c r="I28" s="197">
        <f t="shared" si="5"/>
        <v>517566.57338550658</v>
      </c>
      <c r="J28" s="197">
        <f t="shared" si="1"/>
        <v>5211.9397989232202</v>
      </c>
      <c r="K28" s="196">
        <f t="shared" si="2"/>
        <v>-171994.01336446634</v>
      </c>
      <c r="L28" s="196">
        <f t="shared" si="7"/>
        <v>-108688.98041095643</v>
      </c>
      <c r="M28" s="195">
        <f t="shared" si="4"/>
        <v>408877.59297455015</v>
      </c>
      <c r="N28" s="194">
        <f t="shared" si="3"/>
        <v>647025.09789489687</v>
      </c>
    </row>
    <row r="29" spans="1:14" ht="15" outlineLevel="1" x14ac:dyDescent="0.25">
      <c r="A29" s="199">
        <v>44074</v>
      </c>
      <c r="B29" s="198" t="s">
        <v>107</v>
      </c>
      <c r="C29" s="197"/>
      <c r="D29" s="197">
        <f t="shared" si="0"/>
        <v>893475.39410112356</v>
      </c>
      <c r="E29" s="196">
        <f t="shared" si="6"/>
        <v>593699.1859304473</v>
      </c>
      <c r="F29" s="197">
        <f t="shared" si="10"/>
        <v>24818.760947253431</v>
      </c>
      <c r="G29" s="197">
        <f t="shared" si="8"/>
        <v>-99275.043789013725</v>
      </c>
      <c r="H29" s="197">
        <f t="shared" si="9"/>
        <v>-16545.840631502288</v>
      </c>
      <c r="I29" s="197">
        <f t="shared" si="5"/>
        <v>577153.34529894497</v>
      </c>
      <c r="J29" s="197">
        <f t="shared" si="1"/>
        <v>5211.9397989232202</v>
      </c>
      <c r="K29" s="196">
        <f t="shared" si="2"/>
        <v>-166782.07356554313</v>
      </c>
      <c r="L29" s="196">
        <f t="shared" si="7"/>
        <v>-121202.20251277853</v>
      </c>
      <c r="M29" s="195">
        <f t="shared" si="4"/>
        <v>455951.14278616646</v>
      </c>
      <c r="N29" s="194">
        <f t="shared" si="3"/>
        <v>627418.27674656664</v>
      </c>
    </row>
    <row r="30" spans="1:14" ht="15" outlineLevel="1" x14ac:dyDescent="0.25">
      <c r="A30" s="199">
        <v>44104</v>
      </c>
      <c r="B30" s="198" t="s">
        <v>107</v>
      </c>
      <c r="C30" s="197"/>
      <c r="D30" s="197">
        <f t="shared" si="0"/>
        <v>893475.39410112356</v>
      </c>
      <c r="E30" s="196">
        <f t="shared" si="6"/>
        <v>656229.9996869897</v>
      </c>
      <c r="F30" s="197">
        <f t="shared" si="10"/>
        <v>24818.760947253431</v>
      </c>
      <c r="G30" s="197">
        <f t="shared" si="8"/>
        <v>-124093.80473626716</v>
      </c>
      <c r="H30" s="197">
        <f t="shared" si="9"/>
        <v>-25852.875986722323</v>
      </c>
      <c r="I30" s="197">
        <f t="shared" si="5"/>
        <v>630377.1237002674</v>
      </c>
      <c r="J30" s="197">
        <f t="shared" si="1"/>
        <v>5211.9397989232202</v>
      </c>
      <c r="K30" s="196">
        <f t="shared" si="2"/>
        <v>-161570.13376661993</v>
      </c>
      <c r="L30" s="196">
        <f t="shared" si="7"/>
        <v>-132379.1959770562</v>
      </c>
      <c r="M30" s="195">
        <f t="shared" si="4"/>
        <v>497997.92772321124</v>
      </c>
      <c r="N30" s="194">
        <f t="shared" si="3"/>
        <v>607811.45559823641</v>
      </c>
    </row>
    <row r="31" spans="1:14" ht="15" outlineLevel="1" x14ac:dyDescent="0.25">
      <c r="A31" s="199">
        <v>44135</v>
      </c>
      <c r="B31" s="198" t="s">
        <v>107</v>
      </c>
      <c r="C31" s="197"/>
      <c r="D31" s="197">
        <f t="shared" si="0"/>
        <v>893475.39410112356</v>
      </c>
      <c r="E31" s="196">
        <f t="shared" si="6"/>
        <v>713511.08660853608</v>
      </c>
      <c r="F31" s="197">
        <f t="shared" si="10"/>
        <v>24818.760947253431</v>
      </c>
      <c r="G31" s="196">
        <f t="shared" si="8"/>
        <v>-148912.5656835206</v>
      </c>
      <c r="H31" s="196">
        <f t="shared" si="9"/>
        <v>-37228.141420880151</v>
      </c>
      <c r="I31" s="196">
        <f t="shared" si="5"/>
        <v>676282.94518765598</v>
      </c>
      <c r="J31" s="196">
        <f t="shared" si="1"/>
        <v>5211.9397989232202</v>
      </c>
      <c r="K31" s="196">
        <f t="shared" si="2"/>
        <v>-156358.19396769672</v>
      </c>
      <c r="L31" s="196">
        <f t="shared" si="7"/>
        <v>-142019.41848940781</v>
      </c>
      <c r="M31" s="195">
        <f t="shared" si="4"/>
        <v>534263.52669824823</v>
      </c>
      <c r="N31" s="194">
        <f t="shared" si="3"/>
        <v>588204.63444990618</v>
      </c>
    </row>
    <row r="32" spans="1:14" ht="15" outlineLevel="1" x14ac:dyDescent="0.25">
      <c r="A32" s="199">
        <v>44165</v>
      </c>
      <c r="B32" s="198" t="s">
        <v>107</v>
      </c>
      <c r="C32" s="197"/>
      <c r="D32" s="197">
        <f t="shared" si="0"/>
        <v>893475.39410112356</v>
      </c>
      <c r="E32" s="196">
        <f t="shared" si="6"/>
        <v>764587.48329326918</v>
      </c>
      <c r="F32" s="197">
        <f t="shared" si="10"/>
        <v>24818.760947253431</v>
      </c>
      <c r="G32" s="196">
        <f t="shared" si="8"/>
        <v>-173731.32663077404</v>
      </c>
      <c r="H32" s="196">
        <f t="shared" si="9"/>
        <v>-50671.636933975758</v>
      </c>
      <c r="I32" s="196">
        <f t="shared" si="5"/>
        <v>713915.84635929344</v>
      </c>
      <c r="J32" s="196">
        <f t="shared" si="1"/>
        <v>5211.9397989232202</v>
      </c>
      <c r="K32" s="196">
        <f t="shared" si="2"/>
        <v>-151146.25416877351</v>
      </c>
      <c r="L32" s="196">
        <f t="shared" si="7"/>
        <v>-149922.32773545166</v>
      </c>
      <c r="M32" s="195">
        <f t="shared" si="4"/>
        <v>563993.51862384181</v>
      </c>
      <c r="N32" s="194">
        <f t="shared" si="3"/>
        <v>568597.81330157595</v>
      </c>
    </row>
    <row r="33" spans="1:14" ht="15" outlineLevel="1" x14ac:dyDescent="0.25">
      <c r="A33" s="199">
        <v>44196</v>
      </c>
      <c r="B33" s="198" t="s">
        <v>107</v>
      </c>
      <c r="C33" s="197"/>
      <c r="D33" s="197">
        <f t="shared" si="0"/>
        <v>893475.39410112356</v>
      </c>
      <c r="E33" s="196">
        <f t="shared" si="6"/>
        <v>808504.22633937129</v>
      </c>
      <c r="F33" s="197">
        <f t="shared" si="10"/>
        <v>24818.760947253431</v>
      </c>
      <c r="G33" s="196">
        <f t="shared" si="8"/>
        <v>-198550.08757802748</v>
      </c>
      <c r="H33" s="196">
        <f t="shared" si="9"/>
        <v>-66183.362526009165</v>
      </c>
      <c r="I33" s="196">
        <f t="shared" si="5"/>
        <v>742320.86381336208</v>
      </c>
      <c r="J33" s="196">
        <f t="shared" si="1"/>
        <v>5211.9397989232202</v>
      </c>
      <c r="K33" s="196">
        <f t="shared" si="2"/>
        <v>-145934.3143698503</v>
      </c>
      <c r="L33" s="196">
        <f t="shared" si="7"/>
        <v>-155887.38140080616</v>
      </c>
      <c r="M33" s="195">
        <f t="shared" si="4"/>
        <v>586433.48241255595</v>
      </c>
      <c r="N33" s="194">
        <f t="shared" si="3"/>
        <v>548990.99215324572</v>
      </c>
    </row>
    <row r="34" spans="1:14" ht="15" outlineLevel="1" x14ac:dyDescent="0.25">
      <c r="A34" s="199">
        <v>44227</v>
      </c>
      <c r="B34" s="198" t="s">
        <v>107</v>
      </c>
      <c r="C34" s="197"/>
      <c r="D34" s="197">
        <f t="shared" si="0"/>
        <v>893475.39410112356</v>
      </c>
      <c r="E34" s="196">
        <f t="shared" si="6"/>
        <v>844306.35234502552</v>
      </c>
      <c r="F34" s="197">
        <f t="shared" si="10"/>
        <v>24818.760947253431</v>
      </c>
      <c r="G34" s="196">
        <f t="shared" si="8"/>
        <v>-223368.84852528092</v>
      </c>
      <c r="H34" s="196">
        <f t="shared" si="9"/>
        <v>-83763.318196980341</v>
      </c>
      <c r="I34" s="196">
        <f t="shared" si="5"/>
        <v>760543.03414804512</v>
      </c>
      <c r="J34" s="196">
        <f t="shared" si="1"/>
        <v>5211.9397989232202</v>
      </c>
      <c r="K34" s="196">
        <f t="shared" si="2"/>
        <v>-140722.37457092709</v>
      </c>
      <c r="L34" s="196">
        <f t="shared" si="7"/>
        <v>-159714.03717108953</v>
      </c>
      <c r="M34" s="195">
        <f t="shared" si="4"/>
        <v>600828.99697695556</v>
      </c>
      <c r="N34" s="194">
        <f t="shared" si="3"/>
        <v>529384.17100491549</v>
      </c>
    </row>
    <row r="35" spans="1:14" ht="15" outlineLevel="1" x14ac:dyDescent="0.25">
      <c r="A35" s="199">
        <v>44255</v>
      </c>
      <c r="B35" s="198" t="s">
        <v>107</v>
      </c>
      <c r="C35" s="197"/>
      <c r="D35" s="197">
        <f t="shared" si="0"/>
        <v>893475.39410112356</v>
      </c>
      <c r="E35" s="196">
        <f t="shared" si="6"/>
        <v>871038.89790841378</v>
      </c>
      <c r="F35" s="197">
        <f t="shared" si="10"/>
        <v>24818.760947253431</v>
      </c>
      <c r="G35" s="196">
        <f t="shared" si="8"/>
        <v>-248187.60947253436</v>
      </c>
      <c r="H35" s="196">
        <f t="shared" si="9"/>
        <v>-103411.50394688931</v>
      </c>
      <c r="I35" s="196">
        <f t="shared" si="5"/>
        <v>767627.39396152447</v>
      </c>
      <c r="J35" s="196">
        <f t="shared" si="1"/>
        <v>5211.9397989232202</v>
      </c>
      <c r="K35" s="196">
        <f t="shared" si="2"/>
        <v>-135510.43477200388</v>
      </c>
      <c r="L35" s="196">
        <f t="shared" si="7"/>
        <v>-161201.75273192022</v>
      </c>
      <c r="M35" s="195">
        <f t="shared" si="4"/>
        <v>606425.64122960425</v>
      </c>
      <c r="N35" s="194">
        <f t="shared" si="3"/>
        <v>509777.34985658526</v>
      </c>
    </row>
    <row r="36" spans="1:14" ht="15" outlineLevel="1" x14ac:dyDescent="0.25">
      <c r="A36" s="199">
        <v>44286</v>
      </c>
      <c r="B36" s="198" t="s">
        <v>107</v>
      </c>
      <c r="C36" s="197"/>
      <c r="D36" s="197">
        <f t="shared" si="0"/>
        <v>893475.39410112356</v>
      </c>
      <c r="E36" s="196">
        <f t="shared" si="6"/>
        <v>887746.89962771896</v>
      </c>
      <c r="F36" s="197">
        <f t="shared" si="10"/>
        <v>24818.760947253431</v>
      </c>
      <c r="G36" s="196">
        <f t="shared" si="8"/>
        <v>-273006.37041978777</v>
      </c>
      <c r="H36" s="196">
        <f t="shared" si="9"/>
        <v>-125127.91977573607</v>
      </c>
      <c r="I36" s="196">
        <f t="shared" si="5"/>
        <v>762618.97985198291</v>
      </c>
      <c r="J36" s="196">
        <f t="shared" si="1"/>
        <v>5211.9397989232202</v>
      </c>
      <c r="K36" s="196">
        <f t="shared" si="2"/>
        <v>-130298.49497308065</v>
      </c>
      <c r="L36" s="196">
        <f t="shared" si="7"/>
        <v>-160149.98576891649</v>
      </c>
      <c r="M36" s="195">
        <f t="shared" si="4"/>
        <v>602468.99408306647</v>
      </c>
      <c r="N36" s="194">
        <f t="shared" si="3"/>
        <v>490170.52870825521</v>
      </c>
    </row>
    <row r="37" spans="1:14" ht="15" outlineLevel="1" x14ac:dyDescent="0.25">
      <c r="A37" s="199">
        <v>44316</v>
      </c>
      <c r="B37" s="198" t="s">
        <v>107</v>
      </c>
      <c r="C37" s="196"/>
      <c r="D37" s="196">
        <f t="shared" si="0"/>
        <v>893475.39410112356</v>
      </c>
      <c r="E37" s="248">
        <f t="shared" si="6"/>
        <v>893475.39410112367</v>
      </c>
      <c r="F37" s="197">
        <f t="shared" si="10"/>
        <v>24818.760947253431</v>
      </c>
      <c r="G37" s="196">
        <f t="shared" si="8"/>
        <v>-297825.13136704121</v>
      </c>
      <c r="H37" s="248">
        <f t="shared" si="9"/>
        <v>-148912.5656835206</v>
      </c>
      <c r="I37" s="196">
        <f t="shared" si="5"/>
        <v>744562.82841760304</v>
      </c>
      <c r="J37" s="196">
        <f t="shared" si="1"/>
        <v>5211.9397989232202</v>
      </c>
      <c r="K37" s="196">
        <f t="shared" si="2"/>
        <v>-125086.55517415743</v>
      </c>
      <c r="L37" s="248">
        <f t="shared" si="7"/>
        <v>-156358.19396769672</v>
      </c>
      <c r="M37" s="195">
        <f t="shared" si="4"/>
        <v>588204.6344499063</v>
      </c>
      <c r="N37" s="194">
        <f t="shared" si="3"/>
        <v>470563.70755992486</v>
      </c>
    </row>
    <row r="38" spans="1:14" ht="15" outlineLevel="1" x14ac:dyDescent="0.25">
      <c r="A38" s="192">
        <v>44347</v>
      </c>
      <c r="B38" s="192"/>
      <c r="C38" s="188"/>
      <c r="D38" s="188">
        <f t="shared" si="0"/>
        <v>893475.39410112356</v>
      </c>
      <c r="E38" s="188">
        <f t="shared" si="6"/>
        <v>893475.39410112367</v>
      </c>
      <c r="F38" s="190">
        <f t="shared" si="10"/>
        <v>24818.760947253431</v>
      </c>
      <c r="G38" s="188">
        <f t="shared" si="8"/>
        <v>-322643.89231429464</v>
      </c>
      <c r="H38" s="188">
        <f t="shared" si="9"/>
        <v>-173731.32663077404</v>
      </c>
      <c r="I38" s="188">
        <f t="shared" si="5"/>
        <v>719744.0674703496</v>
      </c>
      <c r="J38" s="188">
        <f t="shared" si="1"/>
        <v>5211.9397989232202</v>
      </c>
      <c r="K38" s="188">
        <f t="shared" si="2"/>
        <v>-119874.61537523421</v>
      </c>
      <c r="L38" s="188">
        <f t="shared" si="7"/>
        <v>-151146.25416877351</v>
      </c>
      <c r="M38" s="187">
        <f t="shared" si="4"/>
        <v>568597.81330157607</v>
      </c>
      <c r="N38" s="186">
        <f t="shared" si="3"/>
        <v>450956.88641159475</v>
      </c>
    </row>
    <row r="39" spans="1:14" ht="15" outlineLevel="1" x14ac:dyDescent="0.25">
      <c r="A39" s="192">
        <v>44377</v>
      </c>
      <c r="B39" s="192"/>
      <c r="C39" s="188"/>
      <c r="D39" s="188">
        <f t="shared" si="0"/>
        <v>893475.39410112356</v>
      </c>
      <c r="E39" s="188">
        <f t="shared" si="6"/>
        <v>893475.39410112367</v>
      </c>
      <c r="F39" s="190">
        <f t="shared" si="10"/>
        <v>24818.760947253431</v>
      </c>
      <c r="G39" s="188">
        <f t="shared" si="8"/>
        <v>-347462.65326154808</v>
      </c>
      <c r="H39" s="188">
        <f t="shared" si="9"/>
        <v>-198550.08757802748</v>
      </c>
      <c r="I39" s="188">
        <f t="shared" si="5"/>
        <v>694925.30652309617</v>
      </c>
      <c r="J39" s="188">
        <f t="shared" si="1"/>
        <v>5211.9397989232202</v>
      </c>
      <c r="K39" s="188">
        <f t="shared" si="2"/>
        <v>-114662.67557631098</v>
      </c>
      <c r="L39" s="188">
        <f t="shared" si="7"/>
        <v>-145934.3143698503</v>
      </c>
      <c r="M39" s="187">
        <f t="shared" si="4"/>
        <v>548990.99215324584</v>
      </c>
      <c r="N39" s="193">
        <f t="shared" si="3"/>
        <v>431350.06526326446</v>
      </c>
    </row>
    <row r="40" spans="1:14" ht="15" outlineLevel="1" x14ac:dyDescent="0.25">
      <c r="A40" s="192">
        <v>44408</v>
      </c>
      <c r="B40" s="192"/>
      <c r="C40" s="188"/>
      <c r="D40" s="188">
        <f t="shared" si="0"/>
        <v>893475.39410112356</v>
      </c>
      <c r="E40" s="188">
        <f t="shared" si="6"/>
        <v>893475.39410112367</v>
      </c>
      <c r="F40" s="190">
        <f t="shared" si="10"/>
        <v>24818.760947253431</v>
      </c>
      <c r="G40" s="188">
        <f t="shared" si="8"/>
        <v>-372281.41420880152</v>
      </c>
      <c r="H40" s="188">
        <f t="shared" si="9"/>
        <v>-223368.84852528092</v>
      </c>
      <c r="I40" s="188">
        <f t="shared" si="5"/>
        <v>670106.54557584273</v>
      </c>
      <c r="J40" s="188">
        <f t="shared" si="1"/>
        <v>5211.9397989232202</v>
      </c>
      <c r="K40" s="189">
        <f t="shared" si="2"/>
        <v>-109450.73577738776</v>
      </c>
      <c r="L40" s="188">
        <f t="shared" si="7"/>
        <v>-140722.37457092709</v>
      </c>
      <c r="M40" s="187">
        <f t="shared" si="4"/>
        <v>529384.17100491561</v>
      </c>
      <c r="N40" s="193">
        <f t="shared" si="3"/>
        <v>411743.24411493429</v>
      </c>
    </row>
    <row r="41" spans="1:14" ht="15" outlineLevel="1" x14ac:dyDescent="0.25">
      <c r="A41" s="192">
        <v>44439</v>
      </c>
      <c r="B41" s="192"/>
      <c r="C41" s="188"/>
      <c r="D41" s="188">
        <f t="shared" si="0"/>
        <v>893475.39410112356</v>
      </c>
      <c r="E41" s="188">
        <f t="shared" si="6"/>
        <v>893475.39410112367</v>
      </c>
      <c r="F41" s="190">
        <f t="shared" si="10"/>
        <v>24818.760947253431</v>
      </c>
      <c r="G41" s="188">
        <f t="shared" si="8"/>
        <v>-397100.17515605496</v>
      </c>
      <c r="H41" s="188">
        <f t="shared" si="9"/>
        <v>-248187.6094725343</v>
      </c>
      <c r="I41" s="188">
        <f t="shared" si="5"/>
        <v>645287.7846285894</v>
      </c>
      <c r="J41" s="188">
        <f t="shared" si="1"/>
        <v>5211.9397989232202</v>
      </c>
      <c r="K41" s="189">
        <f t="shared" si="2"/>
        <v>-104238.79597846454</v>
      </c>
      <c r="L41" s="188">
        <f t="shared" si="7"/>
        <v>-135510.43477200388</v>
      </c>
      <c r="M41" s="187">
        <f t="shared" si="4"/>
        <v>509777.3498565855</v>
      </c>
      <c r="N41" s="193">
        <f t="shared" si="3"/>
        <v>392136.42296660406</v>
      </c>
    </row>
    <row r="42" spans="1:14" ht="15" x14ac:dyDescent="0.25">
      <c r="A42" s="192">
        <v>44469</v>
      </c>
      <c r="B42" s="192"/>
      <c r="C42" s="188"/>
      <c r="D42" s="188">
        <f t="shared" si="0"/>
        <v>893475.39410112356</v>
      </c>
      <c r="E42" s="188">
        <f t="shared" si="6"/>
        <v>893475.39410112367</v>
      </c>
      <c r="F42" s="190">
        <f t="shared" si="10"/>
        <v>24818.760947253431</v>
      </c>
      <c r="G42" s="188">
        <f t="shared" si="8"/>
        <v>-421918.9361033084</v>
      </c>
      <c r="H42" s="188">
        <f t="shared" si="9"/>
        <v>-273006.37041978777</v>
      </c>
      <c r="I42" s="188">
        <f t="shared" si="5"/>
        <v>620469.02368133585</v>
      </c>
      <c r="J42" s="188">
        <f t="shared" si="1"/>
        <v>5211.9397989232202</v>
      </c>
      <c r="K42" s="189">
        <f t="shared" si="2"/>
        <v>-99026.856179541312</v>
      </c>
      <c r="L42" s="188">
        <f t="shared" si="7"/>
        <v>-130298.49497308065</v>
      </c>
      <c r="M42" s="187">
        <f t="shared" si="4"/>
        <v>490170.52870825521</v>
      </c>
      <c r="N42" s="186">
        <f t="shared" si="3"/>
        <v>372529.60181827383</v>
      </c>
    </row>
    <row r="43" spans="1:14" ht="15" x14ac:dyDescent="0.25">
      <c r="A43" s="192">
        <v>44500</v>
      </c>
      <c r="B43" s="192"/>
      <c r="C43" s="188"/>
      <c r="D43" s="188">
        <f t="shared" si="0"/>
        <v>893475.39410112356</v>
      </c>
      <c r="E43" s="188">
        <f t="shared" si="6"/>
        <v>893475.39410112367</v>
      </c>
      <c r="F43" s="190">
        <f t="shared" si="10"/>
        <v>24818.760947253431</v>
      </c>
      <c r="G43" s="188">
        <f t="shared" si="8"/>
        <v>-446737.69705056184</v>
      </c>
      <c r="H43" s="188">
        <f t="shared" si="9"/>
        <v>-297825.13136704126</v>
      </c>
      <c r="I43" s="188">
        <f t="shared" si="5"/>
        <v>595650.26273408241</v>
      </c>
      <c r="J43" s="188">
        <f t="shared" si="1"/>
        <v>5211.9397989232202</v>
      </c>
      <c r="K43" s="189">
        <f t="shared" si="2"/>
        <v>-93814.916380618088</v>
      </c>
      <c r="L43" s="188">
        <f t="shared" si="7"/>
        <v>-125086.55517415743</v>
      </c>
      <c r="M43" s="187">
        <f t="shared" si="4"/>
        <v>470563.70755992498</v>
      </c>
      <c r="N43" s="193">
        <f t="shared" si="3"/>
        <v>352922.78066994366</v>
      </c>
    </row>
    <row r="44" spans="1:14" ht="15" x14ac:dyDescent="0.25">
      <c r="A44" s="192">
        <v>44530</v>
      </c>
      <c r="B44" s="192"/>
      <c r="C44" s="190"/>
      <c r="D44" s="188">
        <f t="shared" si="0"/>
        <v>893475.39410112356</v>
      </c>
      <c r="E44" s="188">
        <f t="shared" si="6"/>
        <v>893475.39410112367</v>
      </c>
      <c r="F44" s="190">
        <f t="shared" si="10"/>
        <v>24818.760947253431</v>
      </c>
      <c r="G44" s="188">
        <f t="shared" si="8"/>
        <v>-471556.45799781528</v>
      </c>
      <c r="H44" s="188">
        <f t="shared" si="9"/>
        <v>-322643.89231429464</v>
      </c>
      <c r="I44" s="188">
        <f t="shared" si="5"/>
        <v>570831.50178682897</v>
      </c>
      <c r="J44" s="188">
        <f t="shared" si="1"/>
        <v>5211.9397989232202</v>
      </c>
      <c r="K44" s="189">
        <f t="shared" si="2"/>
        <v>-88602.976581694864</v>
      </c>
      <c r="L44" s="188">
        <f t="shared" si="7"/>
        <v>-119874.61537523418</v>
      </c>
      <c r="M44" s="187">
        <f t="shared" si="4"/>
        <v>450956.88641159481</v>
      </c>
      <c r="N44" s="193">
        <f t="shared" si="3"/>
        <v>333315.95952161343</v>
      </c>
    </row>
    <row r="45" spans="1:14" ht="15" outlineLevel="1" x14ac:dyDescent="0.25">
      <c r="A45" s="192">
        <v>44561</v>
      </c>
      <c r="B45" s="192"/>
      <c r="C45" s="190"/>
      <c r="D45" s="188">
        <f t="shared" si="0"/>
        <v>893475.39410112356</v>
      </c>
      <c r="E45" s="188">
        <f t="shared" si="6"/>
        <v>893475.39410112367</v>
      </c>
      <c r="F45" s="190">
        <f t="shared" si="10"/>
        <v>24818.760947253431</v>
      </c>
      <c r="G45" s="188">
        <f t="shared" si="8"/>
        <v>-496375.21894506871</v>
      </c>
      <c r="H45" s="188">
        <f t="shared" si="9"/>
        <v>-347462.65326154808</v>
      </c>
      <c r="I45" s="188">
        <f t="shared" si="5"/>
        <v>546012.74083957565</v>
      </c>
      <c r="J45" s="188">
        <f t="shared" si="1"/>
        <v>5211.9397989232202</v>
      </c>
      <c r="K45" s="189">
        <f t="shared" si="2"/>
        <v>-83391.03678277164</v>
      </c>
      <c r="L45" s="188">
        <f t="shared" si="7"/>
        <v>-114662.67557631095</v>
      </c>
      <c r="M45" s="187">
        <f t="shared" si="4"/>
        <v>431350.0652632647</v>
      </c>
      <c r="N45" s="193">
        <f t="shared" si="3"/>
        <v>313709.1383732832</v>
      </c>
    </row>
    <row r="46" spans="1:14" ht="15" outlineLevel="1" x14ac:dyDescent="0.25">
      <c r="A46" s="192">
        <v>44592</v>
      </c>
      <c r="B46" s="192"/>
      <c r="C46" s="190"/>
      <c r="D46" s="188">
        <f t="shared" si="0"/>
        <v>893475.39410112356</v>
      </c>
      <c r="E46" s="188">
        <f t="shared" si="6"/>
        <v>893475.39410112367</v>
      </c>
      <c r="F46" s="190">
        <f t="shared" si="10"/>
        <v>24818.760947253431</v>
      </c>
      <c r="G46" s="188">
        <f t="shared" si="8"/>
        <v>-521193.97989232215</v>
      </c>
      <c r="H46" s="188">
        <f t="shared" si="9"/>
        <v>-372281.41420880152</v>
      </c>
      <c r="I46" s="188">
        <f t="shared" si="5"/>
        <v>521193.97989232215</v>
      </c>
      <c r="J46" s="188">
        <f t="shared" si="1"/>
        <v>5211.9397989232202</v>
      </c>
      <c r="K46" s="189">
        <f t="shared" si="2"/>
        <v>-78179.096983848416</v>
      </c>
      <c r="L46" s="188">
        <f t="shared" si="7"/>
        <v>-109450.73577738774</v>
      </c>
      <c r="M46" s="187">
        <f t="shared" si="4"/>
        <v>411743.24411493441</v>
      </c>
      <c r="N46" s="193">
        <f t="shared" si="3"/>
        <v>294102.31722495297</v>
      </c>
    </row>
    <row r="47" spans="1:14" ht="15" outlineLevel="1" x14ac:dyDescent="0.25">
      <c r="A47" s="192">
        <v>44620</v>
      </c>
      <c r="B47" s="192"/>
      <c r="C47" s="190"/>
      <c r="D47" s="188">
        <f t="shared" si="0"/>
        <v>893475.39410112356</v>
      </c>
      <c r="E47" s="188">
        <f t="shared" si="6"/>
        <v>893475.39410112367</v>
      </c>
      <c r="F47" s="190">
        <f t="shared" si="10"/>
        <v>24818.760947253431</v>
      </c>
      <c r="G47" s="188">
        <f t="shared" si="8"/>
        <v>-546012.74083957553</v>
      </c>
      <c r="H47" s="188">
        <f t="shared" si="9"/>
        <v>-397100.17515605496</v>
      </c>
      <c r="I47" s="188">
        <f t="shared" si="5"/>
        <v>496375.21894506871</v>
      </c>
      <c r="J47" s="188">
        <f t="shared" si="1"/>
        <v>5211.9397989232202</v>
      </c>
      <c r="K47" s="189">
        <f t="shared" si="2"/>
        <v>-72967.157184925192</v>
      </c>
      <c r="L47" s="188">
        <f t="shared" si="7"/>
        <v>-104238.79597846454</v>
      </c>
      <c r="M47" s="187">
        <f t="shared" si="4"/>
        <v>392136.42296660418</v>
      </c>
      <c r="N47" s="193">
        <f t="shared" si="3"/>
        <v>274495.49607662286</v>
      </c>
    </row>
    <row r="48" spans="1:14" ht="15" outlineLevel="1" x14ac:dyDescent="0.25">
      <c r="A48" s="192">
        <v>44651</v>
      </c>
      <c r="B48" s="192"/>
      <c r="C48" s="190"/>
      <c r="D48" s="188">
        <f t="shared" si="0"/>
        <v>893475.39410112356</v>
      </c>
      <c r="E48" s="188">
        <f t="shared" si="6"/>
        <v>893475.39410112367</v>
      </c>
      <c r="F48" s="190">
        <f t="shared" si="10"/>
        <v>24818.760947253431</v>
      </c>
      <c r="G48" s="188">
        <f t="shared" si="8"/>
        <v>-570831.50178682897</v>
      </c>
      <c r="H48" s="188">
        <f t="shared" si="9"/>
        <v>-421918.9361033084</v>
      </c>
      <c r="I48" s="188">
        <f t="shared" si="5"/>
        <v>471556.45799781528</v>
      </c>
      <c r="J48" s="188">
        <f t="shared" si="1"/>
        <v>5211.9397989232202</v>
      </c>
      <c r="K48" s="189">
        <f t="shared" si="2"/>
        <v>-67755.217386001968</v>
      </c>
      <c r="L48" s="188">
        <f t="shared" si="7"/>
        <v>-99026.856179541312</v>
      </c>
      <c r="M48" s="187">
        <f t="shared" si="4"/>
        <v>372529.60181827395</v>
      </c>
      <c r="N48" s="186">
        <f t="shared" si="3"/>
        <v>254888.67492829263</v>
      </c>
    </row>
    <row r="49" spans="1:14" ht="15" outlineLevel="1" x14ac:dyDescent="0.25">
      <c r="A49" s="192">
        <v>44681</v>
      </c>
      <c r="B49" s="192"/>
      <c r="C49" s="190"/>
      <c r="D49" s="188">
        <f t="shared" si="0"/>
        <v>893475.39410112356</v>
      </c>
      <c r="E49" s="188">
        <f t="shared" si="6"/>
        <v>893475.39410112367</v>
      </c>
      <c r="F49" s="190">
        <f t="shared" si="10"/>
        <v>24818.760947253431</v>
      </c>
      <c r="G49" s="188">
        <f t="shared" si="8"/>
        <v>-595650.26273408241</v>
      </c>
      <c r="H49" s="188">
        <f t="shared" si="9"/>
        <v>-446737.6970505619</v>
      </c>
      <c r="I49" s="188">
        <f t="shared" si="5"/>
        <v>446737.69705056178</v>
      </c>
      <c r="J49" s="188">
        <f t="shared" si="1"/>
        <v>5211.9397989232202</v>
      </c>
      <c r="K49" s="189">
        <f t="shared" si="2"/>
        <v>-62543.277587078745</v>
      </c>
      <c r="L49" s="188">
        <f t="shared" si="7"/>
        <v>-93814.916380618073</v>
      </c>
      <c r="M49" s="187">
        <f t="shared" si="4"/>
        <v>352922.78066994372</v>
      </c>
      <c r="N49" s="193">
        <f t="shared" si="3"/>
        <v>235281.8537799624</v>
      </c>
    </row>
    <row r="50" spans="1:14" ht="15" outlineLevel="1" x14ac:dyDescent="0.25">
      <c r="A50" s="192">
        <v>44712</v>
      </c>
      <c r="B50" s="192"/>
      <c r="C50" s="190"/>
      <c r="D50" s="188">
        <f t="shared" si="0"/>
        <v>893475.39410112356</v>
      </c>
      <c r="E50" s="188">
        <f t="shared" si="6"/>
        <v>893475.39410112367</v>
      </c>
      <c r="F50" s="190">
        <f t="shared" si="10"/>
        <v>24818.760947253431</v>
      </c>
      <c r="G50" s="188">
        <f t="shared" si="8"/>
        <v>-620469.02368133585</v>
      </c>
      <c r="H50" s="188">
        <f t="shared" si="9"/>
        <v>-471556.45799781522</v>
      </c>
      <c r="I50" s="188">
        <f t="shared" si="5"/>
        <v>421918.93610330846</v>
      </c>
      <c r="J50" s="188">
        <f t="shared" si="1"/>
        <v>5211.9397989232202</v>
      </c>
      <c r="K50" s="189">
        <f t="shared" si="2"/>
        <v>-57331.337788155521</v>
      </c>
      <c r="L50" s="188">
        <f t="shared" si="7"/>
        <v>-88602.976581694849</v>
      </c>
      <c r="M50" s="187">
        <f t="shared" si="4"/>
        <v>333315.95952161361</v>
      </c>
      <c r="N50" s="193">
        <f t="shared" si="3"/>
        <v>215675.03263163217</v>
      </c>
    </row>
    <row r="51" spans="1:14" ht="15" outlineLevel="1" x14ac:dyDescent="0.25">
      <c r="A51" s="192">
        <v>44742</v>
      </c>
      <c r="B51" s="192"/>
      <c r="C51" s="190"/>
      <c r="D51" s="188">
        <f t="shared" si="0"/>
        <v>893475.39410112356</v>
      </c>
      <c r="E51" s="188">
        <f t="shared" si="6"/>
        <v>893475.39410112367</v>
      </c>
      <c r="F51" s="190">
        <f t="shared" si="10"/>
        <v>24818.760947253431</v>
      </c>
      <c r="G51" s="188">
        <f t="shared" si="8"/>
        <v>-645287.78462858929</v>
      </c>
      <c r="H51" s="188">
        <f t="shared" si="9"/>
        <v>-496375.21894506871</v>
      </c>
      <c r="I51" s="188">
        <f t="shared" si="5"/>
        <v>397100.17515605496</v>
      </c>
      <c r="J51" s="188">
        <f t="shared" si="1"/>
        <v>5211.9397989232202</v>
      </c>
      <c r="K51" s="189">
        <f t="shared" si="2"/>
        <v>-52119.397989232297</v>
      </c>
      <c r="L51" s="188">
        <f t="shared" si="7"/>
        <v>-83391.03678277164</v>
      </c>
      <c r="M51" s="187">
        <f t="shared" si="4"/>
        <v>313709.13837328332</v>
      </c>
      <c r="N51" s="186">
        <f t="shared" si="3"/>
        <v>196068.21148330197</v>
      </c>
    </row>
    <row r="52" spans="1:14" ht="15" outlineLevel="1" x14ac:dyDescent="0.25">
      <c r="A52" s="192">
        <v>44773</v>
      </c>
      <c r="B52" s="191"/>
      <c r="C52" s="191"/>
      <c r="D52" s="188">
        <f t="shared" si="0"/>
        <v>893475.39410112356</v>
      </c>
      <c r="E52" s="188">
        <f t="shared" si="6"/>
        <v>893475.39410112367</v>
      </c>
      <c r="F52" s="190">
        <f t="shared" si="10"/>
        <v>24818.760947253431</v>
      </c>
      <c r="G52" s="188">
        <f t="shared" si="8"/>
        <v>-670106.54557584273</v>
      </c>
      <c r="H52" s="188">
        <f t="shared" si="9"/>
        <v>-521193.97989232215</v>
      </c>
      <c r="I52" s="188">
        <f t="shared" si="5"/>
        <v>372281.41420880152</v>
      </c>
      <c r="J52" s="188">
        <f t="shared" si="1"/>
        <v>5211.9397989232202</v>
      </c>
      <c r="K52" s="189">
        <f t="shared" si="2"/>
        <v>-46907.458190309073</v>
      </c>
      <c r="L52" s="188">
        <f t="shared" si="7"/>
        <v>-78179.096983848416</v>
      </c>
      <c r="M52" s="187">
        <f t="shared" si="4"/>
        <v>294102.31722495309</v>
      </c>
      <c r="N52" s="186">
        <f t="shared" si="3"/>
        <v>176461.39033497177</v>
      </c>
    </row>
    <row r="53" spans="1:14" ht="15" outlineLevel="1" x14ac:dyDescent="0.25">
      <c r="A53" s="192">
        <v>44804</v>
      </c>
      <c r="B53" s="191"/>
      <c r="C53" s="191"/>
      <c r="D53" s="188">
        <f t="shared" si="0"/>
        <v>893475.39410112356</v>
      </c>
      <c r="E53" s="188">
        <f t="shared" si="6"/>
        <v>893475.39410112367</v>
      </c>
      <c r="F53" s="190">
        <f t="shared" si="10"/>
        <v>24818.760947253431</v>
      </c>
      <c r="G53" s="188">
        <f t="shared" si="8"/>
        <v>-694925.30652309617</v>
      </c>
      <c r="H53" s="188">
        <f t="shared" si="9"/>
        <v>-546012.74083957565</v>
      </c>
      <c r="I53" s="188">
        <f t="shared" si="5"/>
        <v>347462.65326154802</v>
      </c>
      <c r="J53" s="188">
        <f t="shared" si="1"/>
        <v>5211.9397989232202</v>
      </c>
      <c r="K53" s="189">
        <f t="shared" si="2"/>
        <v>-41695.518391385849</v>
      </c>
      <c r="L53" s="188">
        <f t="shared" si="7"/>
        <v>-72967.157184925192</v>
      </c>
      <c r="M53" s="187">
        <f t="shared" si="4"/>
        <v>274495.49607662286</v>
      </c>
      <c r="N53" s="186">
        <f t="shared" si="3"/>
        <v>156854.56918664154</v>
      </c>
    </row>
    <row r="54" spans="1:14" ht="15" outlineLevel="1" x14ac:dyDescent="0.25">
      <c r="A54" s="192">
        <v>44834</v>
      </c>
      <c r="B54" s="191"/>
      <c r="C54" s="191"/>
      <c r="D54" s="188">
        <f t="shared" si="0"/>
        <v>893475.39410112356</v>
      </c>
      <c r="E54" s="188">
        <f t="shared" si="6"/>
        <v>893475.39410112367</v>
      </c>
      <c r="F54" s="190">
        <f t="shared" si="10"/>
        <v>24818.760947253431</v>
      </c>
      <c r="G54" s="188">
        <f t="shared" si="8"/>
        <v>-719744.0674703496</v>
      </c>
      <c r="H54" s="188">
        <f t="shared" si="9"/>
        <v>-570831.50178682909</v>
      </c>
      <c r="I54" s="188">
        <f t="shared" si="5"/>
        <v>322643.89231429459</v>
      </c>
      <c r="J54" s="188">
        <f t="shared" si="1"/>
        <v>5211.9397989232202</v>
      </c>
      <c r="K54" s="189">
        <f t="shared" si="2"/>
        <v>-36483.578592462625</v>
      </c>
      <c r="L54" s="188">
        <f t="shared" si="7"/>
        <v>-67755.217386001968</v>
      </c>
      <c r="M54" s="187">
        <f t="shared" si="4"/>
        <v>254888.67492829263</v>
      </c>
      <c r="N54" s="186">
        <f t="shared" si="3"/>
        <v>137247.74803831131</v>
      </c>
    </row>
    <row r="55" spans="1:14" ht="15" outlineLevel="1" x14ac:dyDescent="0.25">
      <c r="A55" s="192">
        <v>44865</v>
      </c>
      <c r="B55" s="191"/>
      <c r="C55" s="191"/>
      <c r="D55" s="188">
        <f t="shared" si="0"/>
        <v>893475.39410112356</v>
      </c>
      <c r="E55" s="188">
        <f t="shared" si="6"/>
        <v>893475.39410112367</v>
      </c>
      <c r="F55" s="190">
        <f t="shared" si="10"/>
        <v>24818.760947253431</v>
      </c>
      <c r="G55" s="188">
        <f t="shared" si="8"/>
        <v>-744562.82841760304</v>
      </c>
      <c r="H55" s="188">
        <f t="shared" si="9"/>
        <v>-595650.26273408241</v>
      </c>
      <c r="I55" s="188">
        <f t="shared" si="5"/>
        <v>297825.13136704126</v>
      </c>
      <c r="J55" s="188">
        <f t="shared" si="1"/>
        <v>5211.9397989232202</v>
      </c>
      <c r="K55" s="189">
        <f t="shared" si="2"/>
        <v>-31271.638793539405</v>
      </c>
      <c r="L55" s="188">
        <f t="shared" si="7"/>
        <v>-62543.277587078752</v>
      </c>
      <c r="M55" s="187">
        <f t="shared" si="4"/>
        <v>235281.85377996252</v>
      </c>
      <c r="N55" s="186">
        <f t="shared" si="3"/>
        <v>117640.92688998111</v>
      </c>
    </row>
    <row r="56" spans="1:14" ht="15" outlineLevel="1" x14ac:dyDescent="0.25">
      <c r="A56" s="192">
        <v>44895</v>
      </c>
      <c r="B56" s="191"/>
      <c r="C56" s="191"/>
      <c r="D56" s="188">
        <f t="shared" si="0"/>
        <v>893475.39410112356</v>
      </c>
      <c r="E56" s="188">
        <f t="shared" si="6"/>
        <v>893475.39410112367</v>
      </c>
      <c r="F56" s="190">
        <f t="shared" si="10"/>
        <v>24818.760947253431</v>
      </c>
      <c r="G56" s="188">
        <f t="shared" si="8"/>
        <v>-769381.58936485648</v>
      </c>
      <c r="H56" s="188">
        <f t="shared" si="9"/>
        <v>-620469.02368133585</v>
      </c>
      <c r="I56" s="188">
        <f t="shared" si="5"/>
        <v>273006.37041978783</v>
      </c>
      <c r="J56" s="188">
        <f t="shared" si="1"/>
        <v>5211.9397989232202</v>
      </c>
      <c r="K56" s="189">
        <f t="shared" si="2"/>
        <v>-26059.698994616185</v>
      </c>
      <c r="L56" s="188">
        <f t="shared" si="7"/>
        <v>-57331.337788155513</v>
      </c>
      <c r="M56" s="187">
        <f t="shared" si="4"/>
        <v>215675.03263163232</v>
      </c>
      <c r="N56" s="186">
        <f t="shared" si="3"/>
        <v>98034.105741650885</v>
      </c>
    </row>
    <row r="57" spans="1:14" ht="15" outlineLevel="1" x14ac:dyDescent="0.25">
      <c r="A57" s="192">
        <v>44926</v>
      </c>
      <c r="B57" s="191"/>
      <c r="C57" s="191"/>
      <c r="D57" s="188">
        <f t="shared" si="0"/>
        <v>893475.39410112356</v>
      </c>
      <c r="E57" s="188">
        <f t="shared" si="6"/>
        <v>893475.39410112367</v>
      </c>
      <c r="F57" s="190">
        <f t="shared" si="10"/>
        <v>24818.760947253431</v>
      </c>
      <c r="G57" s="188">
        <f t="shared" si="8"/>
        <v>-794200.35031210992</v>
      </c>
      <c r="H57" s="188">
        <f t="shared" si="9"/>
        <v>-645287.78462858929</v>
      </c>
      <c r="I57" s="188">
        <f t="shared" si="5"/>
        <v>248187.60947253439</v>
      </c>
      <c r="J57" s="188">
        <f t="shared" si="1"/>
        <v>5211.9397989232202</v>
      </c>
      <c r="K57" s="189">
        <f t="shared" si="2"/>
        <v>-20847.759195692965</v>
      </c>
      <c r="L57" s="188">
        <f t="shared" si="7"/>
        <v>-52119.397989232297</v>
      </c>
      <c r="M57" s="187">
        <f t="shared" si="4"/>
        <v>196068.21148330209</v>
      </c>
      <c r="N57" s="186">
        <f t="shared" si="3"/>
        <v>78427.28459332067</v>
      </c>
    </row>
    <row r="58" spans="1:14" ht="15" outlineLevel="1" x14ac:dyDescent="0.25">
      <c r="A58" s="192">
        <v>44957</v>
      </c>
      <c r="B58" s="191"/>
      <c r="C58" s="191"/>
      <c r="D58" s="188">
        <f t="shared" si="0"/>
        <v>893475.39410112356</v>
      </c>
      <c r="E58" s="188">
        <f t="shared" si="6"/>
        <v>893475.39410112367</v>
      </c>
      <c r="F58" s="190">
        <f t="shared" si="10"/>
        <v>24818.760947253431</v>
      </c>
      <c r="G58" s="188">
        <f t="shared" si="8"/>
        <v>-819019.11125936336</v>
      </c>
      <c r="H58" s="188">
        <f t="shared" si="9"/>
        <v>-670106.54557584273</v>
      </c>
      <c r="I58" s="188">
        <f t="shared" si="5"/>
        <v>223368.84852528095</v>
      </c>
      <c r="J58" s="188">
        <f t="shared" si="1"/>
        <v>5211.9397989232202</v>
      </c>
      <c r="K58" s="189">
        <f t="shared" si="2"/>
        <v>-15635.819396769744</v>
      </c>
      <c r="L58" s="188">
        <f t="shared" si="7"/>
        <v>-46907.45819030908</v>
      </c>
      <c r="M58" s="187">
        <f t="shared" si="4"/>
        <v>176461.39033497186</v>
      </c>
      <c r="N58" s="186">
        <f t="shared" si="3"/>
        <v>58820.463444990455</v>
      </c>
    </row>
    <row r="59" spans="1:14" ht="15" outlineLevel="1" x14ac:dyDescent="0.25">
      <c r="A59" s="192">
        <v>44985</v>
      </c>
      <c r="B59" s="191"/>
      <c r="C59" s="191"/>
      <c r="D59" s="188">
        <f t="shared" si="0"/>
        <v>893475.39410112356</v>
      </c>
      <c r="E59" s="188">
        <f t="shared" si="6"/>
        <v>893475.39410112367</v>
      </c>
      <c r="F59" s="190">
        <f t="shared" si="10"/>
        <v>24818.760947253431</v>
      </c>
      <c r="G59" s="188">
        <f t="shared" si="8"/>
        <v>-843837.8722066168</v>
      </c>
      <c r="H59" s="188">
        <f t="shared" si="9"/>
        <v>-694925.30652309617</v>
      </c>
      <c r="I59" s="188">
        <f t="shared" si="5"/>
        <v>198550.08757802751</v>
      </c>
      <c r="J59" s="188">
        <f t="shared" si="1"/>
        <v>5211.9397989232202</v>
      </c>
      <c r="K59" s="189">
        <f t="shared" si="2"/>
        <v>-10423.879597846524</v>
      </c>
      <c r="L59" s="188">
        <f t="shared" si="7"/>
        <v>-41695.518391385856</v>
      </c>
      <c r="M59" s="187">
        <f t="shared" si="4"/>
        <v>156854.56918664166</v>
      </c>
      <c r="N59" s="186">
        <f t="shared" si="3"/>
        <v>39213.64229666024</v>
      </c>
    </row>
    <row r="60" spans="1:14" ht="15" outlineLevel="1" x14ac:dyDescent="0.25">
      <c r="A60" s="192">
        <v>45016</v>
      </c>
      <c r="B60" s="191"/>
      <c r="C60" s="191"/>
      <c r="D60" s="188">
        <f t="shared" si="0"/>
        <v>893475.39410112356</v>
      </c>
      <c r="E60" s="188">
        <f t="shared" si="6"/>
        <v>893475.39410112367</v>
      </c>
      <c r="F60" s="190">
        <f t="shared" si="10"/>
        <v>24818.760947253431</v>
      </c>
      <c r="G60" s="188">
        <f t="shared" si="8"/>
        <v>-868656.63315387024</v>
      </c>
      <c r="H60" s="188">
        <f t="shared" si="9"/>
        <v>-719744.06747034972</v>
      </c>
      <c r="I60" s="188">
        <f t="shared" si="5"/>
        <v>173731.32663077395</v>
      </c>
      <c r="J60" s="188">
        <f t="shared" si="1"/>
        <v>5211.9397989232202</v>
      </c>
      <c r="K60" s="189">
        <f t="shared" si="2"/>
        <v>-5211.9397989233039</v>
      </c>
      <c r="L60" s="188">
        <f t="shared" si="7"/>
        <v>-36483.578592462633</v>
      </c>
      <c r="M60" s="187">
        <f t="shared" si="4"/>
        <v>137247.74803831131</v>
      </c>
      <c r="N60" s="186">
        <f t="shared" si="3"/>
        <v>19606.821148330018</v>
      </c>
    </row>
    <row r="61" spans="1:14" ht="15" outlineLevel="1" x14ac:dyDescent="0.25">
      <c r="A61" s="192">
        <v>45046</v>
      </c>
      <c r="B61" s="191"/>
      <c r="C61" s="191"/>
      <c r="D61" s="188">
        <f t="shared" si="0"/>
        <v>893475.39410112356</v>
      </c>
      <c r="E61" s="188">
        <f t="shared" si="6"/>
        <v>893475.39410112367</v>
      </c>
      <c r="F61" s="190">
        <f t="shared" si="10"/>
        <v>24818.760947253431</v>
      </c>
      <c r="G61" s="188">
        <f t="shared" si="8"/>
        <v>-893475.39410112367</v>
      </c>
      <c r="H61" s="188">
        <f t="shared" si="9"/>
        <v>-744562.82841760304</v>
      </c>
      <c r="I61" s="188">
        <f t="shared" si="5"/>
        <v>148912.56568352063</v>
      </c>
      <c r="J61" s="188">
        <f t="shared" si="1"/>
        <v>5211.9397989232202</v>
      </c>
      <c r="K61" s="189">
        <f t="shared" si="2"/>
        <v>-8.3673512563109398E-11</v>
      </c>
      <c r="L61" s="188">
        <f t="shared" si="7"/>
        <v>-31271.638793539412</v>
      </c>
      <c r="M61" s="187">
        <f t="shared" si="4"/>
        <v>117640.92688998122</v>
      </c>
      <c r="N61" s="186">
        <f t="shared" si="3"/>
        <v>-2.0008883439004421E-10</v>
      </c>
    </row>
    <row r="62" spans="1:14" ht="15" outlineLevel="1" x14ac:dyDescent="0.25">
      <c r="A62" s="192"/>
      <c r="B62" s="191"/>
      <c r="C62" s="191"/>
      <c r="D62" s="188"/>
      <c r="E62" s="188"/>
      <c r="F62" s="190"/>
      <c r="G62" s="188"/>
      <c r="H62" s="188"/>
      <c r="I62" s="188"/>
      <c r="J62" s="188"/>
      <c r="K62" s="189"/>
      <c r="L62" s="188"/>
      <c r="M62" s="187"/>
      <c r="N62" s="186"/>
    </row>
    <row r="63" spans="1:14" ht="15" x14ac:dyDescent="0.25">
      <c r="A63" s="184"/>
      <c r="B63" s="184"/>
      <c r="C63" s="184"/>
      <c r="D63" s="184"/>
      <c r="E63" s="184"/>
      <c r="F63" s="185"/>
      <c r="G63" s="184"/>
      <c r="H63" s="184"/>
      <c r="I63" s="184"/>
      <c r="J63" s="184"/>
      <c r="K63" s="184"/>
      <c r="L63" s="184"/>
      <c r="M63" s="183"/>
      <c r="N63" s="182"/>
    </row>
    <row r="64" spans="1:14" ht="15" x14ac:dyDescent="0.25">
      <c r="A64" s="181"/>
      <c r="B64" s="181"/>
      <c r="C64" s="181"/>
      <c r="D64" s="181"/>
      <c r="E64" s="181"/>
      <c r="F64" s="177"/>
      <c r="G64" s="181"/>
      <c r="H64" s="181"/>
      <c r="I64" s="181"/>
      <c r="J64" s="181"/>
      <c r="K64" s="181"/>
      <c r="L64" s="181"/>
      <c r="M64" s="181"/>
      <c r="N64" s="181"/>
    </row>
    <row r="65" spans="1:13" ht="12.75" x14ac:dyDescent="0.2">
      <c r="A65" s="179"/>
      <c r="B65" s="180"/>
      <c r="C65" s="178"/>
      <c r="D65" s="178"/>
      <c r="E65" s="176"/>
      <c r="F65" s="178"/>
      <c r="G65" s="176"/>
      <c r="H65" s="176"/>
      <c r="I65" s="176"/>
      <c r="J65" s="176"/>
      <c r="K65" s="176"/>
      <c r="L65" s="176"/>
      <c r="M65" s="176"/>
    </row>
    <row r="66" spans="1:13" ht="12.75" x14ac:dyDescent="0.2">
      <c r="A66" s="179"/>
      <c r="B66" s="178"/>
      <c r="C66" s="178"/>
      <c r="D66" s="178"/>
      <c r="E66" s="176"/>
      <c r="F66" s="178"/>
      <c r="G66" s="176"/>
      <c r="H66" s="176"/>
      <c r="I66" s="176"/>
      <c r="J66" s="176"/>
      <c r="K66" s="176"/>
      <c r="L66" s="176"/>
      <c r="M66" s="176"/>
    </row>
    <row r="67" spans="1:13" ht="15" x14ac:dyDescent="0.25">
      <c r="C67" s="176"/>
      <c r="D67" s="176"/>
      <c r="E67" s="176"/>
      <c r="F67" s="177"/>
      <c r="G67" s="176"/>
      <c r="H67" s="176"/>
      <c r="I67" s="176"/>
      <c r="J67" s="176"/>
      <c r="K67" s="176"/>
      <c r="L67" s="176"/>
      <c r="M67" s="176"/>
    </row>
    <row r="68" spans="1:13" ht="15" x14ac:dyDescent="0.25">
      <c r="C68" s="176"/>
      <c r="D68" s="176"/>
      <c r="E68" s="176"/>
      <c r="F68" s="177"/>
      <c r="G68" s="176"/>
      <c r="H68" s="176"/>
      <c r="I68" s="176"/>
      <c r="J68" s="176"/>
      <c r="K68" s="176"/>
      <c r="L68" s="176"/>
      <c r="M68" s="176"/>
    </row>
    <row r="69" spans="1:13" ht="15" x14ac:dyDescent="0.25">
      <c r="C69" s="176"/>
      <c r="D69" s="176"/>
      <c r="E69" s="176"/>
      <c r="F69" s="177"/>
      <c r="G69" s="176"/>
      <c r="H69" s="176"/>
      <c r="I69" s="176"/>
      <c r="J69" s="176"/>
      <c r="K69" s="176"/>
      <c r="L69" s="176"/>
      <c r="M69" s="176"/>
    </row>
    <row r="70" spans="1:13" ht="15" x14ac:dyDescent="0.25">
      <c r="C70" s="176"/>
      <c r="D70" s="176"/>
      <c r="E70" s="176"/>
      <c r="F70" s="177"/>
      <c r="G70" s="176"/>
      <c r="H70" s="176"/>
      <c r="I70" s="176"/>
      <c r="J70" s="176"/>
      <c r="K70" s="176"/>
      <c r="L70" s="176"/>
      <c r="M70" s="176"/>
    </row>
    <row r="71" spans="1:13" ht="15" x14ac:dyDescent="0.25">
      <c r="C71" s="176"/>
      <c r="D71" s="176"/>
      <c r="E71" s="176"/>
      <c r="F71" s="177"/>
      <c r="G71" s="176"/>
      <c r="H71" s="176"/>
      <c r="I71" s="176"/>
      <c r="J71" s="176"/>
      <c r="K71" s="176"/>
      <c r="L71" s="176"/>
      <c r="M71" s="176"/>
    </row>
    <row r="72" spans="1:13" ht="15" x14ac:dyDescent="0.25">
      <c r="C72" s="176"/>
      <c r="D72" s="176"/>
      <c r="E72" s="176"/>
      <c r="F72" s="177"/>
      <c r="G72" s="176"/>
      <c r="H72" s="176"/>
      <c r="I72" s="176"/>
      <c r="J72" s="176"/>
      <c r="K72" s="176"/>
      <c r="L72" s="176"/>
      <c r="M72" s="176"/>
    </row>
    <row r="73" spans="1:13" ht="15" x14ac:dyDescent="0.25">
      <c r="C73" s="176"/>
      <c r="D73" s="176"/>
      <c r="E73" s="176"/>
      <c r="F73" s="177"/>
      <c r="G73" s="176"/>
      <c r="H73" s="176"/>
      <c r="I73" s="176"/>
      <c r="J73" s="176"/>
      <c r="K73" s="176"/>
      <c r="L73" s="176"/>
      <c r="M73" s="176"/>
    </row>
    <row r="74" spans="1:13" ht="15" x14ac:dyDescent="0.25">
      <c r="C74" s="176"/>
      <c r="D74" s="176"/>
      <c r="E74" s="176"/>
      <c r="F74" s="177"/>
      <c r="G74" s="176"/>
      <c r="H74" s="176"/>
      <c r="I74" s="176"/>
      <c r="J74" s="176"/>
      <c r="K74" s="176"/>
      <c r="L74" s="176"/>
      <c r="M74" s="176"/>
    </row>
    <row r="75" spans="1:13" ht="15" x14ac:dyDescent="0.25">
      <c r="C75" s="176"/>
      <c r="D75" s="176"/>
      <c r="E75" s="176"/>
      <c r="F75" s="177"/>
      <c r="G75" s="176"/>
      <c r="H75" s="176"/>
      <c r="I75" s="176"/>
      <c r="J75" s="176"/>
      <c r="K75" s="176"/>
      <c r="L75" s="176"/>
      <c r="M75" s="176"/>
    </row>
    <row r="76" spans="1:13" ht="15" x14ac:dyDescent="0.25">
      <c r="C76" s="176"/>
      <c r="D76" s="176"/>
      <c r="E76" s="176"/>
      <c r="F76" s="177"/>
      <c r="G76" s="176"/>
      <c r="H76" s="176"/>
      <c r="I76" s="176"/>
      <c r="J76" s="176"/>
      <c r="K76" s="176"/>
      <c r="L76" s="176"/>
      <c r="M76" s="176"/>
    </row>
    <row r="77" spans="1:13" ht="15" x14ac:dyDescent="0.25">
      <c r="C77" s="176"/>
      <c r="D77" s="176"/>
      <c r="E77" s="176"/>
      <c r="F77" s="177"/>
      <c r="G77" s="176"/>
      <c r="H77" s="176"/>
      <c r="I77" s="176"/>
      <c r="J77" s="176"/>
      <c r="K77" s="176"/>
      <c r="L77" s="176"/>
      <c r="M77" s="176"/>
    </row>
    <row r="78" spans="1:13" ht="15" x14ac:dyDescent="0.25">
      <c r="C78" s="176"/>
      <c r="D78" s="176"/>
      <c r="E78" s="176"/>
      <c r="F78" s="177"/>
      <c r="G78" s="176"/>
      <c r="H78" s="176"/>
      <c r="I78" s="176"/>
      <c r="J78" s="176"/>
      <c r="K78" s="176"/>
      <c r="L78" s="176"/>
      <c r="M78" s="176"/>
    </row>
    <row r="79" spans="1:13" ht="15" x14ac:dyDescent="0.25">
      <c r="C79" s="176"/>
      <c r="D79" s="176"/>
      <c r="E79" s="176"/>
      <c r="F79" s="177"/>
      <c r="G79" s="176"/>
      <c r="H79" s="176"/>
      <c r="I79" s="176"/>
      <c r="J79" s="176"/>
      <c r="K79" s="176"/>
      <c r="L79" s="176"/>
      <c r="M79" s="176"/>
    </row>
    <row r="80" spans="1:13" ht="15" x14ac:dyDescent="0.25">
      <c r="C80" s="176"/>
      <c r="D80" s="176"/>
      <c r="E80" s="176"/>
      <c r="F80" s="177"/>
      <c r="G80" s="176"/>
      <c r="H80" s="176"/>
      <c r="I80" s="176"/>
      <c r="J80" s="176"/>
      <c r="K80" s="176"/>
      <c r="L80" s="176"/>
      <c r="M80" s="176"/>
    </row>
    <row r="81" spans="3:13" ht="15" x14ac:dyDescent="0.25">
      <c r="C81" s="176"/>
      <c r="D81" s="176"/>
      <c r="E81" s="176"/>
      <c r="F81" s="177"/>
      <c r="G81" s="176"/>
      <c r="H81" s="176"/>
      <c r="I81" s="176"/>
      <c r="J81" s="176"/>
      <c r="K81" s="176"/>
      <c r="L81" s="176"/>
      <c r="M81" s="176"/>
    </row>
    <row r="82" spans="3:13" ht="15" x14ac:dyDescent="0.25">
      <c r="C82" s="176"/>
      <c r="D82" s="176"/>
      <c r="E82" s="176"/>
      <c r="F82" s="177"/>
      <c r="G82" s="176"/>
      <c r="H82" s="176"/>
      <c r="I82" s="176"/>
      <c r="J82" s="176"/>
      <c r="K82" s="176"/>
      <c r="L82" s="176"/>
      <c r="M82" s="176"/>
    </row>
    <row r="83" spans="3:13" ht="15" x14ac:dyDescent="0.25">
      <c r="C83" s="176"/>
      <c r="D83" s="176"/>
      <c r="E83" s="176"/>
      <c r="F83" s="177"/>
      <c r="G83" s="176"/>
      <c r="H83" s="176"/>
      <c r="I83" s="176"/>
      <c r="J83" s="176"/>
      <c r="K83" s="176"/>
      <c r="L83" s="176"/>
      <c r="M83" s="176"/>
    </row>
    <row r="84" spans="3:13" ht="15" x14ac:dyDescent="0.25">
      <c r="C84" s="176"/>
      <c r="D84" s="176"/>
      <c r="E84" s="176"/>
      <c r="F84" s="177"/>
      <c r="G84" s="176"/>
      <c r="H84" s="176"/>
      <c r="I84" s="176"/>
      <c r="J84" s="176"/>
      <c r="K84" s="176"/>
      <c r="L84" s="176"/>
      <c r="M84" s="176"/>
    </row>
    <row r="85" spans="3:13" ht="15" x14ac:dyDescent="0.25">
      <c r="C85" s="176"/>
      <c r="D85" s="176"/>
      <c r="E85" s="176"/>
      <c r="F85" s="177"/>
      <c r="G85" s="176"/>
      <c r="H85" s="176"/>
      <c r="I85" s="176"/>
      <c r="J85" s="176"/>
      <c r="K85" s="176"/>
      <c r="L85" s="176"/>
      <c r="M85" s="176"/>
    </row>
    <row r="86" spans="3:13" ht="15" x14ac:dyDescent="0.25">
      <c r="C86" s="176"/>
      <c r="D86" s="176"/>
      <c r="E86" s="176"/>
      <c r="F86" s="177"/>
      <c r="G86" s="176"/>
      <c r="H86" s="176"/>
      <c r="I86" s="176"/>
      <c r="J86" s="176"/>
      <c r="K86" s="176"/>
      <c r="L86" s="176"/>
      <c r="M86" s="176"/>
    </row>
    <row r="87" spans="3:13" ht="15" x14ac:dyDescent="0.25">
      <c r="C87" s="176"/>
      <c r="D87" s="176"/>
      <c r="E87" s="176"/>
      <c r="F87" s="177"/>
      <c r="G87" s="176"/>
      <c r="H87" s="176"/>
      <c r="I87" s="176"/>
      <c r="J87" s="176"/>
      <c r="K87" s="176"/>
      <c r="L87" s="176"/>
      <c r="M87" s="176"/>
    </row>
    <row r="88" spans="3:13" ht="15" x14ac:dyDescent="0.25">
      <c r="C88" s="176"/>
      <c r="D88" s="176"/>
      <c r="E88" s="176"/>
      <c r="F88" s="177"/>
      <c r="G88" s="176"/>
      <c r="H88" s="176"/>
      <c r="I88" s="176"/>
      <c r="J88" s="176"/>
      <c r="K88" s="176"/>
      <c r="L88" s="176"/>
      <c r="M88" s="176"/>
    </row>
    <row r="89" spans="3:13" ht="15" x14ac:dyDescent="0.25">
      <c r="F89" s="175"/>
    </row>
    <row r="90" spans="3:13" ht="15" x14ac:dyDescent="0.25">
      <c r="F90" s="175"/>
    </row>
    <row r="91" spans="3:13" ht="15" x14ac:dyDescent="0.25">
      <c r="F91" s="175"/>
    </row>
    <row r="92" spans="3:13" ht="15" x14ac:dyDescent="0.25">
      <c r="F92" s="175"/>
    </row>
    <row r="93" spans="3:13" ht="15" x14ac:dyDescent="0.25">
      <c r="F93" s="175"/>
    </row>
    <row r="94" spans="3:13" ht="15" x14ac:dyDescent="0.25">
      <c r="F94" s="175"/>
    </row>
    <row r="95" spans="3:13" ht="15" x14ac:dyDescent="0.25">
      <c r="F95" s="175"/>
    </row>
    <row r="96" spans="3:13" ht="15" x14ac:dyDescent="0.25">
      <c r="F96" s="175"/>
    </row>
    <row r="97" spans="6:6" ht="15" x14ac:dyDescent="0.25">
      <c r="F97" s="175"/>
    </row>
    <row r="98" spans="6:6" ht="15" x14ac:dyDescent="0.25">
      <c r="F98" s="175"/>
    </row>
    <row r="99" spans="6:6" ht="15" x14ac:dyDescent="0.25">
      <c r="F99" s="175"/>
    </row>
    <row r="100" spans="6:6" ht="15" x14ac:dyDescent="0.25">
      <c r="F100" s="175"/>
    </row>
    <row r="101" spans="6:6" ht="15" x14ac:dyDescent="0.25">
      <c r="F101" s="175"/>
    </row>
    <row r="102" spans="6:6" ht="15" x14ac:dyDescent="0.25">
      <c r="F102" s="175"/>
    </row>
    <row r="103" spans="6:6" ht="15" x14ac:dyDescent="0.25">
      <c r="F103" s="175"/>
    </row>
    <row r="104" spans="6:6" ht="15" x14ac:dyDescent="0.25">
      <c r="F104" s="175"/>
    </row>
    <row r="105" spans="6:6" ht="15" x14ac:dyDescent="0.25">
      <c r="F105" s="175"/>
    </row>
    <row r="106" spans="6:6" ht="15" x14ac:dyDescent="0.25">
      <c r="F106" s="175"/>
    </row>
    <row r="107" spans="6:6" ht="15" x14ac:dyDescent="0.25">
      <c r="F107" s="175"/>
    </row>
    <row r="108" spans="6:6" ht="15" x14ac:dyDescent="0.25">
      <c r="F108" s="175"/>
    </row>
    <row r="109" spans="6:6" ht="15" x14ac:dyDescent="0.25">
      <c r="F109" s="175"/>
    </row>
    <row r="110" spans="6:6" ht="15" x14ac:dyDescent="0.25">
      <c r="F110" s="175"/>
    </row>
    <row r="111" spans="6:6" ht="15" x14ac:dyDescent="0.25">
      <c r="F111" s="175"/>
    </row>
    <row r="112" spans="6:6" ht="15" x14ac:dyDescent="0.25">
      <c r="F112" s="175"/>
    </row>
    <row r="113" spans="6:6" ht="15" x14ac:dyDescent="0.25">
      <c r="F113" s="175"/>
    </row>
    <row r="114" spans="6:6" ht="15" x14ac:dyDescent="0.25">
      <c r="F114" s="175"/>
    </row>
    <row r="115" spans="6:6" ht="15" x14ac:dyDescent="0.25">
      <c r="F115" s="175"/>
    </row>
    <row r="116" spans="6:6" ht="15" x14ac:dyDescent="0.25">
      <c r="F116" s="175"/>
    </row>
  </sheetData>
  <pageMargins left="0.7" right="0.7" top="0.75" bottom="0.75" header="0.3" footer="0.3"/>
  <pageSetup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B22"/>
  <sheetViews>
    <sheetView workbookViewId="0">
      <selection activeCell="A22" sqref="A22"/>
    </sheetView>
  </sheetViews>
  <sheetFormatPr defaultRowHeight="15" x14ac:dyDescent="0.25"/>
  <cols>
    <col min="1" max="2" width="15.7109375" customWidth="1"/>
    <col min="3" max="3" width="15.85546875" customWidth="1"/>
    <col min="4" max="4" width="1.42578125" customWidth="1"/>
    <col min="5" max="7" width="15.7109375" customWidth="1"/>
    <col min="8" max="8" width="2.42578125" style="1" customWidth="1"/>
    <col min="9" max="10" width="14.28515625" style="1" bestFit="1" customWidth="1"/>
    <col min="11" max="11" width="2.42578125" style="1" customWidth="1"/>
    <col min="12" max="12" width="11.5703125" bestFit="1" customWidth="1"/>
    <col min="13" max="13" width="1.7109375" customWidth="1"/>
    <col min="14" max="14" width="13.140625" bestFit="1" customWidth="1"/>
  </cols>
  <sheetData>
    <row r="4" spans="1:28" s="1" customFormat="1" ht="15.75" thickBot="1" x14ac:dyDescent="0.3">
      <c r="A4"/>
      <c r="B4"/>
      <c r="C4"/>
      <c r="D4"/>
      <c r="E4"/>
      <c r="F4"/>
      <c r="G4"/>
    </row>
    <row r="5" spans="1:28" s="1" customFormat="1" ht="15.75" thickBot="1" x14ac:dyDescent="0.3">
      <c r="A5" s="340" t="s">
        <v>250</v>
      </c>
      <c r="B5" s="341"/>
      <c r="C5" s="342"/>
      <c r="D5"/>
      <c r="E5" s="340" t="s">
        <v>249</v>
      </c>
      <c r="F5" s="341"/>
      <c r="G5" s="342"/>
    </row>
    <row r="6" spans="1:28" s="1" customFormat="1" x14ac:dyDescent="0.25">
      <c r="A6" s="309"/>
      <c r="B6" s="308" t="s">
        <v>131</v>
      </c>
      <c r="C6" s="307" t="s">
        <v>91</v>
      </c>
      <c r="D6"/>
      <c r="E6" s="306" t="s">
        <v>248</v>
      </c>
      <c r="F6" s="305" t="s">
        <v>131</v>
      </c>
      <c r="G6" s="304" t="s">
        <v>91</v>
      </c>
    </row>
    <row r="7" spans="1:28" s="1" customFormat="1" x14ac:dyDescent="0.25">
      <c r="A7" s="303" t="s">
        <v>19</v>
      </c>
      <c r="B7" s="302" t="s">
        <v>246</v>
      </c>
      <c r="C7" s="301" t="s">
        <v>69</v>
      </c>
      <c r="D7"/>
      <c r="E7" s="300" t="s">
        <v>247</v>
      </c>
      <c r="F7" s="299" t="s">
        <v>246</v>
      </c>
      <c r="G7" s="298" t="s">
        <v>69</v>
      </c>
    </row>
    <row r="8" spans="1:28" s="1" customFormat="1" x14ac:dyDescent="0.25">
      <c r="A8" s="297">
        <v>43586</v>
      </c>
      <c r="B8" s="296">
        <f>'Monthly Amort'!I55</f>
        <v>2539710.7381798397</v>
      </c>
      <c r="C8" s="295">
        <f>+B8</f>
        <v>2539710.7381798397</v>
      </c>
      <c r="D8"/>
      <c r="E8" s="315">
        <v>4.4999999999999997E-3</v>
      </c>
      <c r="F8" s="294">
        <f t="shared" ref="F8:F19" si="0">+E8*C8</f>
        <v>11428.698321809277</v>
      </c>
      <c r="G8" s="293">
        <f>+F8</f>
        <v>11428.698321809277</v>
      </c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</row>
    <row r="9" spans="1:28" s="1" customFormat="1" x14ac:dyDescent="0.25">
      <c r="A9" s="297">
        <v>43617</v>
      </c>
      <c r="B9" s="296">
        <f>'Monthly Amort'!J55</f>
        <v>2546569.0715131732</v>
      </c>
      <c r="C9" s="295">
        <f t="shared" ref="C9:C19" si="1">+C8+B9</f>
        <v>5086279.8096930124</v>
      </c>
      <c r="D9"/>
      <c r="E9" s="315">
        <f t="shared" ref="E9:E19" si="2">+E8</f>
        <v>4.4999999999999997E-3</v>
      </c>
      <c r="F9" s="294">
        <f t="shared" si="0"/>
        <v>22888.259143618554</v>
      </c>
      <c r="G9" s="293">
        <f t="shared" ref="G9:G19" si="3">+G8+F9</f>
        <v>34316.957465427833</v>
      </c>
    </row>
    <row r="10" spans="1:28" s="1" customFormat="1" x14ac:dyDescent="0.25">
      <c r="A10" s="297">
        <v>43647</v>
      </c>
      <c r="B10" s="296">
        <f>'Monthly Amort'!K55</f>
        <v>2546569.0715131732</v>
      </c>
      <c r="C10" s="295">
        <f t="shared" si="1"/>
        <v>7632848.8812061856</v>
      </c>
      <c r="D10"/>
      <c r="E10" s="315">
        <f t="shared" si="2"/>
        <v>4.4999999999999997E-3</v>
      </c>
      <c r="F10" s="294">
        <f t="shared" si="0"/>
        <v>34347.819965427836</v>
      </c>
      <c r="G10" s="293">
        <f t="shared" si="3"/>
        <v>68664.777430855669</v>
      </c>
    </row>
    <row r="11" spans="1:28" s="1" customFormat="1" x14ac:dyDescent="0.25">
      <c r="A11" s="297">
        <v>43678</v>
      </c>
      <c r="B11" s="296">
        <f>'Monthly Amort'!L55</f>
        <v>2546569.0715131732</v>
      </c>
      <c r="C11" s="295">
        <f t="shared" si="1"/>
        <v>10179417.952719359</v>
      </c>
      <c r="D11"/>
      <c r="E11" s="315">
        <f t="shared" si="2"/>
        <v>4.4999999999999997E-3</v>
      </c>
      <c r="F11" s="294">
        <f t="shared" si="0"/>
        <v>45807.380787237111</v>
      </c>
      <c r="G11" s="293">
        <f t="shared" si="3"/>
        <v>114472.15821809278</v>
      </c>
    </row>
    <row r="12" spans="1:28" s="1" customFormat="1" x14ac:dyDescent="0.25">
      <c r="A12" s="297">
        <v>43709</v>
      </c>
      <c r="B12" s="296">
        <f>'Monthly Amort'!M55</f>
        <v>2546569.0715131732</v>
      </c>
      <c r="C12" s="295">
        <f t="shared" si="1"/>
        <v>12725987.024232533</v>
      </c>
      <c r="D12"/>
      <c r="E12" s="315">
        <f t="shared" si="2"/>
        <v>4.4999999999999997E-3</v>
      </c>
      <c r="F12" s="294">
        <f t="shared" si="0"/>
        <v>57266.941609046393</v>
      </c>
      <c r="G12" s="293">
        <f t="shared" si="3"/>
        <v>171739.09982713917</v>
      </c>
    </row>
    <row r="13" spans="1:28" s="1" customFormat="1" x14ac:dyDescent="0.25">
      <c r="A13" s="297">
        <v>43739</v>
      </c>
      <c r="B13" s="296">
        <f>'Monthly Amort'!N55</f>
        <v>2546569.0715131732</v>
      </c>
      <c r="C13" s="295">
        <f t="shared" si="1"/>
        <v>15272556.095745705</v>
      </c>
      <c r="D13"/>
      <c r="E13" s="315">
        <f t="shared" si="2"/>
        <v>4.4999999999999997E-3</v>
      </c>
      <c r="F13" s="294">
        <f t="shared" si="0"/>
        <v>68726.50243085566</v>
      </c>
      <c r="G13" s="293">
        <f t="shared" si="3"/>
        <v>240465.60225799482</v>
      </c>
    </row>
    <row r="14" spans="1:28" s="1" customFormat="1" x14ac:dyDescent="0.25">
      <c r="A14" s="297">
        <v>43770</v>
      </c>
      <c r="B14" s="296">
        <f>'Monthly Amort'!O55</f>
        <v>2546569.0715131732</v>
      </c>
      <c r="C14" s="295">
        <f t="shared" si="1"/>
        <v>17819125.167258877</v>
      </c>
      <c r="D14"/>
      <c r="E14" s="315">
        <f t="shared" si="2"/>
        <v>4.4999999999999997E-3</v>
      </c>
      <c r="F14" s="294">
        <f t="shared" si="0"/>
        <v>80186.063252664942</v>
      </c>
      <c r="G14" s="293">
        <f t="shared" si="3"/>
        <v>320651.66551065975</v>
      </c>
    </row>
    <row r="15" spans="1:28" s="1" customFormat="1" x14ac:dyDescent="0.25">
      <c r="A15" s="297">
        <v>43800</v>
      </c>
      <c r="B15" s="296">
        <f>'Monthly Amort'!P55</f>
        <v>2546569.0715131732</v>
      </c>
      <c r="C15" s="295">
        <f t="shared" si="1"/>
        <v>20365694.23877205</v>
      </c>
      <c r="D15"/>
      <c r="E15" s="315">
        <f t="shared" si="2"/>
        <v>4.4999999999999997E-3</v>
      </c>
      <c r="F15" s="294">
        <f t="shared" si="0"/>
        <v>91645.62407447421</v>
      </c>
      <c r="G15" s="293">
        <f t="shared" si="3"/>
        <v>412297.28958513396</v>
      </c>
    </row>
    <row r="16" spans="1:28" s="1" customFormat="1" x14ac:dyDescent="0.25">
      <c r="A16" s="297">
        <v>43831</v>
      </c>
      <c r="B16" s="296">
        <f>'Monthly Amort'!Q55</f>
        <v>2546569.0715131732</v>
      </c>
      <c r="C16" s="295">
        <f t="shared" si="1"/>
        <v>22912263.310285222</v>
      </c>
      <c r="D16"/>
      <c r="E16" s="315">
        <f t="shared" si="2"/>
        <v>4.4999999999999997E-3</v>
      </c>
      <c r="F16" s="294">
        <f t="shared" si="0"/>
        <v>103105.18489628349</v>
      </c>
      <c r="G16" s="293">
        <f t="shared" si="3"/>
        <v>515402.47448141745</v>
      </c>
    </row>
    <row r="17" spans="1:7" x14ac:dyDescent="0.25">
      <c r="A17" s="297">
        <v>43862</v>
      </c>
      <c r="B17" s="296">
        <f>'Monthly Amort'!R55</f>
        <v>2546569.0715131732</v>
      </c>
      <c r="C17" s="295">
        <f t="shared" si="1"/>
        <v>25458832.381798394</v>
      </c>
      <c r="E17" s="315">
        <f t="shared" si="2"/>
        <v>4.4999999999999997E-3</v>
      </c>
      <c r="F17" s="294">
        <f t="shared" si="0"/>
        <v>114564.74571809276</v>
      </c>
      <c r="G17" s="293">
        <f t="shared" si="3"/>
        <v>629967.22019951022</v>
      </c>
    </row>
    <row r="18" spans="1:7" x14ac:dyDescent="0.25">
      <c r="A18" s="297">
        <v>43891</v>
      </c>
      <c r="B18" s="296">
        <f>'Monthly Amort'!S55</f>
        <v>2546569.0715131732</v>
      </c>
      <c r="C18" s="295">
        <f t="shared" si="1"/>
        <v>28005401.453311566</v>
      </c>
      <c r="E18" s="315">
        <f t="shared" si="2"/>
        <v>4.4999999999999997E-3</v>
      </c>
      <c r="F18" s="294">
        <f t="shared" si="0"/>
        <v>126024.30653990204</v>
      </c>
      <c r="G18" s="293">
        <f t="shared" si="3"/>
        <v>755991.52673941222</v>
      </c>
    </row>
    <row r="19" spans="1:7" x14ac:dyDescent="0.25">
      <c r="A19" s="292">
        <v>43922</v>
      </c>
      <c r="B19" s="291">
        <f>'Monthly Amort'!T55</f>
        <v>2546569.0715131732</v>
      </c>
      <c r="C19" s="290">
        <f t="shared" si="1"/>
        <v>30551970.524824739</v>
      </c>
      <c r="D19" s="289"/>
      <c r="E19" s="316">
        <f t="shared" si="2"/>
        <v>4.4999999999999997E-3</v>
      </c>
      <c r="F19" s="288">
        <f t="shared" si="0"/>
        <v>137483.86736171131</v>
      </c>
      <c r="G19" s="287">
        <f t="shared" si="3"/>
        <v>893475.39410112356</v>
      </c>
    </row>
    <row r="20" spans="1:7" x14ac:dyDescent="0.25">
      <c r="A20" s="286"/>
      <c r="B20" s="285"/>
      <c r="C20" s="285"/>
      <c r="D20" s="284"/>
      <c r="E20" s="284"/>
      <c r="F20" s="283"/>
      <c r="G20" s="282"/>
    </row>
    <row r="21" spans="1:7" x14ac:dyDescent="0.25">
      <c r="A21" t="s">
        <v>245</v>
      </c>
      <c r="E21" s="317">
        <f>E8*12</f>
        <v>5.3999999999999992E-2</v>
      </c>
      <c r="F21" t="s">
        <v>255</v>
      </c>
    </row>
    <row r="22" spans="1:7" x14ac:dyDescent="0.25">
      <c r="A22" t="s">
        <v>244</v>
      </c>
    </row>
  </sheetData>
  <mergeCells count="2">
    <mergeCell ref="A5:C5"/>
    <mergeCell ref="E5:G5"/>
  </mergeCell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zoomScaleNormal="100" workbookViewId="0">
      <pane xSplit="7" ySplit="3" topLeftCell="J46" activePane="bottomRight" state="frozen"/>
      <selection pane="topRight" activeCell="G1" sqref="G1"/>
      <selection pane="bottomLeft" activeCell="A4" sqref="A4"/>
      <selection pane="bottomRight" activeCell="L67" sqref="L67"/>
    </sheetView>
  </sheetViews>
  <sheetFormatPr defaultRowHeight="15" x14ac:dyDescent="0.25"/>
  <cols>
    <col min="1" max="1" width="10" bestFit="1" customWidth="1"/>
    <col min="2" max="2" width="42.7109375" customWidth="1"/>
    <col min="3" max="3" width="12" bestFit="1" customWidth="1"/>
    <col min="4" max="4" width="6.5703125" bestFit="1" customWidth="1"/>
    <col min="5" max="5" width="10.7109375" bestFit="1" customWidth="1"/>
    <col min="6" max="6" width="3.5703125" customWidth="1"/>
    <col min="7" max="7" width="10" bestFit="1" customWidth="1"/>
    <col min="8" max="8" width="16.28515625" bestFit="1" customWidth="1"/>
    <col min="9" max="20" width="14.28515625" bestFit="1" customWidth="1"/>
    <col min="21" max="21" width="15.28515625" bestFit="1" customWidth="1"/>
  </cols>
  <sheetData>
    <row r="1" spans="1:21" x14ac:dyDescent="0.25">
      <c r="H1" s="246" t="s">
        <v>238</v>
      </c>
    </row>
    <row r="2" spans="1:21" x14ac:dyDescent="0.25">
      <c r="C2" s="246" t="s">
        <v>236</v>
      </c>
      <c r="D2" s="246" t="s">
        <v>253</v>
      </c>
      <c r="E2" s="246" t="s">
        <v>254</v>
      </c>
      <c r="F2" s="246"/>
      <c r="G2" s="246" t="s">
        <v>131</v>
      </c>
      <c r="H2" s="246" t="s">
        <v>237</v>
      </c>
    </row>
    <row r="3" spans="1:21" x14ac:dyDescent="0.25">
      <c r="A3" s="311" t="s">
        <v>100</v>
      </c>
      <c r="B3" s="311" t="s">
        <v>187</v>
      </c>
      <c r="C3" s="311" t="s">
        <v>235</v>
      </c>
      <c r="D3" s="311" t="s">
        <v>234</v>
      </c>
      <c r="E3" s="311" t="s">
        <v>58</v>
      </c>
      <c r="F3" s="311"/>
      <c r="G3" s="245" t="s">
        <v>253</v>
      </c>
      <c r="H3" s="245" t="s">
        <v>230</v>
      </c>
      <c r="I3" s="245">
        <v>43586</v>
      </c>
      <c r="J3" s="245">
        <v>43617</v>
      </c>
      <c r="K3" s="245">
        <v>43647</v>
      </c>
      <c r="L3" s="245">
        <v>43678</v>
      </c>
      <c r="M3" s="245">
        <v>43709</v>
      </c>
      <c r="N3" s="245">
        <v>43739</v>
      </c>
      <c r="O3" s="245">
        <v>43770</v>
      </c>
      <c r="P3" s="245">
        <v>43800</v>
      </c>
      <c r="Q3" s="245">
        <v>43831</v>
      </c>
      <c r="R3" s="245">
        <v>43862</v>
      </c>
      <c r="S3" s="245">
        <v>43891</v>
      </c>
      <c r="T3" s="245">
        <v>43922</v>
      </c>
      <c r="U3" s="245" t="s">
        <v>142</v>
      </c>
    </row>
    <row r="4" spans="1:21" x14ac:dyDescent="0.25">
      <c r="A4">
        <v>143003146</v>
      </c>
      <c r="B4" t="s">
        <v>233</v>
      </c>
      <c r="C4" s="276">
        <v>43374</v>
      </c>
      <c r="D4" s="149">
        <v>84</v>
      </c>
      <c r="E4" s="276">
        <f>EOMONTH(C4+(D4*30),0)</f>
        <v>45900</v>
      </c>
      <c r="F4" s="276"/>
      <c r="G4" s="312">
        <f t="shared" ref="G4:G35" si="0">H4/D4</f>
        <v>434427.6511904762</v>
      </c>
      <c r="H4" s="312">
        <v>36491922.700000003</v>
      </c>
      <c r="I4" s="312">
        <f t="shared" ref="I4:I51" si="1">IF(I$3&lt;$E4,$G4,0)</f>
        <v>434427.6511904762</v>
      </c>
      <c r="J4" s="312">
        <f t="shared" ref="J4:T4" si="2">IF(J$3&lt;$E4,I4,0)</f>
        <v>434427.6511904762</v>
      </c>
      <c r="K4" s="312">
        <f t="shared" si="2"/>
        <v>434427.6511904762</v>
      </c>
      <c r="L4" s="312">
        <f t="shared" si="2"/>
        <v>434427.6511904762</v>
      </c>
      <c r="M4" s="312">
        <f t="shared" si="2"/>
        <v>434427.6511904762</v>
      </c>
      <c r="N4" s="312">
        <f t="shared" si="2"/>
        <v>434427.6511904762</v>
      </c>
      <c r="O4" s="312">
        <f t="shared" si="2"/>
        <v>434427.6511904762</v>
      </c>
      <c r="P4" s="312">
        <f t="shared" si="2"/>
        <v>434427.6511904762</v>
      </c>
      <c r="Q4" s="312">
        <f t="shared" si="2"/>
        <v>434427.6511904762</v>
      </c>
      <c r="R4" s="312">
        <f t="shared" si="2"/>
        <v>434427.6511904762</v>
      </c>
      <c r="S4" s="312">
        <f t="shared" si="2"/>
        <v>434427.6511904762</v>
      </c>
      <c r="T4" s="312">
        <f t="shared" si="2"/>
        <v>434427.6511904762</v>
      </c>
      <c r="U4" s="312">
        <f t="shared" ref="U4" si="3">SUM(I4:T4)</f>
        <v>5213131.8142857142</v>
      </c>
    </row>
    <row r="5" spans="1:21" x14ac:dyDescent="0.25">
      <c r="A5">
        <v>143003144</v>
      </c>
      <c r="B5" t="s">
        <v>209</v>
      </c>
      <c r="C5" s="276">
        <v>43398</v>
      </c>
      <c r="D5" s="149">
        <v>120</v>
      </c>
      <c r="E5" s="276">
        <f t="shared" ref="E5:E54" si="4">EOMONTH(C5+(D5*30),0)</f>
        <v>47026</v>
      </c>
      <c r="F5" s="276"/>
      <c r="G5" s="149">
        <f t="shared" si="0"/>
        <v>252455.14116666667</v>
      </c>
      <c r="H5" s="149">
        <v>30294616.940000001</v>
      </c>
      <c r="I5" s="149">
        <f t="shared" si="1"/>
        <v>252455.14116666667</v>
      </c>
      <c r="J5" s="149">
        <f t="shared" ref="J5:T5" si="5">IF(J$3&lt;$E5,I5,0)</f>
        <v>252455.14116666667</v>
      </c>
      <c r="K5" s="149">
        <f t="shared" si="5"/>
        <v>252455.14116666667</v>
      </c>
      <c r="L5" s="149">
        <f t="shared" si="5"/>
        <v>252455.14116666667</v>
      </c>
      <c r="M5" s="149">
        <f t="shared" si="5"/>
        <v>252455.14116666667</v>
      </c>
      <c r="N5" s="149">
        <f t="shared" si="5"/>
        <v>252455.14116666667</v>
      </c>
      <c r="O5" s="149">
        <f t="shared" si="5"/>
        <v>252455.14116666667</v>
      </c>
      <c r="P5" s="149">
        <f t="shared" si="5"/>
        <v>252455.14116666667</v>
      </c>
      <c r="Q5" s="149">
        <f t="shared" si="5"/>
        <v>252455.14116666667</v>
      </c>
      <c r="R5" s="149">
        <f t="shared" si="5"/>
        <v>252455.14116666667</v>
      </c>
      <c r="S5" s="149">
        <f t="shared" si="5"/>
        <v>252455.14116666667</v>
      </c>
      <c r="T5" s="149">
        <f t="shared" si="5"/>
        <v>252455.14116666667</v>
      </c>
      <c r="U5" s="149">
        <f t="shared" ref="U5" si="6">SUM(I5:T5)</f>
        <v>3029461.6939999997</v>
      </c>
    </row>
    <row r="6" spans="1:21" x14ac:dyDescent="0.25">
      <c r="A6">
        <v>143003147</v>
      </c>
      <c r="B6" t="s">
        <v>223</v>
      </c>
      <c r="C6" s="276">
        <v>43374</v>
      </c>
      <c r="D6" s="149">
        <v>84</v>
      </c>
      <c r="E6" s="276">
        <f t="shared" si="4"/>
        <v>45900</v>
      </c>
      <c r="F6" s="276"/>
      <c r="G6" s="149">
        <f t="shared" si="0"/>
        <v>224295.2432142857</v>
      </c>
      <c r="H6" s="149">
        <v>18840800.43</v>
      </c>
      <c r="I6" s="149">
        <f t="shared" si="1"/>
        <v>224295.2432142857</v>
      </c>
      <c r="J6" s="149">
        <f t="shared" ref="J6:T6" si="7">IF(J$3&lt;$E6,I6,0)</f>
        <v>224295.2432142857</v>
      </c>
      <c r="K6" s="149">
        <f t="shared" si="7"/>
        <v>224295.2432142857</v>
      </c>
      <c r="L6" s="149">
        <f t="shared" si="7"/>
        <v>224295.2432142857</v>
      </c>
      <c r="M6" s="149">
        <f t="shared" si="7"/>
        <v>224295.2432142857</v>
      </c>
      <c r="N6" s="149">
        <f t="shared" si="7"/>
        <v>224295.2432142857</v>
      </c>
      <c r="O6" s="149">
        <f t="shared" si="7"/>
        <v>224295.2432142857</v>
      </c>
      <c r="P6" s="149">
        <f t="shared" si="7"/>
        <v>224295.2432142857</v>
      </c>
      <c r="Q6" s="149">
        <f t="shared" si="7"/>
        <v>224295.2432142857</v>
      </c>
      <c r="R6" s="149">
        <f t="shared" si="7"/>
        <v>224295.2432142857</v>
      </c>
      <c r="S6" s="149">
        <f t="shared" si="7"/>
        <v>224295.2432142857</v>
      </c>
      <c r="T6" s="149">
        <f t="shared" si="7"/>
        <v>224295.2432142857</v>
      </c>
      <c r="U6" s="149">
        <f t="shared" ref="U6:U54" si="8">SUM(I6:T6)</f>
        <v>2691542.9185714284</v>
      </c>
    </row>
    <row r="7" spans="1:21" x14ac:dyDescent="0.25">
      <c r="A7">
        <v>143003152</v>
      </c>
      <c r="B7" t="s">
        <v>232</v>
      </c>
      <c r="C7" s="276">
        <v>43404</v>
      </c>
      <c r="D7" s="149">
        <v>84</v>
      </c>
      <c r="E7" s="276">
        <f t="shared" si="4"/>
        <v>45930</v>
      </c>
      <c r="F7" s="276"/>
      <c r="G7" s="149">
        <f t="shared" si="0"/>
        <v>127481.50321428571</v>
      </c>
      <c r="H7" s="149">
        <v>10708446.27</v>
      </c>
      <c r="I7" s="149">
        <f t="shared" si="1"/>
        <v>127481.50321428571</v>
      </c>
      <c r="J7" s="149">
        <f t="shared" ref="J7:T7" si="9">IF(J$3&lt;$E7,I7,0)</f>
        <v>127481.50321428571</v>
      </c>
      <c r="K7" s="149">
        <f t="shared" si="9"/>
        <v>127481.50321428571</v>
      </c>
      <c r="L7" s="149">
        <f t="shared" si="9"/>
        <v>127481.50321428571</v>
      </c>
      <c r="M7" s="149">
        <f t="shared" si="9"/>
        <v>127481.50321428571</v>
      </c>
      <c r="N7" s="149">
        <f t="shared" si="9"/>
        <v>127481.50321428571</v>
      </c>
      <c r="O7" s="149">
        <f t="shared" si="9"/>
        <v>127481.50321428571</v>
      </c>
      <c r="P7" s="149">
        <f t="shared" si="9"/>
        <v>127481.50321428571</v>
      </c>
      <c r="Q7" s="149">
        <f t="shared" si="9"/>
        <v>127481.50321428571</v>
      </c>
      <c r="R7" s="149">
        <f t="shared" si="9"/>
        <v>127481.50321428571</v>
      </c>
      <c r="S7" s="149">
        <f t="shared" si="9"/>
        <v>127481.50321428571</v>
      </c>
      <c r="T7" s="149">
        <f t="shared" si="9"/>
        <v>127481.50321428571</v>
      </c>
      <c r="U7" s="149">
        <f t="shared" si="8"/>
        <v>1529778.0385714285</v>
      </c>
    </row>
    <row r="8" spans="1:21" x14ac:dyDescent="0.25">
      <c r="A8">
        <v>143003150</v>
      </c>
      <c r="B8" s="1" t="s">
        <v>203</v>
      </c>
      <c r="C8" s="276">
        <v>43437</v>
      </c>
      <c r="D8" s="149">
        <v>36</v>
      </c>
      <c r="E8" s="276">
        <f t="shared" si="4"/>
        <v>44530</v>
      </c>
      <c r="F8" s="276"/>
      <c r="G8" s="149">
        <f t="shared" si="0"/>
        <v>163031.03944444444</v>
      </c>
      <c r="H8" s="149">
        <v>5869117.4199999999</v>
      </c>
      <c r="I8" s="149">
        <f t="shared" si="1"/>
        <v>163031.03944444444</v>
      </c>
      <c r="J8" s="149">
        <f t="shared" ref="J8:T8" si="10">IF(J$3&lt;$E8,I8,0)</f>
        <v>163031.03944444444</v>
      </c>
      <c r="K8" s="149">
        <f t="shared" si="10"/>
        <v>163031.03944444444</v>
      </c>
      <c r="L8" s="149">
        <f t="shared" si="10"/>
        <v>163031.03944444444</v>
      </c>
      <c r="M8" s="149">
        <f t="shared" si="10"/>
        <v>163031.03944444444</v>
      </c>
      <c r="N8" s="149">
        <f t="shared" si="10"/>
        <v>163031.03944444444</v>
      </c>
      <c r="O8" s="149">
        <f t="shared" si="10"/>
        <v>163031.03944444444</v>
      </c>
      <c r="P8" s="149">
        <f t="shared" si="10"/>
        <v>163031.03944444444</v>
      </c>
      <c r="Q8" s="149">
        <f t="shared" si="10"/>
        <v>163031.03944444444</v>
      </c>
      <c r="R8" s="149">
        <f t="shared" si="10"/>
        <v>163031.03944444444</v>
      </c>
      <c r="S8" s="149">
        <f t="shared" si="10"/>
        <v>163031.03944444444</v>
      </c>
      <c r="T8" s="149">
        <f t="shared" si="10"/>
        <v>163031.03944444444</v>
      </c>
      <c r="U8" s="149">
        <f t="shared" si="8"/>
        <v>1956372.4733333334</v>
      </c>
    </row>
    <row r="9" spans="1:21" x14ac:dyDescent="0.25">
      <c r="A9">
        <v>143002762</v>
      </c>
      <c r="B9" t="s">
        <v>209</v>
      </c>
      <c r="C9" s="276">
        <v>43384</v>
      </c>
      <c r="D9" s="149">
        <v>120</v>
      </c>
      <c r="E9" s="276">
        <f t="shared" si="4"/>
        <v>46996</v>
      </c>
      <c r="F9" s="276"/>
      <c r="G9" s="149">
        <f t="shared" si="0"/>
        <v>33909.646166666666</v>
      </c>
      <c r="H9" s="149">
        <v>4069157.54</v>
      </c>
      <c r="I9" s="149">
        <f t="shared" si="1"/>
        <v>33909.646166666666</v>
      </c>
      <c r="J9" s="149">
        <f t="shared" ref="J9:T9" si="11">IF(J$3&lt;$E9,I9,0)</f>
        <v>33909.646166666666</v>
      </c>
      <c r="K9" s="149">
        <f t="shared" si="11"/>
        <v>33909.646166666666</v>
      </c>
      <c r="L9" s="149">
        <f t="shared" si="11"/>
        <v>33909.646166666666</v>
      </c>
      <c r="M9" s="149">
        <f t="shared" si="11"/>
        <v>33909.646166666666</v>
      </c>
      <c r="N9" s="149">
        <f t="shared" si="11"/>
        <v>33909.646166666666</v>
      </c>
      <c r="O9" s="149">
        <f t="shared" si="11"/>
        <v>33909.646166666666</v>
      </c>
      <c r="P9" s="149">
        <f t="shared" si="11"/>
        <v>33909.646166666666</v>
      </c>
      <c r="Q9" s="149">
        <f t="shared" si="11"/>
        <v>33909.646166666666</v>
      </c>
      <c r="R9" s="149">
        <f t="shared" si="11"/>
        <v>33909.646166666666</v>
      </c>
      <c r="S9" s="149">
        <f t="shared" si="11"/>
        <v>33909.646166666666</v>
      </c>
      <c r="T9" s="149">
        <f t="shared" si="11"/>
        <v>33909.646166666666</v>
      </c>
      <c r="U9" s="149">
        <f t="shared" si="8"/>
        <v>406915.7539999999</v>
      </c>
    </row>
    <row r="10" spans="1:21" x14ac:dyDescent="0.25">
      <c r="A10">
        <v>143002452</v>
      </c>
      <c r="B10" s="278" t="s">
        <v>231</v>
      </c>
      <c r="C10" s="314">
        <v>43098</v>
      </c>
      <c r="D10" s="149">
        <v>36</v>
      </c>
      <c r="E10" s="276">
        <f t="shared" si="4"/>
        <v>44196</v>
      </c>
      <c r="F10" s="330" t="s">
        <v>268</v>
      </c>
      <c r="G10" s="149">
        <f t="shared" si="0"/>
        <v>7240.3108333333321</v>
      </c>
      <c r="H10" s="149">
        <v>260651.18999999994</v>
      </c>
      <c r="I10" s="149">
        <f t="shared" si="1"/>
        <v>7240.3108333333321</v>
      </c>
      <c r="J10" s="149">
        <f t="shared" ref="J10:T10" si="12">IF(J$3&lt;$E10,I10,0)</f>
        <v>7240.3108333333321</v>
      </c>
      <c r="K10" s="149">
        <f t="shared" si="12"/>
        <v>7240.3108333333321</v>
      </c>
      <c r="L10" s="149">
        <f t="shared" si="12"/>
        <v>7240.3108333333321</v>
      </c>
      <c r="M10" s="149">
        <f t="shared" si="12"/>
        <v>7240.3108333333321</v>
      </c>
      <c r="N10" s="149">
        <f t="shared" si="12"/>
        <v>7240.3108333333321</v>
      </c>
      <c r="O10" s="149">
        <f t="shared" si="12"/>
        <v>7240.3108333333321</v>
      </c>
      <c r="P10" s="149">
        <f t="shared" si="12"/>
        <v>7240.3108333333321</v>
      </c>
      <c r="Q10" s="149">
        <f t="shared" si="12"/>
        <v>7240.3108333333321</v>
      </c>
      <c r="R10" s="149">
        <f t="shared" si="12"/>
        <v>7240.3108333333321</v>
      </c>
      <c r="S10" s="149">
        <f t="shared" si="12"/>
        <v>7240.3108333333321</v>
      </c>
      <c r="T10" s="149">
        <f t="shared" si="12"/>
        <v>7240.3108333333321</v>
      </c>
      <c r="U10" s="149">
        <f t="shared" si="8"/>
        <v>86883.729999999981</v>
      </c>
    </row>
    <row r="11" spans="1:21" x14ac:dyDescent="0.25">
      <c r="A11">
        <v>143002543</v>
      </c>
      <c r="B11" s="278" t="s">
        <v>179</v>
      </c>
      <c r="C11" s="314">
        <v>43214</v>
      </c>
      <c r="D11" s="149">
        <v>36</v>
      </c>
      <c r="E11" s="276">
        <f t="shared" si="4"/>
        <v>44316</v>
      </c>
      <c r="F11" s="330" t="s">
        <v>269</v>
      </c>
      <c r="G11" s="149">
        <f t="shared" si="0"/>
        <v>3297.1788888888746</v>
      </c>
      <c r="H11" s="149">
        <v>118698.43999999948</v>
      </c>
      <c r="I11" s="149">
        <f t="shared" si="1"/>
        <v>3297.1788888888746</v>
      </c>
      <c r="J11" s="149">
        <f t="shared" ref="J11:T11" si="13">IF(J$3&lt;$E11,I11,0)</f>
        <v>3297.1788888888746</v>
      </c>
      <c r="K11" s="149">
        <f t="shared" si="13"/>
        <v>3297.1788888888746</v>
      </c>
      <c r="L11" s="149">
        <f t="shared" si="13"/>
        <v>3297.1788888888746</v>
      </c>
      <c r="M11" s="149">
        <f t="shared" si="13"/>
        <v>3297.1788888888746</v>
      </c>
      <c r="N11" s="149">
        <f t="shared" si="13"/>
        <v>3297.1788888888746</v>
      </c>
      <c r="O11" s="149">
        <f t="shared" si="13"/>
        <v>3297.1788888888746</v>
      </c>
      <c r="P11" s="149">
        <f t="shared" si="13"/>
        <v>3297.1788888888746</v>
      </c>
      <c r="Q11" s="149">
        <f t="shared" si="13"/>
        <v>3297.1788888888746</v>
      </c>
      <c r="R11" s="149">
        <f t="shared" si="13"/>
        <v>3297.1788888888746</v>
      </c>
      <c r="S11" s="149">
        <f t="shared" si="13"/>
        <v>3297.1788888888746</v>
      </c>
      <c r="T11" s="149">
        <f t="shared" si="13"/>
        <v>3297.1788888888746</v>
      </c>
      <c r="U11" s="149">
        <f t="shared" si="8"/>
        <v>39566.146666666493</v>
      </c>
    </row>
    <row r="12" spans="1:21" x14ac:dyDescent="0.25">
      <c r="A12">
        <v>143002096</v>
      </c>
      <c r="B12" s="278" t="s">
        <v>212</v>
      </c>
      <c r="C12" s="314">
        <v>43095</v>
      </c>
      <c r="D12" s="149">
        <v>55.5</v>
      </c>
      <c r="E12" s="276">
        <f t="shared" si="4"/>
        <v>44773</v>
      </c>
      <c r="F12" s="330" t="s">
        <v>270</v>
      </c>
      <c r="G12" s="149">
        <f t="shared" si="0"/>
        <v>7952.8091891891836</v>
      </c>
      <c r="H12" s="149">
        <v>441380.90999999968</v>
      </c>
      <c r="I12" s="149">
        <f t="shared" si="1"/>
        <v>7952.8091891891836</v>
      </c>
      <c r="J12" s="149">
        <f t="shared" ref="J12:T12" si="14">IF(J$3&lt;$E12,I12,0)</f>
        <v>7952.8091891891836</v>
      </c>
      <c r="K12" s="149">
        <f t="shared" si="14"/>
        <v>7952.8091891891836</v>
      </c>
      <c r="L12" s="149">
        <f t="shared" si="14"/>
        <v>7952.8091891891836</v>
      </c>
      <c r="M12" s="149">
        <f t="shared" si="14"/>
        <v>7952.8091891891836</v>
      </c>
      <c r="N12" s="149">
        <f t="shared" si="14"/>
        <v>7952.8091891891836</v>
      </c>
      <c r="O12" s="149">
        <f t="shared" si="14"/>
        <v>7952.8091891891836</v>
      </c>
      <c r="P12" s="149">
        <f t="shared" si="14"/>
        <v>7952.8091891891836</v>
      </c>
      <c r="Q12" s="149">
        <f t="shared" si="14"/>
        <v>7952.8091891891836</v>
      </c>
      <c r="R12" s="149">
        <f t="shared" si="14"/>
        <v>7952.8091891891836</v>
      </c>
      <c r="S12" s="149">
        <f t="shared" si="14"/>
        <v>7952.8091891891836</v>
      </c>
      <c r="T12" s="149">
        <f t="shared" si="14"/>
        <v>7952.8091891891836</v>
      </c>
      <c r="U12" s="149">
        <f t="shared" si="8"/>
        <v>95433.710270270196</v>
      </c>
    </row>
    <row r="13" spans="1:21" x14ac:dyDescent="0.25">
      <c r="A13">
        <v>143003154</v>
      </c>
      <c r="B13" t="s">
        <v>229</v>
      </c>
      <c r="C13" s="276">
        <v>43374</v>
      </c>
      <c r="D13" s="149">
        <v>36</v>
      </c>
      <c r="E13" s="276">
        <f t="shared" si="4"/>
        <v>44469</v>
      </c>
      <c r="F13" s="276"/>
      <c r="G13" s="149">
        <f t="shared" si="0"/>
        <v>92694.864722222221</v>
      </c>
      <c r="H13" s="149">
        <v>3337015.13</v>
      </c>
      <c r="I13" s="149">
        <f t="shared" si="1"/>
        <v>92694.864722222221</v>
      </c>
      <c r="J13" s="149">
        <f t="shared" ref="J13:T13" si="15">IF(J$3&lt;$E13,I13,0)</f>
        <v>92694.864722222221</v>
      </c>
      <c r="K13" s="149">
        <f t="shared" si="15"/>
        <v>92694.864722222221</v>
      </c>
      <c r="L13" s="149">
        <f t="shared" si="15"/>
        <v>92694.864722222221</v>
      </c>
      <c r="M13" s="149">
        <f t="shared" si="15"/>
        <v>92694.864722222221</v>
      </c>
      <c r="N13" s="149">
        <f t="shared" si="15"/>
        <v>92694.864722222221</v>
      </c>
      <c r="O13" s="149">
        <f t="shared" si="15"/>
        <v>92694.864722222221</v>
      </c>
      <c r="P13" s="149">
        <f t="shared" si="15"/>
        <v>92694.864722222221</v>
      </c>
      <c r="Q13" s="149">
        <f t="shared" si="15"/>
        <v>92694.864722222221</v>
      </c>
      <c r="R13" s="149">
        <f t="shared" si="15"/>
        <v>92694.864722222221</v>
      </c>
      <c r="S13" s="149">
        <f t="shared" si="15"/>
        <v>92694.864722222221</v>
      </c>
      <c r="T13" s="149">
        <f t="shared" si="15"/>
        <v>92694.864722222221</v>
      </c>
      <c r="U13" s="149">
        <f t="shared" si="8"/>
        <v>1112338.3766666667</v>
      </c>
    </row>
    <row r="14" spans="1:21" x14ac:dyDescent="0.25">
      <c r="A14">
        <v>143003577</v>
      </c>
      <c r="B14" s="1" t="s">
        <v>228</v>
      </c>
      <c r="C14" s="276">
        <v>43384</v>
      </c>
      <c r="D14" s="149">
        <v>36</v>
      </c>
      <c r="E14" s="276">
        <f t="shared" si="4"/>
        <v>44469</v>
      </c>
      <c r="F14" s="276"/>
      <c r="G14" s="149">
        <f t="shared" si="0"/>
        <v>80137.824722222227</v>
      </c>
      <c r="H14" s="149">
        <v>2884961.69</v>
      </c>
      <c r="I14" s="149">
        <f t="shared" si="1"/>
        <v>80137.824722222227</v>
      </c>
      <c r="J14" s="149">
        <f t="shared" ref="J14:T14" si="16">IF(J$3&lt;$E14,I14,0)</f>
        <v>80137.824722222227</v>
      </c>
      <c r="K14" s="149">
        <f t="shared" si="16"/>
        <v>80137.824722222227</v>
      </c>
      <c r="L14" s="149">
        <f t="shared" si="16"/>
        <v>80137.824722222227</v>
      </c>
      <c r="M14" s="149">
        <f t="shared" si="16"/>
        <v>80137.824722222227</v>
      </c>
      <c r="N14" s="149">
        <f t="shared" si="16"/>
        <v>80137.824722222227</v>
      </c>
      <c r="O14" s="149">
        <f t="shared" si="16"/>
        <v>80137.824722222227</v>
      </c>
      <c r="P14" s="149">
        <f t="shared" si="16"/>
        <v>80137.824722222227</v>
      </c>
      <c r="Q14" s="149">
        <f t="shared" si="16"/>
        <v>80137.824722222227</v>
      </c>
      <c r="R14" s="149">
        <f t="shared" si="16"/>
        <v>80137.824722222227</v>
      </c>
      <c r="S14" s="149">
        <f t="shared" si="16"/>
        <v>80137.824722222227</v>
      </c>
      <c r="T14" s="149">
        <f t="shared" si="16"/>
        <v>80137.824722222227</v>
      </c>
      <c r="U14" s="149">
        <f t="shared" si="8"/>
        <v>961653.89666666696</v>
      </c>
    </row>
    <row r="15" spans="1:21" x14ac:dyDescent="0.25">
      <c r="A15">
        <v>143003522</v>
      </c>
      <c r="B15" s="1" t="s">
        <v>227</v>
      </c>
      <c r="C15" s="276">
        <v>43455</v>
      </c>
      <c r="D15" s="149">
        <v>36</v>
      </c>
      <c r="E15" s="276">
        <f t="shared" si="4"/>
        <v>44561</v>
      </c>
      <c r="F15" s="276"/>
      <c r="G15" s="149">
        <f t="shared" si="0"/>
        <v>77097.368611111116</v>
      </c>
      <c r="H15" s="149">
        <v>2775505.27</v>
      </c>
      <c r="I15" s="149">
        <f t="shared" si="1"/>
        <v>77097.368611111116</v>
      </c>
      <c r="J15" s="149">
        <f t="shared" ref="J15:T15" si="17">IF(J$3&lt;$E15,I15,0)</f>
        <v>77097.368611111116</v>
      </c>
      <c r="K15" s="149">
        <f t="shared" si="17"/>
        <v>77097.368611111116</v>
      </c>
      <c r="L15" s="149">
        <f t="shared" si="17"/>
        <v>77097.368611111116</v>
      </c>
      <c r="M15" s="149">
        <f t="shared" si="17"/>
        <v>77097.368611111116</v>
      </c>
      <c r="N15" s="149">
        <f t="shared" si="17"/>
        <v>77097.368611111116</v>
      </c>
      <c r="O15" s="149">
        <f t="shared" si="17"/>
        <v>77097.368611111116</v>
      </c>
      <c r="P15" s="149">
        <f t="shared" si="17"/>
        <v>77097.368611111116</v>
      </c>
      <c r="Q15" s="149">
        <f t="shared" si="17"/>
        <v>77097.368611111116</v>
      </c>
      <c r="R15" s="149">
        <f t="shared" si="17"/>
        <v>77097.368611111116</v>
      </c>
      <c r="S15" s="149">
        <f t="shared" si="17"/>
        <v>77097.368611111116</v>
      </c>
      <c r="T15" s="149">
        <f t="shared" si="17"/>
        <v>77097.368611111116</v>
      </c>
      <c r="U15" s="149">
        <f t="shared" si="8"/>
        <v>925168.42333333322</v>
      </c>
    </row>
    <row r="16" spans="1:21" x14ac:dyDescent="0.25">
      <c r="A16">
        <v>143003158</v>
      </c>
      <c r="B16" t="s">
        <v>226</v>
      </c>
      <c r="C16" s="276">
        <v>43370</v>
      </c>
      <c r="D16" s="149">
        <v>36</v>
      </c>
      <c r="E16" s="276">
        <f t="shared" si="4"/>
        <v>44469</v>
      </c>
      <c r="F16" s="276"/>
      <c r="G16" s="149">
        <f t="shared" si="0"/>
        <v>75320.918611111105</v>
      </c>
      <c r="H16" s="149">
        <v>2711553.07</v>
      </c>
      <c r="I16" s="149">
        <f t="shared" si="1"/>
        <v>75320.918611111105</v>
      </c>
      <c r="J16" s="149">
        <f t="shared" ref="J16:T16" si="18">IF(J$3&lt;$E16,I16,0)</f>
        <v>75320.918611111105</v>
      </c>
      <c r="K16" s="149">
        <f t="shared" si="18"/>
        <v>75320.918611111105</v>
      </c>
      <c r="L16" s="149">
        <f t="shared" si="18"/>
        <v>75320.918611111105</v>
      </c>
      <c r="M16" s="149">
        <f t="shared" si="18"/>
        <v>75320.918611111105</v>
      </c>
      <c r="N16" s="149">
        <f t="shared" si="18"/>
        <v>75320.918611111105</v>
      </c>
      <c r="O16" s="149">
        <f t="shared" si="18"/>
        <v>75320.918611111105</v>
      </c>
      <c r="P16" s="149">
        <f t="shared" si="18"/>
        <v>75320.918611111105</v>
      </c>
      <c r="Q16" s="149">
        <f t="shared" si="18"/>
        <v>75320.918611111105</v>
      </c>
      <c r="R16" s="149">
        <f t="shared" si="18"/>
        <v>75320.918611111105</v>
      </c>
      <c r="S16" s="149">
        <f t="shared" si="18"/>
        <v>75320.918611111105</v>
      </c>
      <c r="T16" s="149">
        <f t="shared" si="18"/>
        <v>75320.918611111105</v>
      </c>
      <c r="U16" s="149">
        <f t="shared" si="8"/>
        <v>903851.02333333332</v>
      </c>
    </row>
    <row r="17" spans="1:21" x14ac:dyDescent="0.25">
      <c r="A17">
        <v>143002442</v>
      </c>
      <c r="B17" s="278" t="s">
        <v>225</v>
      </c>
      <c r="C17" s="276">
        <v>43098</v>
      </c>
      <c r="D17" s="149">
        <v>36</v>
      </c>
      <c r="E17" s="276">
        <f t="shared" si="4"/>
        <v>44196</v>
      </c>
      <c r="F17" s="330" t="s">
        <v>271</v>
      </c>
      <c r="G17" s="149">
        <f t="shared" si="0"/>
        <v>8350.7683333333243</v>
      </c>
      <c r="H17" s="149">
        <v>300627.65999999968</v>
      </c>
      <c r="I17" s="149">
        <f t="shared" si="1"/>
        <v>8350.7683333333243</v>
      </c>
      <c r="J17" s="149">
        <f t="shared" ref="J17:T17" si="19">IF(J$3&lt;$E17,I17,0)</f>
        <v>8350.7683333333243</v>
      </c>
      <c r="K17" s="149">
        <f t="shared" si="19"/>
        <v>8350.7683333333243</v>
      </c>
      <c r="L17" s="149">
        <f t="shared" si="19"/>
        <v>8350.7683333333243</v>
      </c>
      <c r="M17" s="149">
        <f t="shared" si="19"/>
        <v>8350.7683333333243</v>
      </c>
      <c r="N17" s="149">
        <f t="shared" si="19"/>
        <v>8350.7683333333243</v>
      </c>
      <c r="O17" s="149">
        <f t="shared" si="19"/>
        <v>8350.7683333333243</v>
      </c>
      <c r="P17" s="149">
        <f t="shared" si="19"/>
        <v>8350.7683333333243</v>
      </c>
      <c r="Q17" s="149">
        <f t="shared" si="19"/>
        <v>8350.7683333333243</v>
      </c>
      <c r="R17" s="149">
        <f t="shared" si="19"/>
        <v>8350.7683333333243</v>
      </c>
      <c r="S17" s="149">
        <f t="shared" si="19"/>
        <v>8350.7683333333243</v>
      </c>
      <c r="T17" s="149">
        <f t="shared" si="19"/>
        <v>8350.7683333333243</v>
      </c>
      <c r="U17" s="149">
        <f t="shared" si="8"/>
        <v>100209.2199999999</v>
      </c>
    </row>
    <row r="18" spans="1:21" x14ac:dyDescent="0.25">
      <c r="A18">
        <v>143003230</v>
      </c>
      <c r="B18" t="s">
        <v>224</v>
      </c>
      <c r="C18" s="276">
        <v>43404</v>
      </c>
      <c r="D18" s="149">
        <v>36</v>
      </c>
      <c r="E18" s="276">
        <f t="shared" si="4"/>
        <v>44500</v>
      </c>
      <c r="F18" s="276"/>
      <c r="G18" s="149">
        <f t="shared" si="0"/>
        <v>58941.868055555555</v>
      </c>
      <c r="H18" s="149">
        <v>2121907.25</v>
      </c>
      <c r="I18" s="149">
        <f t="shared" si="1"/>
        <v>58941.868055555555</v>
      </c>
      <c r="J18" s="149">
        <f t="shared" ref="J18:T18" si="20">IF(J$3&lt;$E18,I18,0)</f>
        <v>58941.868055555555</v>
      </c>
      <c r="K18" s="149">
        <f t="shared" si="20"/>
        <v>58941.868055555555</v>
      </c>
      <c r="L18" s="149">
        <f t="shared" si="20"/>
        <v>58941.868055555555</v>
      </c>
      <c r="M18" s="149">
        <f t="shared" si="20"/>
        <v>58941.868055555555</v>
      </c>
      <c r="N18" s="149">
        <f t="shared" si="20"/>
        <v>58941.868055555555</v>
      </c>
      <c r="O18" s="149">
        <f t="shared" si="20"/>
        <v>58941.868055555555</v>
      </c>
      <c r="P18" s="149">
        <f t="shared" si="20"/>
        <v>58941.868055555555</v>
      </c>
      <c r="Q18" s="149">
        <f t="shared" si="20"/>
        <v>58941.868055555555</v>
      </c>
      <c r="R18" s="149">
        <f t="shared" si="20"/>
        <v>58941.868055555555</v>
      </c>
      <c r="S18" s="149">
        <f t="shared" si="20"/>
        <v>58941.868055555555</v>
      </c>
      <c r="T18" s="149">
        <f t="shared" si="20"/>
        <v>58941.868055555555</v>
      </c>
      <c r="U18" s="149">
        <f t="shared" si="8"/>
        <v>707302.41666666651</v>
      </c>
    </row>
    <row r="19" spans="1:21" x14ac:dyDescent="0.25">
      <c r="A19">
        <v>143004075</v>
      </c>
      <c r="B19" t="s">
        <v>223</v>
      </c>
      <c r="C19" s="276">
        <v>43374</v>
      </c>
      <c r="D19" s="149">
        <v>84</v>
      </c>
      <c r="E19" s="276">
        <f t="shared" si="4"/>
        <v>45900</v>
      </c>
      <c r="F19" s="276"/>
      <c r="G19" s="149">
        <f t="shared" si="0"/>
        <v>24552.255595238094</v>
      </c>
      <c r="H19" s="149">
        <v>2062389.47</v>
      </c>
      <c r="I19" s="149">
        <f t="shared" si="1"/>
        <v>24552.255595238094</v>
      </c>
      <c r="J19" s="149">
        <f t="shared" ref="J19:T19" si="21">IF(J$3&lt;$E19,I19,0)</f>
        <v>24552.255595238094</v>
      </c>
      <c r="K19" s="149">
        <f t="shared" si="21"/>
        <v>24552.255595238094</v>
      </c>
      <c r="L19" s="149">
        <f t="shared" si="21"/>
        <v>24552.255595238094</v>
      </c>
      <c r="M19" s="149">
        <f t="shared" si="21"/>
        <v>24552.255595238094</v>
      </c>
      <c r="N19" s="149">
        <f t="shared" si="21"/>
        <v>24552.255595238094</v>
      </c>
      <c r="O19" s="149">
        <f t="shared" si="21"/>
        <v>24552.255595238094</v>
      </c>
      <c r="P19" s="149">
        <f t="shared" si="21"/>
        <v>24552.255595238094</v>
      </c>
      <c r="Q19" s="149">
        <f t="shared" si="21"/>
        <v>24552.255595238094</v>
      </c>
      <c r="R19" s="149">
        <f t="shared" si="21"/>
        <v>24552.255595238094</v>
      </c>
      <c r="S19" s="149">
        <f t="shared" si="21"/>
        <v>24552.255595238094</v>
      </c>
      <c r="T19" s="149">
        <f t="shared" si="21"/>
        <v>24552.255595238094</v>
      </c>
      <c r="U19" s="149">
        <f t="shared" si="8"/>
        <v>294627.06714285712</v>
      </c>
    </row>
    <row r="20" spans="1:21" x14ac:dyDescent="0.25">
      <c r="A20">
        <v>143004664</v>
      </c>
      <c r="B20" t="s">
        <v>203</v>
      </c>
      <c r="C20" s="276">
        <v>43437</v>
      </c>
      <c r="D20" s="149">
        <v>36</v>
      </c>
      <c r="E20" s="276">
        <f t="shared" si="4"/>
        <v>44530</v>
      </c>
      <c r="F20" s="276"/>
      <c r="G20" s="149">
        <f t="shared" si="0"/>
        <v>47963.755833333329</v>
      </c>
      <c r="H20" s="149">
        <v>1726695.21</v>
      </c>
      <c r="I20" s="149">
        <f t="shared" si="1"/>
        <v>47963.755833333329</v>
      </c>
      <c r="J20" s="149">
        <f t="shared" ref="J20:T20" si="22">IF(J$3&lt;$E20,I20,0)</f>
        <v>47963.755833333329</v>
      </c>
      <c r="K20" s="149">
        <f t="shared" si="22"/>
        <v>47963.755833333329</v>
      </c>
      <c r="L20" s="149">
        <f t="shared" si="22"/>
        <v>47963.755833333329</v>
      </c>
      <c r="M20" s="149">
        <f t="shared" si="22"/>
        <v>47963.755833333329</v>
      </c>
      <c r="N20" s="149">
        <f t="shared" si="22"/>
        <v>47963.755833333329</v>
      </c>
      <c r="O20" s="149">
        <f t="shared" si="22"/>
        <v>47963.755833333329</v>
      </c>
      <c r="P20" s="149">
        <f t="shared" si="22"/>
        <v>47963.755833333329</v>
      </c>
      <c r="Q20" s="149">
        <f t="shared" si="22"/>
        <v>47963.755833333329</v>
      </c>
      <c r="R20" s="149">
        <f t="shared" si="22"/>
        <v>47963.755833333329</v>
      </c>
      <c r="S20" s="149">
        <f t="shared" si="22"/>
        <v>47963.755833333329</v>
      </c>
      <c r="T20" s="149">
        <f t="shared" si="22"/>
        <v>47963.755833333329</v>
      </c>
      <c r="U20" s="149">
        <f t="shared" si="8"/>
        <v>575565.07000000007</v>
      </c>
    </row>
    <row r="21" spans="1:21" x14ac:dyDescent="0.25">
      <c r="A21">
        <v>143004420</v>
      </c>
      <c r="B21" t="s">
        <v>222</v>
      </c>
      <c r="C21" s="276">
        <v>43395</v>
      </c>
      <c r="D21" s="149">
        <v>36</v>
      </c>
      <c r="E21" s="276">
        <f t="shared" si="4"/>
        <v>44500</v>
      </c>
      <c r="F21" s="276"/>
      <c r="G21" s="149">
        <f t="shared" si="0"/>
        <v>46982.410277777781</v>
      </c>
      <c r="H21" s="149">
        <v>1691366.77</v>
      </c>
      <c r="I21" s="149">
        <f t="shared" si="1"/>
        <v>46982.410277777781</v>
      </c>
      <c r="J21" s="149">
        <f t="shared" ref="J21:T21" si="23">IF(J$3&lt;$E21,I21,0)</f>
        <v>46982.410277777781</v>
      </c>
      <c r="K21" s="149">
        <f t="shared" si="23"/>
        <v>46982.410277777781</v>
      </c>
      <c r="L21" s="149">
        <f t="shared" si="23"/>
        <v>46982.410277777781</v>
      </c>
      <c r="M21" s="149">
        <f t="shared" si="23"/>
        <v>46982.410277777781</v>
      </c>
      <c r="N21" s="149">
        <f t="shared" si="23"/>
        <v>46982.410277777781</v>
      </c>
      <c r="O21" s="149">
        <f t="shared" si="23"/>
        <v>46982.410277777781</v>
      </c>
      <c r="P21" s="149">
        <f t="shared" si="23"/>
        <v>46982.410277777781</v>
      </c>
      <c r="Q21" s="149">
        <f t="shared" si="23"/>
        <v>46982.410277777781</v>
      </c>
      <c r="R21" s="149">
        <f t="shared" si="23"/>
        <v>46982.410277777781</v>
      </c>
      <c r="S21" s="149">
        <f t="shared" si="23"/>
        <v>46982.410277777781</v>
      </c>
      <c r="T21" s="149">
        <f t="shared" si="23"/>
        <v>46982.410277777781</v>
      </c>
      <c r="U21" s="149">
        <f t="shared" si="8"/>
        <v>563788.92333333322</v>
      </c>
    </row>
    <row r="22" spans="1:21" x14ac:dyDescent="0.25">
      <c r="A22">
        <v>143003261</v>
      </c>
      <c r="B22" t="s">
        <v>222</v>
      </c>
      <c r="C22" s="276">
        <v>43395</v>
      </c>
      <c r="D22" s="149">
        <v>36</v>
      </c>
      <c r="E22" s="276">
        <f t="shared" si="4"/>
        <v>44500</v>
      </c>
      <c r="F22" s="276"/>
      <c r="G22" s="149">
        <f t="shared" si="0"/>
        <v>39003.05305555556</v>
      </c>
      <c r="H22" s="149">
        <v>1404109.9100000001</v>
      </c>
      <c r="I22" s="149">
        <f t="shared" si="1"/>
        <v>39003.05305555556</v>
      </c>
      <c r="J22" s="149">
        <f t="shared" ref="J22:T22" si="24">IF(J$3&lt;$E22,I22,0)</f>
        <v>39003.05305555556</v>
      </c>
      <c r="K22" s="149">
        <f t="shared" si="24"/>
        <v>39003.05305555556</v>
      </c>
      <c r="L22" s="149">
        <f t="shared" si="24"/>
        <v>39003.05305555556</v>
      </c>
      <c r="M22" s="149">
        <f t="shared" si="24"/>
        <v>39003.05305555556</v>
      </c>
      <c r="N22" s="149">
        <f t="shared" si="24"/>
        <v>39003.05305555556</v>
      </c>
      <c r="O22" s="149">
        <f t="shared" si="24"/>
        <v>39003.05305555556</v>
      </c>
      <c r="P22" s="149">
        <f t="shared" si="24"/>
        <v>39003.05305555556</v>
      </c>
      <c r="Q22" s="149">
        <f t="shared" si="24"/>
        <v>39003.05305555556</v>
      </c>
      <c r="R22" s="149">
        <f t="shared" si="24"/>
        <v>39003.05305555556</v>
      </c>
      <c r="S22" s="149">
        <f t="shared" si="24"/>
        <v>39003.05305555556</v>
      </c>
      <c r="T22" s="149">
        <f t="shared" si="24"/>
        <v>39003.05305555556</v>
      </c>
      <c r="U22" s="149">
        <f t="shared" si="8"/>
        <v>468036.63666666672</v>
      </c>
    </row>
    <row r="23" spans="1:21" x14ac:dyDescent="0.25">
      <c r="A23">
        <v>143003184</v>
      </c>
      <c r="B23" t="s">
        <v>209</v>
      </c>
      <c r="C23" s="276">
        <v>43384</v>
      </c>
      <c r="D23" s="149">
        <v>60</v>
      </c>
      <c r="E23" s="276">
        <f t="shared" si="4"/>
        <v>45199</v>
      </c>
      <c r="F23" s="276"/>
      <c r="G23" s="149">
        <f t="shared" si="0"/>
        <v>22411.306666666664</v>
      </c>
      <c r="H23" s="149">
        <v>1344678.4</v>
      </c>
      <c r="I23" s="149">
        <f t="shared" si="1"/>
        <v>22411.306666666664</v>
      </c>
      <c r="J23" s="149">
        <f t="shared" ref="J23:T23" si="25">IF(J$3&lt;$E23,I23,0)</f>
        <v>22411.306666666664</v>
      </c>
      <c r="K23" s="149">
        <f t="shared" si="25"/>
        <v>22411.306666666664</v>
      </c>
      <c r="L23" s="149">
        <f t="shared" si="25"/>
        <v>22411.306666666664</v>
      </c>
      <c r="M23" s="149">
        <f t="shared" si="25"/>
        <v>22411.306666666664</v>
      </c>
      <c r="N23" s="149">
        <f t="shared" si="25"/>
        <v>22411.306666666664</v>
      </c>
      <c r="O23" s="149">
        <f t="shared" si="25"/>
        <v>22411.306666666664</v>
      </c>
      <c r="P23" s="149">
        <f t="shared" si="25"/>
        <v>22411.306666666664</v>
      </c>
      <c r="Q23" s="149">
        <f t="shared" si="25"/>
        <v>22411.306666666664</v>
      </c>
      <c r="R23" s="149">
        <f t="shared" si="25"/>
        <v>22411.306666666664</v>
      </c>
      <c r="S23" s="149">
        <f t="shared" si="25"/>
        <v>22411.306666666664</v>
      </c>
      <c r="T23" s="149">
        <f t="shared" si="25"/>
        <v>22411.306666666664</v>
      </c>
      <c r="U23" s="149">
        <f t="shared" si="8"/>
        <v>268935.67999999999</v>
      </c>
    </row>
    <row r="24" spans="1:21" x14ac:dyDescent="0.25">
      <c r="A24">
        <v>143003231</v>
      </c>
      <c r="B24" t="s">
        <v>221</v>
      </c>
      <c r="C24" s="276">
        <v>43404</v>
      </c>
      <c r="D24" s="149">
        <v>84</v>
      </c>
      <c r="E24" s="276">
        <f t="shared" si="4"/>
        <v>45930</v>
      </c>
      <c r="F24" s="276"/>
      <c r="G24" s="149">
        <f t="shared" si="0"/>
        <v>15248.462142857144</v>
      </c>
      <c r="H24" s="149">
        <v>1280870.82</v>
      </c>
      <c r="I24" s="149">
        <f t="shared" si="1"/>
        <v>15248.462142857144</v>
      </c>
      <c r="J24" s="149">
        <f t="shared" ref="J24:T24" si="26">IF(J$3&lt;$E24,I24,0)</f>
        <v>15248.462142857144</v>
      </c>
      <c r="K24" s="149">
        <f t="shared" si="26"/>
        <v>15248.462142857144</v>
      </c>
      <c r="L24" s="149">
        <f t="shared" si="26"/>
        <v>15248.462142857144</v>
      </c>
      <c r="M24" s="149">
        <f t="shared" si="26"/>
        <v>15248.462142857144</v>
      </c>
      <c r="N24" s="149">
        <f t="shared" si="26"/>
        <v>15248.462142857144</v>
      </c>
      <c r="O24" s="149">
        <f t="shared" si="26"/>
        <v>15248.462142857144</v>
      </c>
      <c r="P24" s="149">
        <f t="shared" si="26"/>
        <v>15248.462142857144</v>
      </c>
      <c r="Q24" s="149">
        <f t="shared" si="26"/>
        <v>15248.462142857144</v>
      </c>
      <c r="R24" s="149">
        <f t="shared" si="26"/>
        <v>15248.462142857144</v>
      </c>
      <c r="S24" s="149">
        <f t="shared" si="26"/>
        <v>15248.462142857144</v>
      </c>
      <c r="T24" s="149">
        <f t="shared" si="26"/>
        <v>15248.462142857144</v>
      </c>
      <c r="U24" s="149">
        <f t="shared" si="8"/>
        <v>182981.54571428572</v>
      </c>
    </row>
    <row r="25" spans="1:21" x14ac:dyDescent="0.25">
      <c r="A25">
        <v>143002435</v>
      </c>
      <c r="B25" t="s">
        <v>206</v>
      </c>
      <c r="C25" s="276">
        <v>42814</v>
      </c>
      <c r="D25" s="149">
        <v>36</v>
      </c>
      <c r="E25" s="276">
        <f t="shared" si="4"/>
        <v>43921</v>
      </c>
      <c r="F25" s="330" t="s">
        <v>267</v>
      </c>
      <c r="G25" s="149">
        <f t="shared" si="0"/>
        <v>0</v>
      </c>
      <c r="H25" s="149">
        <v>0</v>
      </c>
      <c r="I25" s="149">
        <f t="shared" si="1"/>
        <v>0</v>
      </c>
      <c r="J25" s="149">
        <f t="shared" ref="J25:T25" si="27">IF(J$3&lt;$E25,I25,0)</f>
        <v>0</v>
      </c>
      <c r="K25" s="149">
        <f t="shared" si="27"/>
        <v>0</v>
      </c>
      <c r="L25" s="149">
        <f t="shared" si="27"/>
        <v>0</v>
      </c>
      <c r="M25" s="149">
        <f t="shared" si="27"/>
        <v>0</v>
      </c>
      <c r="N25" s="149">
        <f t="shared" si="27"/>
        <v>0</v>
      </c>
      <c r="O25" s="149">
        <f t="shared" si="27"/>
        <v>0</v>
      </c>
      <c r="P25" s="149">
        <f t="shared" si="27"/>
        <v>0</v>
      </c>
      <c r="Q25" s="149">
        <f t="shared" si="27"/>
        <v>0</v>
      </c>
      <c r="R25" s="149">
        <f t="shared" si="27"/>
        <v>0</v>
      </c>
      <c r="S25" s="149">
        <f t="shared" si="27"/>
        <v>0</v>
      </c>
      <c r="T25" s="149">
        <f t="shared" si="27"/>
        <v>0</v>
      </c>
      <c r="U25" s="149">
        <f t="shared" si="8"/>
        <v>0</v>
      </c>
    </row>
    <row r="26" spans="1:21" x14ac:dyDescent="0.25">
      <c r="A26">
        <v>143002660</v>
      </c>
      <c r="B26" t="s">
        <v>220</v>
      </c>
      <c r="C26" s="276">
        <v>43098</v>
      </c>
      <c r="D26" s="149">
        <v>36</v>
      </c>
      <c r="E26" s="276">
        <f t="shared" si="4"/>
        <v>44196</v>
      </c>
      <c r="F26" s="330" t="s">
        <v>267</v>
      </c>
      <c r="G26" s="149">
        <f t="shared" si="0"/>
        <v>0</v>
      </c>
      <c r="H26" s="149">
        <v>0</v>
      </c>
      <c r="I26" s="149">
        <f t="shared" si="1"/>
        <v>0</v>
      </c>
      <c r="J26" s="149">
        <f t="shared" ref="J26:T26" si="28">IF(J$3&lt;$E26,I26,0)</f>
        <v>0</v>
      </c>
      <c r="K26" s="149">
        <f t="shared" si="28"/>
        <v>0</v>
      </c>
      <c r="L26" s="149">
        <f t="shared" si="28"/>
        <v>0</v>
      </c>
      <c r="M26" s="149">
        <f t="shared" si="28"/>
        <v>0</v>
      </c>
      <c r="N26" s="149">
        <f t="shared" si="28"/>
        <v>0</v>
      </c>
      <c r="O26" s="149">
        <f t="shared" si="28"/>
        <v>0</v>
      </c>
      <c r="P26" s="149">
        <f t="shared" si="28"/>
        <v>0</v>
      </c>
      <c r="Q26" s="149">
        <f t="shared" si="28"/>
        <v>0</v>
      </c>
      <c r="R26" s="149">
        <f t="shared" si="28"/>
        <v>0</v>
      </c>
      <c r="S26" s="149">
        <f t="shared" si="28"/>
        <v>0</v>
      </c>
      <c r="T26" s="149">
        <f t="shared" si="28"/>
        <v>0</v>
      </c>
      <c r="U26" s="149">
        <f t="shared" si="8"/>
        <v>0</v>
      </c>
    </row>
    <row r="27" spans="1:21" x14ac:dyDescent="0.25">
      <c r="A27">
        <v>143002761</v>
      </c>
      <c r="B27" t="s">
        <v>209</v>
      </c>
      <c r="C27" s="276">
        <v>43384</v>
      </c>
      <c r="D27" s="149">
        <v>120</v>
      </c>
      <c r="E27" s="276">
        <f t="shared" si="4"/>
        <v>46996</v>
      </c>
      <c r="F27" s="276"/>
      <c r="G27" s="149">
        <f t="shared" si="0"/>
        <v>8265.6297500000001</v>
      </c>
      <c r="H27" s="149">
        <v>991875.57000000007</v>
      </c>
      <c r="I27" s="149">
        <f t="shared" si="1"/>
        <v>8265.6297500000001</v>
      </c>
      <c r="J27" s="149">
        <f t="shared" ref="J27:T27" si="29">IF(J$3&lt;$E27,I27,0)</f>
        <v>8265.6297500000001</v>
      </c>
      <c r="K27" s="149">
        <f t="shared" si="29"/>
        <v>8265.6297500000001</v>
      </c>
      <c r="L27" s="149">
        <f t="shared" si="29"/>
        <v>8265.6297500000001</v>
      </c>
      <c r="M27" s="149">
        <f t="shared" si="29"/>
        <v>8265.6297500000001</v>
      </c>
      <c r="N27" s="149">
        <f t="shared" si="29"/>
        <v>8265.6297500000001</v>
      </c>
      <c r="O27" s="149">
        <f t="shared" si="29"/>
        <v>8265.6297500000001</v>
      </c>
      <c r="P27" s="149">
        <f t="shared" si="29"/>
        <v>8265.6297500000001</v>
      </c>
      <c r="Q27" s="149">
        <f t="shared" si="29"/>
        <v>8265.6297500000001</v>
      </c>
      <c r="R27" s="149">
        <f t="shared" si="29"/>
        <v>8265.6297500000001</v>
      </c>
      <c r="S27" s="149">
        <f t="shared" si="29"/>
        <v>8265.6297500000001</v>
      </c>
      <c r="T27" s="149">
        <f t="shared" si="29"/>
        <v>8265.6297500000001</v>
      </c>
      <c r="U27" s="149">
        <f t="shared" si="8"/>
        <v>99187.556999999972</v>
      </c>
    </row>
    <row r="28" spans="1:21" x14ac:dyDescent="0.25">
      <c r="A28">
        <v>143003151</v>
      </c>
      <c r="B28" s="278" t="s">
        <v>219</v>
      </c>
      <c r="C28" s="276">
        <v>43252</v>
      </c>
      <c r="D28" s="149">
        <v>36</v>
      </c>
      <c r="E28" s="276">
        <f t="shared" si="4"/>
        <v>44347</v>
      </c>
      <c r="F28" s="330" t="s">
        <v>272</v>
      </c>
      <c r="G28" s="149">
        <f t="shared" si="0"/>
        <v>2830.0133333333329</v>
      </c>
      <c r="H28" s="149">
        <v>101880.47999999998</v>
      </c>
      <c r="I28" s="149">
        <f t="shared" si="1"/>
        <v>2830.0133333333329</v>
      </c>
      <c r="J28" s="149">
        <f t="shared" ref="J28:T28" si="30">IF(J$3&lt;$E28,I28,0)</f>
        <v>2830.0133333333329</v>
      </c>
      <c r="K28" s="149">
        <f t="shared" si="30"/>
        <v>2830.0133333333329</v>
      </c>
      <c r="L28" s="149">
        <f t="shared" si="30"/>
        <v>2830.0133333333329</v>
      </c>
      <c r="M28" s="149">
        <f t="shared" si="30"/>
        <v>2830.0133333333329</v>
      </c>
      <c r="N28" s="149">
        <f t="shared" si="30"/>
        <v>2830.0133333333329</v>
      </c>
      <c r="O28" s="149">
        <f t="shared" si="30"/>
        <v>2830.0133333333329</v>
      </c>
      <c r="P28" s="149">
        <f t="shared" si="30"/>
        <v>2830.0133333333329</v>
      </c>
      <c r="Q28" s="149">
        <f t="shared" si="30"/>
        <v>2830.0133333333329</v>
      </c>
      <c r="R28" s="149">
        <f t="shared" si="30"/>
        <v>2830.0133333333329</v>
      </c>
      <c r="S28" s="149">
        <f t="shared" si="30"/>
        <v>2830.0133333333329</v>
      </c>
      <c r="T28" s="149">
        <f t="shared" si="30"/>
        <v>2830.0133333333329</v>
      </c>
      <c r="U28" s="149">
        <f t="shared" si="8"/>
        <v>33960.159999999996</v>
      </c>
    </row>
    <row r="29" spans="1:21" x14ac:dyDescent="0.25">
      <c r="A29">
        <v>143002447</v>
      </c>
      <c r="B29" t="s">
        <v>218</v>
      </c>
      <c r="C29" s="276">
        <v>42817</v>
      </c>
      <c r="D29" s="149">
        <v>36</v>
      </c>
      <c r="E29" s="276">
        <f t="shared" si="4"/>
        <v>43921</v>
      </c>
      <c r="F29" s="330" t="s">
        <v>267</v>
      </c>
      <c r="G29" s="149">
        <f t="shared" si="0"/>
        <v>0</v>
      </c>
      <c r="H29" s="149">
        <v>0</v>
      </c>
      <c r="I29" s="149">
        <f t="shared" si="1"/>
        <v>0</v>
      </c>
      <c r="J29" s="149">
        <f t="shared" ref="J29:T29" si="31">IF(J$3&lt;$E29,I29,0)</f>
        <v>0</v>
      </c>
      <c r="K29" s="149">
        <f t="shared" si="31"/>
        <v>0</v>
      </c>
      <c r="L29" s="149">
        <f t="shared" si="31"/>
        <v>0</v>
      </c>
      <c r="M29" s="149">
        <f t="shared" si="31"/>
        <v>0</v>
      </c>
      <c r="N29" s="149">
        <f t="shared" si="31"/>
        <v>0</v>
      </c>
      <c r="O29" s="149">
        <f t="shared" si="31"/>
        <v>0</v>
      </c>
      <c r="P29" s="149">
        <f t="shared" si="31"/>
        <v>0</v>
      </c>
      <c r="Q29" s="149">
        <f t="shared" si="31"/>
        <v>0</v>
      </c>
      <c r="R29" s="149">
        <f t="shared" si="31"/>
        <v>0</v>
      </c>
      <c r="S29" s="149">
        <f t="shared" si="31"/>
        <v>0</v>
      </c>
      <c r="T29" s="149">
        <f t="shared" si="31"/>
        <v>0</v>
      </c>
      <c r="U29" s="149">
        <f t="shared" si="8"/>
        <v>0</v>
      </c>
    </row>
    <row r="30" spans="1:21" x14ac:dyDescent="0.25">
      <c r="A30">
        <v>143004361</v>
      </c>
      <c r="B30" t="s">
        <v>217</v>
      </c>
      <c r="C30" s="276">
        <v>43455</v>
      </c>
      <c r="D30" s="149">
        <v>36</v>
      </c>
      <c r="E30" s="276">
        <f t="shared" si="4"/>
        <v>44561</v>
      </c>
      <c r="F30" s="276"/>
      <c r="G30" s="149">
        <f t="shared" si="0"/>
        <v>15830.947500000002</v>
      </c>
      <c r="H30" s="149">
        <v>569914.1100000001</v>
      </c>
      <c r="I30" s="149">
        <f t="shared" si="1"/>
        <v>15830.947500000002</v>
      </c>
      <c r="J30" s="149">
        <f t="shared" ref="J30:T30" si="32">IF(J$3&lt;$E30,I30,0)</f>
        <v>15830.947500000002</v>
      </c>
      <c r="K30" s="149">
        <f t="shared" si="32"/>
        <v>15830.947500000002</v>
      </c>
      <c r="L30" s="149">
        <f t="shared" si="32"/>
        <v>15830.947500000002</v>
      </c>
      <c r="M30" s="149">
        <f t="shared" si="32"/>
        <v>15830.947500000002</v>
      </c>
      <c r="N30" s="149">
        <f t="shared" si="32"/>
        <v>15830.947500000002</v>
      </c>
      <c r="O30" s="149">
        <f t="shared" si="32"/>
        <v>15830.947500000002</v>
      </c>
      <c r="P30" s="149">
        <f t="shared" si="32"/>
        <v>15830.947500000002</v>
      </c>
      <c r="Q30" s="149">
        <f t="shared" si="32"/>
        <v>15830.947500000002</v>
      </c>
      <c r="R30" s="149">
        <f t="shared" si="32"/>
        <v>15830.947500000002</v>
      </c>
      <c r="S30" s="149">
        <f t="shared" si="32"/>
        <v>15830.947500000002</v>
      </c>
      <c r="T30" s="149">
        <f t="shared" si="32"/>
        <v>15830.947500000002</v>
      </c>
      <c r="U30" s="149">
        <f t="shared" si="8"/>
        <v>189971.37000000008</v>
      </c>
    </row>
    <row r="31" spans="1:21" x14ac:dyDescent="0.25">
      <c r="A31">
        <v>143002427</v>
      </c>
      <c r="B31" t="s">
        <v>216</v>
      </c>
      <c r="C31" s="276">
        <v>42746</v>
      </c>
      <c r="D31" s="149">
        <v>36</v>
      </c>
      <c r="E31" s="276">
        <f t="shared" si="4"/>
        <v>43830</v>
      </c>
      <c r="F31" s="330" t="s">
        <v>267</v>
      </c>
      <c r="G31" s="149">
        <f t="shared" si="0"/>
        <v>0</v>
      </c>
      <c r="H31" s="149">
        <v>0</v>
      </c>
      <c r="I31" s="149">
        <f t="shared" si="1"/>
        <v>0</v>
      </c>
      <c r="J31" s="149">
        <f t="shared" ref="J31:T31" si="33">IF(J$3&lt;$E31,I31,0)</f>
        <v>0</v>
      </c>
      <c r="K31" s="149">
        <f t="shared" si="33"/>
        <v>0</v>
      </c>
      <c r="L31" s="149">
        <f t="shared" si="33"/>
        <v>0</v>
      </c>
      <c r="M31" s="149">
        <f t="shared" si="33"/>
        <v>0</v>
      </c>
      <c r="N31" s="149">
        <f t="shared" si="33"/>
        <v>0</v>
      </c>
      <c r="O31" s="149">
        <f t="shared" si="33"/>
        <v>0</v>
      </c>
      <c r="P31" s="149">
        <f t="shared" si="33"/>
        <v>0</v>
      </c>
      <c r="Q31" s="149">
        <f t="shared" si="33"/>
        <v>0</v>
      </c>
      <c r="R31" s="149">
        <f t="shared" si="33"/>
        <v>0</v>
      </c>
      <c r="S31" s="149">
        <f t="shared" si="33"/>
        <v>0</v>
      </c>
      <c r="T31" s="149">
        <f t="shared" si="33"/>
        <v>0</v>
      </c>
      <c r="U31" s="149">
        <f t="shared" si="8"/>
        <v>0</v>
      </c>
    </row>
    <row r="32" spans="1:21" x14ac:dyDescent="0.25">
      <c r="A32">
        <v>143002515</v>
      </c>
      <c r="B32" t="s">
        <v>215</v>
      </c>
      <c r="C32" s="276">
        <v>42746</v>
      </c>
      <c r="D32" s="149">
        <v>36</v>
      </c>
      <c r="E32" s="276">
        <f t="shared" si="4"/>
        <v>43830</v>
      </c>
      <c r="F32" s="330" t="s">
        <v>267</v>
      </c>
      <c r="G32" s="149">
        <f t="shared" si="0"/>
        <v>0</v>
      </c>
      <c r="H32" s="149">
        <v>0</v>
      </c>
      <c r="I32" s="149">
        <f t="shared" si="1"/>
        <v>0</v>
      </c>
      <c r="J32" s="149">
        <f t="shared" ref="J32:T32" si="34">IF(J$3&lt;$E32,I32,0)</f>
        <v>0</v>
      </c>
      <c r="K32" s="149">
        <f t="shared" si="34"/>
        <v>0</v>
      </c>
      <c r="L32" s="149">
        <f t="shared" si="34"/>
        <v>0</v>
      </c>
      <c r="M32" s="149">
        <f t="shared" si="34"/>
        <v>0</v>
      </c>
      <c r="N32" s="149">
        <f t="shared" si="34"/>
        <v>0</v>
      </c>
      <c r="O32" s="149">
        <f t="shared" si="34"/>
        <v>0</v>
      </c>
      <c r="P32" s="149">
        <f t="shared" si="34"/>
        <v>0</v>
      </c>
      <c r="Q32" s="149">
        <f t="shared" si="34"/>
        <v>0</v>
      </c>
      <c r="R32" s="149">
        <f t="shared" si="34"/>
        <v>0</v>
      </c>
      <c r="S32" s="149">
        <f t="shared" si="34"/>
        <v>0</v>
      </c>
      <c r="T32" s="149">
        <f t="shared" si="34"/>
        <v>0</v>
      </c>
      <c r="U32" s="149">
        <f t="shared" si="8"/>
        <v>0</v>
      </c>
    </row>
    <row r="33" spans="1:21" x14ac:dyDescent="0.25">
      <c r="A33">
        <v>143003501</v>
      </c>
      <c r="B33" t="s">
        <v>203</v>
      </c>
      <c r="C33" s="276">
        <v>43437</v>
      </c>
      <c r="D33" s="149">
        <v>36</v>
      </c>
      <c r="E33" s="276">
        <f t="shared" si="4"/>
        <v>44530</v>
      </c>
      <c r="F33" s="276"/>
      <c r="G33" s="149">
        <f t="shared" si="0"/>
        <v>11890.532777777778</v>
      </c>
      <c r="H33" s="149">
        <v>428059.18</v>
      </c>
      <c r="I33" s="149">
        <f t="shared" si="1"/>
        <v>11890.532777777778</v>
      </c>
      <c r="J33" s="149">
        <f t="shared" ref="J33:T33" si="35">IF(J$3&lt;$E33,I33,0)</f>
        <v>11890.532777777778</v>
      </c>
      <c r="K33" s="149">
        <f t="shared" si="35"/>
        <v>11890.532777777778</v>
      </c>
      <c r="L33" s="149">
        <f t="shared" si="35"/>
        <v>11890.532777777778</v>
      </c>
      <c r="M33" s="149">
        <f t="shared" si="35"/>
        <v>11890.532777777778</v>
      </c>
      <c r="N33" s="149">
        <f t="shared" si="35"/>
        <v>11890.532777777778</v>
      </c>
      <c r="O33" s="149">
        <f t="shared" si="35"/>
        <v>11890.532777777778</v>
      </c>
      <c r="P33" s="149">
        <f t="shared" si="35"/>
        <v>11890.532777777778</v>
      </c>
      <c r="Q33" s="149">
        <f t="shared" si="35"/>
        <v>11890.532777777778</v>
      </c>
      <c r="R33" s="149">
        <f t="shared" si="35"/>
        <v>11890.532777777778</v>
      </c>
      <c r="S33" s="149">
        <f t="shared" si="35"/>
        <v>11890.532777777778</v>
      </c>
      <c r="T33" s="149">
        <f t="shared" si="35"/>
        <v>11890.532777777778</v>
      </c>
      <c r="U33" s="149">
        <f t="shared" si="8"/>
        <v>142686.39333333337</v>
      </c>
    </row>
    <row r="34" spans="1:21" x14ac:dyDescent="0.25">
      <c r="A34">
        <v>143003143</v>
      </c>
      <c r="B34" t="s">
        <v>209</v>
      </c>
      <c r="C34" s="276">
        <v>43384</v>
      </c>
      <c r="D34" s="149">
        <v>120</v>
      </c>
      <c r="E34" s="276">
        <f t="shared" si="4"/>
        <v>46996</v>
      </c>
      <c r="F34" s="276"/>
      <c r="G34" s="149">
        <f t="shared" si="0"/>
        <v>2977.1914999999999</v>
      </c>
      <c r="H34" s="149">
        <v>357262.98</v>
      </c>
      <c r="I34" s="149">
        <f t="shared" si="1"/>
        <v>2977.1914999999999</v>
      </c>
      <c r="J34" s="149">
        <f t="shared" ref="J34:T34" si="36">IF(J$3&lt;$E34,I34,0)</f>
        <v>2977.1914999999999</v>
      </c>
      <c r="K34" s="149">
        <f t="shared" si="36"/>
        <v>2977.1914999999999</v>
      </c>
      <c r="L34" s="149">
        <f t="shared" si="36"/>
        <v>2977.1914999999999</v>
      </c>
      <c r="M34" s="149">
        <f t="shared" si="36"/>
        <v>2977.1914999999999</v>
      </c>
      <c r="N34" s="149">
        <f t="shared" si="36"/>
        <v>2977.1914999999999</v>
      </c>
      <c r="O34" s="149">
        <f t="shared" si="36"/>
        <v>2977.1914999999999</v>
      </c>
      <c r="P34" s="149">
        <f t="shared" si="36"/>
        <v>2977.1914999999999</v>
      </c>
      <c r="Q34" s="149">
        <f t="shared" si="36"/>
        <v>2977.1914999999999</v>
      </c>
      <c r="R34" s="149">
        <f t="shared" si="36"/>
        <v>2977.1914999999999</v>
      </c>
      <c r="S34" s="149">
        <f t="shared" si="36"/>
        <v>2977.1914999999999</v>
      </c>
      <c r="T34" s="149">
        <f t="shared" si="36"/>
        <v>2977.1914999999999</v>
      </c>
      <c r="U34" s="149">
        <f t="shared" si="8"/>
        <v>35726.298000000003</v>
      </c>
    </row>
    <row r="35" spans="1:21" x14ac:dyDescent="0.25">
      <c r="A35">
        <v>143002540</v>
      </c>
      <c r="B35" t="s">
        <v>214</v>
      </c>
      <c r="C35" s="276">
        <v>43098</v>
      </c>
      <c r="D35" s="149">
        <v>60</v>
      </c>
      <c r="E35" s="276">
        <f t="shared" si="4"/>
        <v>44926</v>
      </c>
      <c r="F35" s="330" t="s">
        <v>267</v>
      </c>
      <c r="G35" s="149">
        <f t="shared" si="0"/>
        <v>0</v>
      </c>
      <c r="H35" s="149">
        <v>0</v>
      </c>
      <c r="I35" s="149">
        <f t="shared" si="1"/>
        <v>0</v>
      </c>
      <c r="J35" s="149">
        <f t="shared" ref="J35:T35" si="37">IF(J$3&lt;$E35,I35,0)</f>
        <v>0</v>
      </c>
      <c r="K35" s="149">
        <f t="shared" si="37"/>
        <v>0</v>
      </c>
      <c r="L35" s="149">
        <f t="shared" si="37"/>
        <v>0</v>
      </c>
      <c r="M35" s="149">
        <f t="shared" si="37"/>
        <v>0</v>
      </c>
      <c r="N35" s="149">
        <f t="shared" si="37"/>
        <v>0</v>
      </c>
      <c r="O35" s="149">
        <f t="shared" si="37"/>
        <v>0</v>
      </c>
      <c r="P35" s="149">
        <f t="shared" si="37"/>
        <v>0</v>
      </c>
      <c r="Q35" s="149">
        <f t="shared" si="37"/>
        <v>0</v>
      </c>
      <c r="R35" s="149">
        <f t="shared" si="37"/>
        <v>0</v>
      </c>
      <c r="S35" s="149">
        <f t="shared" si="37"/>
        <v>0</v>
      </c>
      <c r="T35" s="149">
        <f t="shared" si="37"/>
        <v>0</v>
      </c>
      <c r="U35" s="149">
        <f t="shared" si="8"/>
        <v>0</v>
      </c>
    </row>
    <row r="36" spans="1:21" x14ac:dyDescent="0.25">
      <c r="A36">
        <v>143003948</v>
      </c>
      <c r="B36" s="278" t="s">
        <v>167</v>
      </c>
      <c r="C36" s="276">
        <v>43278</v>
      </c>
      <c r="D36" s="149">
        <v>36</v>
      </c>
      <c r="E36" s="276">
        <f t="shared" si="4"/>
        <v>44377</v>
      </c>
      <c r="F36" s="330" t="s">
        <v>273</v>
      </c>
      <c r="G36" s="149">
        <f t="shared" ref="G36:G54" si="38">H36/D36</f>
        <v>729.00083333333328</v>
      </c>
      <c r="H36" s="149">
        <v>26244.03</v>
      </c>
      <c r="I36" s="149">
        <f t="shared" si="1"/>
        <v>729.00083333333328</v>
      </c>
      <c r="J36" s="149">
        <f t="shared" ref="J36:T36" si="39">IF(J$3&lt;$E36,I36,0)</f>
        <v>729.00083333333328</v>
      </c>
      <c r="K36" s="149">
        <f t="shared" si="39"/>
        <v>729.00083333333328</v>
      </c>
      <c r="L36" s="149">
        <f t="shared" si="39"/>
        <v>729.00083333333328</v>
      </c>
      <c r="M36" s="149">
        <f t="shared" si="39"/>
        <v>729.00083333333328</v>
      </c>
      <c r="N36" s="149">
        <f t="shared" si="39"/>
        <v>729.00083333333328</v>
      </c>
      <c r="O36" s="149">
        <f t="shared" si="39"/>
        <v>729.00083333333328</v>
      </c>
      <c r="P36" s="149">
        <f t="shared" si="39"/>
        <v>729.00083333333328</v>
      </c>
      <c r="Q36" s="149">
        <f t="shared" si="39"/>
        <v>729.00083333333328</v>
      </c>
      <c r="R36" s="149">
        <f t="shared" si="39"/>
        <v>729.00083333333328</v>
      </c>
      <c r="S36" s="149">
        <f t="shared" si="39"/>
        <v>729.00083333333328</v>
      </c>
      <c r="T36" s="149">
        <f t="shared" si="39"/>
        <v>729.00083333333328</v>
      </c>
      <c r="U36" s="149">
        <f t="shared" si="8"/>
        <v>8748.01</v>
      </c>
    </row>
    <row r="37" spans="1:21" x14ac:dyDescent="0.25">
      <c r="A37">
        <v>143002453</v>
      </c>
      <c r="B37" t="s">
        <v>213</v>
      </c>
      <c r="C37" s="276">
        <v>43096</v>
      </c>
      <c r="D37" s="149">
        <v>36</v>
      </c>
      <c r="E37" s="276">
        <f t="shared" si="4"/>
        <v>44196</v>
      </c>
      <c r="F37" s="330" t="s">
        <v>267</v>
      </c>
      <c r="G37" s="149">
        <f t="shared" si="38"/>
        <v>0</v>
      </c>
      <c r="H37" s="149">
        <v>0</v>
      </c>
      <c r="I37" s="149">
        <f t="shared" si="1"/>
        <v>0</v>
      </c>
      <c r="J37" s="149">
        <f t="shared" ref="J37:T37" si="40">IF(J$3&lt;$E37,I37,0)</f>
        <v>0</v>
      </c>
      <c r="K37" s="149">
        <f t="shared" si="40"/>
        <v>0</v>
      </c>
      <c r="L37" s="149">
        <f t="shared" si="40"/>
        <v>0</v>
      </c>
      <c r="M37" s="149">
        <f t="shared" si="40"/>
        <v>0</v>
      </c>
      <c r="N37" s="149">
        <f t="shared" si="40"/>
        <v>0</v>
      </c>
      <c r="O37" s="149">
        <f t="shared" si="40"/>
        <v>0</v>
      </c>
      <c r="P37" s="149">
        <f t="shared" si="40"/>
        <v>0</v>
      </c>
      <c r="Q37" s="149">
        <f t="shared" si="40"/>
        <v>0</v>
      </c>
      <c r="R37" s="149">
        <f t="shared" si="40"/>
        <v>0</v>
      </c>
      <c r="S37" s="149">
        <f t="shared" si="40"/>
        <v>0</v>
      </c>
      <c r="T37" s="149">
        <f t="shared" si="40"/>
        <v>0</v>
      </c>
      <c r="U37" s="149">
        <f t="shared" si="8"/>
        <v>0</v>
      </c>
    </row>
    <row r="38" spans="1:21" x14ac:dyDescent="0.25">
      <c r="A38">
        <v>143002095</v>
      </c>
      <c r="B38" t="s">
        <v>212</v>
      </c>
      <c r="C38" s="276">
        <v>43098</v>
      </c>
      <c r="D38" s="149">
        <v>60</v>
      </c>
      <c r="E38" s="276">
        <f t="shared" si="4"/>
        <v>44926</v>
      </c>
      <c r="F38" s="330" t="s">
        <v>267</v>
      </c>
      <c r="G38" s="149">
        <f t="shared" si="38"/>
        <v>0</v>
      </c>
      <c r="H38" s="149">
        <v>0</v>
      </c>
      <c r="I38" s="149">
        <f t="shared" si="1"/>
        <v>0</v>
      </c>
      <c r="J38" s="149">
        <f t="shared" ref="J38:T38" si="41">IF(J$3&lt;$E38,I38,0)</f>
        <v>0</v>
      </c>
      <c r="K38" s="149">
        <f t="shared" si="41"/>
        <v>0</v>
      </c>
      <c r="L38" s="149">
        <f t="shared" si="41"/>
        <v>0</v>
      </c>
      <c r="M38" s="149">
        <f t="shared" si="41"/>
        <v>0</v>
      </c>
      <c r="N38" s="149">
        <f t="shared" si="41"/>
        <v>0</v>
      </c>
      <c r="O38" s="149">
        <f t="shared" si="41"/>
        <v>0</v>
      </c>
      <c r="P38" s="149">
        <f t="shared" si="41"/>
        <v>0</v>
      </c>
      <c r="Q38" s="149">
        <f t="shared" si="41"/>
        <v>0</v>
      </c>
      <c r="R38" s="149">
        <f t="shared" si="41"/>
        <v>0</v>
      </c>
      <c r="S38" s="149">
        <f t="shared" si="41"/>
        <v>0</v>
      </c>
      <c r="T38" s="149">
        <f t="shared" si="41"/>
        <v>0</v>
      </c>
      <c r="U38" s="149">
        <f t="shared" si="8"/>
        <v>0</v>
      </c>
    </row>
    <row r="39" spans="1:21" x14ac:dyDescent="0.25">
      <c r="A39">
        <v>143003149</v>
      </c>
      <c r="B39" t="s">
        <v>211</v>
      </c>
      <c r="C39" s="276">
        <v>43185</v>
      </c>
      <c r="D39" s="149">
        <v>36</v>
      </c>
      <c r="E39" s="276">
        <f t="shared" si="4"/>
        <v>44286</v>
      </c>
      <c r="F39" s="330" t="s">
        <v>267</v>
      </c>
      <c r="G39" s="149">
        <f t="shared" si="38"/>
        <v>0</v>
      </c>
      <c r="H39" s="149">
        <v>0</v>
      </c>
      <c r="I39" s="149">
        <f t="shared" si="1"/>
        <v>0</v>
      </c>
      <c r="J39" s="149">
        <f t="shared" ref="J39:T39" si="42">IF(J$3&lt;$E39,I39,0)</f>
        <v>0</v>
      </c>
      <c r="K39" s="149">
        <f t="shared" si="42"/>
        <v>0</v>
      </c>
      <c r="L39" s="149">
        <f t="shared" si="42"/>
        <v>0</v>
      </c>
      <c r="M39" s="149">
        <f t="shared" si="42"/>
        <v>0</v>
      </c>
      <c r="N39" s="149">
        <f t="shared" si="42"/>
        <v>0</v>
      </c>
      <c r="O39" s="149">
        <f t="shared" si="42"/>
        <v>0</v>
      </c>
      <c r="P39" s="149">
        <f t="shared" si="42"/>
        <v>0</v>
      </c>
      <c r="Q39" s="149">
        <f t="shared" si="42"/>
        <v>0</v>
      </c>
      <c r="R39" s="149">
        <f t="shared" si="42"/>
        <v>0</v>
      </c>
      <c r="S39" s="149">
        <f t="shared" si="42"/>
        <v>0</v>
      </c>
      <c r="T39" s="149">
        <f t="shared" si="42"/>
        <v>0</v>
      </c>
      <c r="U39" s="149">
        <f t="shared" si="8"/>
        <v>0</v>
      </c>
    </row>
    <row r="40" spans="1:21" x14ac:dyDescent="0.25">
      <c r="A40">
        <v>143003148</v>
      </c>
      <c r="B40" t="s">
        <v>210</v>
      </c>
      <c r="C40" s="276">
        <v>43185</v>
      </c>
      <c r="D40" s="149">
        <v>36</v>
      </c>
      <c r="E40" s="276">
        <f t="shared" si="4"/>
        <v>44286</v>
      </c>
      <c r="F40" s="330" t="s">
        <v>267</v>
      </c>
      <c r="G40" s="149">
        <f t="shared" si="38"/>
        <v>0</v>
      </c>
      <c r="H40" s="149">
        <v>0</v>
      </c>
      <c r="I40" s="149">
        <f t="shared" si="1"/>
        <v>0</v>
      </c>
      <c r="J40" s="149">
        <f t="shared" ref="J40:T40" si="43">IF(J$3&lt;$E40,I40,0)</f>
        <v>0</v>
      </c>
      <c r="K40" s="149">
        <f t="shared" si="43"/>
        <v>0</v>
      </c>
      <c r="L40" s="149">
        <f t="shared" si="43"/>
        <v>0</v>
      </c>
      <c r="M40" s="149">
        <f t="shared" si="43"/>
        <v>0</v>
      </c>
      <c r="N40" s="149">
        <f t="shared" si="43"/>
        <v>0</v>
      </c>
      <c r="O40" s="149">
        <f t="shared" si="43"/>
        <v>0</v>
      </c>
      <c r="P40" s="149">
        <f t="shared" si="43"/>
        <v>0</v>
      </c>
      <c r="Q40" s="149">
        <f t="shared" si="43"/>
        <v>0</v>
      </c>
      <c r="R40" s="149">
        <f t="shared" si="43"/>
        <v>0</v>
      </c>
      <c r="S40" s="149">
        <f t="shared" si="43"/>
        <v>0</v>
      </c>
      <c r="T40" s="149">
        <f t="shared" si="43"/>
        <v>0</v>
      </c>
      <c r="U40" s="149">
        <f t="shared" si="8"/>
        <v>0</v>
      </c>
    </row>
    <row r="41" spans="1:21" x14ac:dyDescent="0.25">
      <c r="A41">
        <v>143003708</v>
      </c>
      <c r="B41" t="s">
        <v>209</v>
      </c>
      <c r="C41" s="276">
        <v>43384</v>
      </c>
      <c r="D41" s="149">
        <v>120</v>
      </c>
      <c r="E41" s="276">
        <f t="shared" si="4"/>
        <v>46996</v>
      </c>
      <c r="F41" s="276"/>
      <c r="G41" s="149">
        <f t="shared" si="38"/>
        <v>379.13475</v>
      </c>
      <c r="H41" s="149">
        <v>45496.17</v>
      </c>
      <c r="I41" s="149">
        <f t="shared" si="1"/>
        <v>379.13475</v>
      </c>
      <c r="J41" s="149">
        <f t="shared" ref="J41:T41" si="44">IF(J$3&lt;$E41,I41,0)</f>
        <v>379.13475</v>
      </c>
      <c r="K41" s="149">
        <f t="shared" si="44"/>
        <v>379.13475</v>
      </c>
      <c r="L41" s="149">
        <f t="shared" si="44"/>
        <v>379.13475</v>
      </c>
      <c r="M41" s="149">
        <f t="shared" si="44"/>
        <v>379.13475</v>
      </c>
      <c r="N41" s="149">
        <f t="shared" si="44"/>
        <v>379.13475</v>
      </c>
      <c r="O41" s="149">
        <f t="shared" si="44"/>
        <v>379.13475</v>
      </c>
      <c r="P41" s="149">
        <f t="shared" si="44"/>
        <v>379.13475</v>
      </c>
      <c r="Q41" s="149">
        <f t="shared" si="44"/>
        <v>379.13475</v>
      </c>
      <c r="R41" s="149">
        <f t="shared" si="44"/>
        <v>379.13475</v>
      </c>
      <c r="S41" s="149">
        <f t="shared" si="44"/>
        <v>379.13475</v>
      </c>
      <c r="T41" s="149">
        <f t="shared" si="44"/>
        <v>379.13475</v>
      </c>
      <c r="U41" s="149">
        <f t="shared" si="8"/>
        <v>4549.6170000000011</v>
      </c>
    </row>
    <row r="42" spans="1:21" x14ac:dyDescent="0.25">
      <c r="A42">
        <v>143002440</v>
      </c>
      <c r="B42" t="s">
        <v>208</v>
      </c>
      <c r="C42" s="276">
        <v>42895</v>
      </c>
      <c r="D42" s="149">
        <v>36</v>
      </c>
      <c r="E42" s="276">
        <f t="shared" si="4"/>
        <v>43982</v>
      </c>
      <c r="F42" s="330" t="s">
        <v>267</v>
      </c>
      <c r="G42" s="149">
        <f t="shared" si="38"/>
        <v>0</v>
      </c>
      <c r="H42" s="149">
        <v>0</v>
      </c>
      <c r="I42" s="149">
        <f t="shared" si="1"/>
        <v>0</v>
      </c>
      <c r="J42" s="149">
        <f t="shared" ref="J42:T42" si="45">IF(J$3&lt;$E42,I42,0)</f>
        <v>0</v>
      </c>
      <c r="K42" s="149">
        <f t="shared" si="45"/>
        <v>0</v>
      </c>
      <c r="L42" s="149">
        <f t="shared" si="45"/>
        <v>0</v>
      </c>
      <c r="M42" s="149">
        <f t="shared" si="45"/>
        <v>0</v>
      </c>
      <c r="N42" s="149">
        <f t="shared" si="45"/>
        <v>0</v>
      </c>
      <c r="O42" s="149">
        <f t="shared" si="45"/>
        <v>0</v>
      </c>
      <c r="P42" s="149">
        <f t="shared" si="45"/>
        <v>0</v>
      </c>
      <c r="Q42" s="149">
        <f t="shared" si="45"/>
        <v>0</v>
      </c>
      <c r="R42" s="149">
        <f t="shared" si="45"/>
        <v>0</v>
      </c>
      <c r="S42" s="149">
        <f t="shared" si="45"/>
        <v>0</v>
      </c>
      <c r="T42" s="149">
        <f t="shared" si="45"/>
        <v>0</v>
      </c>
      <c r="U42" s="149">
        <f t="shared" si="8"/>
        <v>0</v>
      </c>
    </row>
    <row r="43" spans="1:21" x14ac:dyDescent="0.25">
      <c r="A43">
        <v>143002058</v>
      </c>
      <c r="B43" t="s">
        <v>207</v>
      </c>
      <c r="C43" s="276">
        <v>42522</v>
      </c>
      <c r="D43" s="149">
        <v>36</v>
      </c>
      <c r="E43" s="276">
        <f t="shared" si="4"/>
        <v>43616</v>
      </c>
      <c r="F43" s="330" t="s">
        <v>267</v>
      </c>
      <c r="G43" s="149">
        <f t="shared" si="38"/>
        <v>0</v>
      </c>
      <c r="H43" s="149">
        <v>0</v>
      </c>
      <c r="I43" s="149">
        <f t="shared" si="1"/>
        <v>0</v>
      </c>
      <c r="J43" s="149">
        <f t="shared" ref="J43:T43" si="46">IF(J$3&lt;$E43,I43,0)</f>
        <v>0</v>
      </c>
      <c r="K43" s="149">
        <f t="shared" si="46"/>
        <v>0</v>
      </c>
      <c r="L43" s="149">
        <f t="shared" si="46"/>
        <v>0</v>
      </c>
      <c r="M43" s="149">
        <f t="shared" si="46"/>
        <v>0</v>
      </c>
      <c r="N43" s="149">
        <f t="shared" si="46"/>
        <v>0</v>
      </c>
      <c r="O43" s="149">
        <f t="shared" si="46"/>
        <v>0</v>
      </c>
      <c r="P43" s="149">
        <f t="shared" si="46"/>
        <v>0</v>
      </c>
      <c r="Q43" s="149">
        <f t="shared" si="46"/>
        <v>0</v>
      </c>
      <c r="R43" s="149">
        <f t="shared" si="46"/>
        <v>0</v>
      </c>
      <c r="S43" s="149">
        <f t="shared" si="46"/>
        <v>0</v>
      </c>
      <c r="T43" s="149">
        <f t="shared" si="46"/>
        <v>0</v>
      </c>
      <c r="U43" s="149">
        <f t="shared" si="8"/>
        <v>0</v>
      </c>
    </row>
    <row r="44" spans="1:21" x14ac:dyDescent="0.25">
      <c r="A44">
        <v>143002865</v>
      </c>
      <c r="B44" t="s">
        <v>195</v>
      </c>
      <c r="C44" s="276">
        <v>43066</v>
      </c>
      <c r="D44" s="149">
        <v>240</v>
      </c>
      <c r="E44" s="276">
        <f t="shared" si="4"/>
        <v>50283</v>
      </c>
      <c r="F44" s="276"/>
      <c r="G44" s="149">
        <f t="shared" si="38"/>
        <v>31.991041666666668</v>
      </c>
      <c r="H44" s="149">
        <v>7677.85</v>
      </c>
      <c r="I44" s="149">
        <f t="shared" si="1"/>
        <v>31.991041666666668</v>
      </c>
      <c r="J44" s="149">
        <f t="shared" ref="J44:T44" si="47">IF(J$3&lt;$E44,I44,0)</f>
        <v>31.991041666666668</v>
      </c>
      <c r="K44" s="149">
        <f t="shared" si="47"/>
        <v>31.991041666666668</v>
      </c>
      <c r="L44" s="149">
        <f t="shared" si="47"/>
        <v>31.991041666666668</v>
      </c>
      <c r="M44" s="149">
        <f t="shared" si="47"/>
        <v>31.991041666666668</v>
      </c>
      <c r="N44" s="149">
        <f t="shared" si="47"/>
        <v>31.991041666666668</v>
      </c>
      <c r="O44" s="149">
        <f t="shared" si="47"/>
        <v>31.991041666666668</v>
      </c>
      <c r="P44" s="149">
        <f t="shared" si="47"/>
        <v>31.991041666666668</v>
      </c>
      <c r="Q44" s="149">
        <f t="shared" si="47"/>
        <v>31.991041666666668</v>
      </c>
      <c r="R44" s="149">
        <f t="shared" si="47"/>
        <v>31.991041666666668</v>
      </c>
      <c r="S44" s="149">
        <f t="shared" si="47"/>
        <v>31.991041666666668</v>
      </c>
      <c r="T44" s="149">
        <f t="shared" si="47"/>
        <v>31.991041666666668</v>
      </c>
      <c r="U44" s="149">
        <f t="shared" si="8"/>
        <v>383.89249999999998</v>
      </c>
    </row>
    <row r="45" spans="1:21" x14ac:dyDescent="0.25">
      <c r="A45" s="1">
        <v>143002434</v>
      </c>
      <c r="B45" t="s">
        <v>206</v>
      </c>
      <c r="C45" s="329">
        <v>43098</v>
      </c>
      <c r="D45" s="149">
        <v>60</v>
      </c>
      <c r="E45" s="276">
        <f t="shared" si="4"/>
        <v>44926</v>
      </c>
      <c r="F45" s="330" t="s">
        <v>267</v>
      </c>
      <c r="G45" s="149">
        <f t="shared" si="38"/>
        <v>0</v>
      </c>
      <c r="H45" s="149">
        <v>0</v>
      </c>
      <c r="I45" s="149">
        <f t="shared" si="1"/>
        <v>0</v>
      </c>
      <c r="J45" s="149">
        <f t="shared" ref="J45:T45" si="48">IF(J$3&lt;$E45,I45,0)</f>
        <v>0</v>
      </c>
      <c r="K45" s="149">
        <f t="shared" si="48"/>
        <v>0</v>
      </c>
      <c r="L45" s="149">
        <f t="shared" si="48"/>
        <v>0</v>
      </c>
      <c r="M45" s="149">
        <f t="shared" si="48"/>
        <v>0</v>
      </c>
      <c r="N45" s="149">
        <f t="shared" si="48"/>
        <v>0</v>
      </c>
      <c r="O45" s="149">
        <f t="shared" si="48"/>
        <v>0</v>
      </c>
      <c r="P45" s="149">
        <f t="shared" si="48"/>
        <v>0</v>
      </c>
      <c r="Q45" s="149">
        <f t="shared" si="48"/>
        <v>0</v>
      </c>
      <c r="R45" s="149">
        <f t="shared" si="48"/>
        <v>0</v>
      </c>
      <c r="S45" s="149">
        <f t="shared" si="48"/>
        <v>0</v>
      </c>
      <c r="T45" s="149">
        <f t="shared" si="48"/>
        <v>0</v>
      </c>
      <c r="U45" s="149">
        <f t="shared" si="8"/>
        <v>0</v>
      </c>
    </row>
    <row r="46" spans="1:21" x14ac:dyDescent="0.25">
      <c r="A46" s="1">
        <v>143004551</v>
      </c>
      <c r="B46" t="s">
        <v>178</v>
      </c>
      <c r="C46" s="329">
        <v>43522</v>
      </c>
      <c r="D46" s="149">
        <v>26.5</v>
      </c>
      <c r="E46" s="276">
        <f t="shared" si="4"/>
        <v>44347</v>
      </c>
      <c r="F46" s="276"/>
      <c r="G46" s="149">
        <f t="shared" si="38"/>
        <v>25778.570943396226</v>
      </c>
      <c r="H46" s="149">
        <f>'GTZ Forecast'!P3</f>
        <v>683132.13</v>
      </c>
      <c r="I46" s="149">
        <f t="shared" si="1"/>
        <v>25778.570943396226</v>
      </c>
      <c r="J46" s="149">
        <f t="shared" ref="J46:T54" si="49">IF(J$3&lt;$E46,$G46,0)</f>
        <v>25778.570943396226</v>
      </c>
      <c r="K46" s="149">
        <f t="shared" si="49"/>
        <v>25778.570943396226</v>
      </c>
      <c r="L46" s="149">
        <f t="shared" si="49"/>
        <v>25778.570943396226</v>
      </c>
      <c r="M46" s="149">
        <f t="shared" si="49"/>
        <v>25778.570943396226</v>
      </c>
      <c r="N46" s="149">
        <f t="shared" si="49"/>
        <v>25778.570943396226</v>
      </c>
      <c r="O46" s="149">
        <f t="shared" si="49"/>
        <v>25778.570943396226</v>
      </c>
      <c r="P46" s="149">
        <f t="shared" si="49"/>
        <v>25778.570943396226</v>
      </c>
      <c r="Q46" s="149">
        <f t="shared" si="49"/>
        <v>25778.570943396226</v>
      </c>
      <c r="R46" s="149">
        <f t="shared" si="49"/>
        <v>25778.570943396226</v>
      </c>
      <c r="S46" s="149">
        <f t="shared" si="49"/>
        <v>25778.570943396226</v>
      </c>
      <c r="T46" s="149">
        <f t="shared" si="49"/>
        <v>25778.570943396226</v>
      </c>
      <c r="U46" s="149">
        <f t="shared" si="8"/>
        <v>309342.85132075468</v>
      </c>
    </row>
    <row r="47" spans="1:21" x14ac:dyDescent="0.25">
      <c r="A47" s="1">
        <v>143004663</v>
      </c>
      <c r="B47" t="s">
        <v>173</v>
      </c>
      <c r="C47" s="329">
        <v>43522</v>
      </c>
      <c r="D47" s="149">
        <v>36</v>
      </c>
      <c r="E47" s="276">
        <f t="shared" si="4"/>
        <v>44620</v>
      </c>
      <c r="F47" s="276"/>
      <c r="G47" s="149">
        <f t="shared" si="38"/>
        <v>133593.79416666666</v>
      </c>
      <c r="H47" s="149">
        <f>'GTZ Forecast'!P4</f>
        <v>4809376.59</v>
      </c>
      <c r="I47" s="149">
        <f t="shared" si="1"/>
        <v>133593.79416666666</v>
      </c>
      <c r="J47" s="149">
        <f t="shared" si="49"/>
        <v>133593.79416666666</v>
      </c>
      <c r="K47" s="149">
        <f t="shared" si="49"/>
        <v>133593.79416666666</v>
      </c>
      <c r="L47" s="149">
        <f t="shared" si="49"/>
        <v>133593.79416666666</v>
      </c>
      <c r="M47" s="149">
        <f t="shared" si="49"/>
        <v>133593.79416666666</v>
      </c>
      <c r="N47" s="149">
        <f t="shared" si="49"/>
        <v>133593.79416666666</v>
      </c>
      <c r="O47" s="149">
        <f t="shared" si="49"/>
        <v>133593.79416666666</v>
      </c>
      <c r="P47" s="149">
        <f t="shared" si="49"/>
        <v>133593.79416666666</v>
      </c>
      <c r="Q47" s="149">
        <f t="shared" si="49"/>
        <v>133593.79416666666</v>
      </c>
      <c r="R47" s="149">
        <f t="shared" si="49"/>
        <v>133593.79416666666</v>
      </c>
      <c r="S47" s="149">
        <f t="shared" si="49"/>
        <v>133593.79416666666</v>
      </c>
      <c r="T47" s="149">
        <f t="shared" si="49"/>
        <v>133593.79416666666</v>
      </c>
      <c r="U47" s="149">
        <f t="shared" si="8"/>
        <v>1603125.53</v>
      </c>
    </row>
    <row r="48" spans="1:21" x14ac:dyDescent="0.25">
      <c r="A48" s="1">
        <v>143004787</v>
      </c>
      <c r="B48" t="s">
        <v>202</v>
      </c>
      <c r="C48" s="329">
        <v>43585</v>
      </c>
      <c r="D48" s="149">
        <v>36</v>
      </c>
      <c r="E48" s="276">
        <f t="shared" si="4"/>
        <v>44681</v>
      </c>
      <c r="F48" s="276"/>
      <c r="G48" s="149">
        <f t="shared" si="38"/>
        <v>24055.555555555555</v>
      </c>
      <c r="H48" s="149">
        <f>'GTZ Forecast'!P5</f>
        <v>866000</v>
      </c>
      <c r="I48" s="149">
        <f t="shared" si="1"/>
        <v>24055.555555555555</v>
      </c>
      <c r="J48" s="149">
        <f t="shared" si="49"/>
        <v>24055.555555555555</v>
      </c>
      <c r="K48" s="149">
        <f t="shared" si="49"/>
        <v>24055.555555555555</v>
      </c>
      <c r="L48" s="149">
        <f t="shared" si="49"/>
        <v>24055.555555555555</v>
      </c>
      <c r="M48" s="149">
        <f t="shared" si="49"/>
        <v>24055.555555555555</v>
      </c>
      <c r="N48" s="149">
        <f t="shared" si="49"/>
        <v>24055.555555555555</v>
      </c>
      <c r="O48" s="149">
        <f t="shared" si="49"/>
        <v>24055.555555555555</v>
      </c>
      <c r="P48" s="149">
        <f t="shared" si="49"/>
        <v>24055.555555555555</v>
      </c>
      <c r="Q48" s="149">
        <f t="shared" si="49"/>
        <v>24055.555555555555</v>
      </c>
      <c r="R48" s="149">
        <f t="shared" si="49"/>
        <v>24055.555555555555</v>
      </c>
      <c r="S48" s="149">
        <f t="shared" si="49"/>
        <v>24055.555555555555</v>
      </c>
      <c r="T48" s="149">
        <f t="shared" si="49"/>
        <v>24055.555555555555</v>
      </c>
      <c r="U48" s="149">
        <f t="shared" si="8"/>
        <v>288666.66666666669</v>
      </c>
    </row>
    <row r="49" spans="1:21" x14ac:dyDescent="0.25">
      <c r="A49" s="1">
        <v>143002683</v>
      </c>
      <c r="B49" t="s">
        <v>166</v>
      </c>
      <c r="C49" s="329">
        <v>43552</v>
      </c>
      <c r="D49" s="149">
        <v>36</v>
      </c>
      <c r="E49" s="276">
        <f t="shared" si="4"/>
        <v>44651</v>
      </c>
      <c r="F49" s="276"/>
      <c r="G49" s="149">
        <f t="shared" si="38"/>
        <v>362204.32055555552</v>
      </c>
      <c r="H49" s="149">
        <f>'GTZ Forecast'!P6</f>
        <v>13039355.539999999</v>
      </c>
      <c r="I49" s="149">
        <f t="shared" si="1"/>
        <v>362204.32055555552</v>
      </c>
      <c r="J49" s="149">
        <f t="shared" si="49"/>
        <v>362204.32055555552</v>
      </c>
      <c r="K49" s="149">
        <f t="shared" si="49"/>
        <v>362204.32055555552</v>
      </c>
      <c r="L49" s="149">
        <f t="shared" si="49"/>
        <v>362204.32055555552</v>
      </c>
      <c r="M49" s="149">
        <f t="shared" si="49"/>
        <v>362204.32055555552</v>
      </c>
      <c r="N49" s="149">
        <f t="shared" si="49"/>
        <v>362204.32055555552</v>
      </c>
      <c r="O49" s="149">
        <f t="shared" si="49"/>
        <v>362204.32055555552</v>
      </c>
      <c r="P49" s="149">
        <f t="shared" si="49"/>
        <v>362204.32055555552</v>
      </c>
      <c r="Q49" s="149">
        <f t="shared" si="49"/>
        <v>362204.32055555552</v>
      </c>
      <c r="R49" s="149">
        <f t="shared" si="49"/>
        <v>362204.32055555552</v>
      </c>
      <c r="S49" s="149">
        <f t="shared" si="49"/>
        <v>362204.32055555552</v>
      </c>
      <c r="T49" s="149">
        <f t="shared" si="49"/>
        <v>362204.32055555552</v>
      </c>
      <c r="U49" s="149">
        <f t="shared" si="8"/>
        <v>4346451.8466666667</v>
      </c>
    </row>
    <row r="50" spans="1:21" x14ac:dyDescent="0.25">
      <c r="A50" s="1">
        <v>143004552</v>
      </c>
      <c r="B50" t="s">
        <v>163</v>
      </c>
      <c r="C50" s="329">
        <v>43500</v>
      </c>
      <c r="D50" s="149">
        <v>60</v>
      </c>
      <c r="E50" s="276">
        <f t="shared" si="4"/>
        <v>45322</v>
      </c>
      <c r="F50" s="276"/>
      <c r="G50" s="149">
        <f t="shared" si="38"/>
        <v>1322.5325</v>
      </c>
      <c r="H50" s="149">
        <f>'GTZ Forecast'!P7</f>
        <v>79351.95</v>
      </c>
      <c r="I50" s="149">
        <f t="shared" si="1"/>
        <v>1322.5325</v>
      </c>
      <c r="J50" s="149">
        <f t="shared" si="49"/>
        <v>1322.5325</v>
      </c>
      <c r="K50" s="149">
        <f t="shared" si="49"/>
        <v>1322.5325</v>
      </c>
      <c r="L50" s="149">
        <f t="shared" si="49"/>
        <v>1322.5325</v>
      </c>
      <c r="M50" s="149">
        <f t="shared" si="49"/>
        <v>1322.5325</v>
      </c>
      <c r="N50" s="149">
        <f t="shared" si="49"/>
        <v>1322.5325</v>
      </c>
      <c r="O50" s="149">
        <f t="shared" si="49"/>
        <v>1322.5325</v>
      </c>
      <c r="P50" s="149">
        <f t="shared" si="49"/>
        <v>1322.5325</v>
      </c>
      <c r="Q50" s="149">
        <f t="shared" si="49"/>
        <v>1322.5325</v>
      </c>
      <c r="R50" s="149">
        <f t="shared" si="49"/>
        <v>1322.5325</v>
      </c>
      <c r="S50" s="149">
        <f t="shared" si="49"/>
        <v>1322.5325</v>
      </c>
      <c r="T50" s="149">
        <f t="shared" si="49"/>
        <v>1322.5325</v>
      </c>
      <c r="U50" s="149">
        <f t="shared" si="8"/>
        <v>15870.389999999998</v>
      </c>
    </row>
    <row r="51" spans="1:21" x14ac:dyDescent="0.25">
      <c r="A51" s="1">
        <v>143004584</v>
      </c>
      <c r="B51" t="s">
        <v>160</v>
      </c>
      <c r="C51" s="329">
        <v>43500</v>
      </c>
      <c r="D51" s="149">
        <v>122.95081967213113</v>
      </c>
      <c r="E51" s="276">
        <f t="shared" si="4"/>
        <v>47208</v>
      </c>
      <c r="F51" s="276"/>
      <c r="G51" s="149">
        <f t="shared" si="38"/>
        <v>95524.75137066668</v>
      </c>
      <c r="H51" s="149">
        <f>'GTZ Forecast'!P8</f>
        <v>11744846.48</v>
      </c>
      <c r="I51" s="149">
        <f t="shared" si="1"/>
        <v>95524.75137066668</v>
      </c>
      <c r="J51" s="149">
        <f t="shared" si="49"/>
        <v>95524.75137066668</v>
      </c>
      <c r="K51" s="149">
        <f t="shared" si="49"/>
        <v>95524.75137066668</v>
      </c>
      <c r="L51" s="149">
        <f t="shared" si="49"/>
        <v>95524.75137066668</v>
      </c>
      <c r="M51" s="149">
        <f t="shared" si="49"/>
        <v>95524.75137066668</v>
      </c>
      <c r="N51" s="149">
        <f t="shared" si="49"/>
        <v>95524.75137066668</v>
      </c>
      <c r="O51" s="149">
        <f t="shared" si="49"/>
        <v>95524.75137066668</v>
      </c>
      <c r="P51" s="149">
        <f t="shared" si="49"/>
        <v>95524.75137066668</v>
      </c>
      <c r="Q51" s="149">
        <f t="shared" si="49"/>
        <v>95524.75137066668</v>
      </c>
      <c r="R51" s="149">
        <f t="shared" si="49"/>
        <v>95524.75137066668</v>
      </c>
      <c r="S51" s="149">
        <f t="shared" si="49"/>
        <v>95524.75137066668</v>
      </c>
      <c r="T51" s="149">
        <f t="shared" si="49"/>
        <v>95524.75137066668</v>
      </c>
      <c r="U51" s="149">
        <f t="shared" si="8"/>
        <v>1146297.0164480002</v>
      </c>
    </row>
    <row r="52" spans="1:21" x14ac:dyDescent="0.25">
      <c r="A52" s="1">
        <v>143004241</v>
      </c>
      <c r="B52" t="s">
        <v>152</v>
      </c>
      <c r="C52" s="329">
        <v>43646</v>
      </c>
      <c r="D52" s="149">
        <v>120</v>
      </c>
      <c r="E52" s="276">
        <f t="shared" si="4"/>
        <v>47269</v>
      </c>
      <c r="F52" s="276"/>
      <c r="G52" s="149">
        <f t="shared" si="38"/>
        <v>6858.333333333333</v>
      </c>
      <c r="H52" s="149">
        <f>'GTZ Forecast'!P9</f>
        <v>823000</v>
      </c>
      <c r="I52" s="149"/>
      <c r="J52" s="149">
        <f t="shared" si="49"/>
        <v>6858.333333333333</v>
      </c>
      <c r="K52" s="149">
        <f t="shared" si="49"/>
        <v>6858.333333333333</v>
      </c>
      <c r="L52" s="149">
        <f t="shared" si="49"/>
        <v>6858.333333333333</v>
      </c>
      <c r="M52" s="149">
        <f t="shared" si="49"/>
        <v>6858.333333333333</v>
      </c>
      <c r="N52" s="149">
        <f t="shared" si="49"/>
        <v>6858.333333333333</v>
      </c>
      <c r="O52" s="149">
        <f t="shared" si="49"/>
        <v>6858.333333333333</v>
      </c>
      <c r="P52" s="149">
        <f t="shared" si="49"/>
        <v>6858.333333333333</v>
      </c>
      <c r="Q52" s="149">
        <f t="shared" si="49"/>
        <v>6858.333333333333</v>
      </c>
      <c r="R52" s="149">
        <f t="shared" si="49"/>
        <v>6858.333333333333</v>
      </c>
      <c r="S52" s="149">
        <f t="shared" si="49"/>
        <v>6858.333333333333</v>
      </c>
      <c r="T52" s="149">
        <f t="shared" si="49"/>
        <v>6858.333333333333</v>
      </c>
      <c r="U52" s="149">
        <f t="shared" si="8"/>
        <v>75441.666666666672</v>
      </c>
    </row>
    <row r="53" spans="1:21" x14ac:dyDescent="0.25">
      <c r="A53" s="1">
        <v>143004079</v>
      </c>
      <c r="B53" t="s">
        <v>200</v>
      </c>
      <c r="C53" s="329">
        <v>43515</v>
      </c>
      <c r="D53" s="149">
        <v>36</v>
      </c>
      <c r="E53" s="276">
        <f t="shared" si="4"/>
        <v>44620</v>
      </c>
      <c r="F53" s="276"/>
      <c r="G53" s="149">
        <f t="shared" si="38"/>
        <v>2461.5291666666667</v>
      </c>
      <c r="H53" s="149">
        <f>'GTZ Forecast'!P10</f>
        <v>88615.05</v>
      </c>
      <c r="I53" s="149">
        <f>IF(I$3&lt;$E53,$G53,0)</f>
        <v>2461.5291666666667</v>
      </c>
      <c r="J53" s="149">
        <f t="shared" si="49"/>
        <v>2461.5291666666667</v>
      </c>
      <c r="K53" s="149">
        <f t="shared" si="49"/>
        <v>2461.5291666666667</v>
      </c>
      <c r="L53" s="149">
        <f t="shared" si="49"/>
        <v>2461.5291666666667</v>
      </c>
      <c r="M53" s="149">
        <f t="shared" si="49"/>
        <v>2461.5291666666667</v>
      </c>
      <c r="N53" s="149">
        <f t="shared" si="49"/>
        <v>2461.5291666666667</v>
      </c>
      <c r="O53" s="149">
        <f t="shared" si="49"/>
        <v>2461.5291666666667</v>
      </c>
      <c r="P53" s="149">
        <f t="shared" si="49"/>
        <v>2461.5291666666667</v>
      </c>
      <c r="Q53" s="149">
        <f t="shared" si="49"/>
        <v>2461.5291666666667</v>
      </c>
      <c r="R53" s="149">
        <f t="shared" si="49"/>
        <v>2461.5291666666667</v>
      </c>
      <c r="S53" s="149">
        <f t="shared" si="49"/>
        <v>2461.5291666666667</v>
      </c>
      <c r="T53" s="149">
        <f t="shared" si="49"/>
        <v>2461.5291666666667</v>
      </c>
      <c r="U53" s="149">
        <f t="shared" si="8"/>
        <v>29538.350000000002</v>
      </c>
    </row>
    <row r="54" spans="1:21" x14ac:dyDescent="0.25">
      <c r="A54" s="1">
        <v>143004080</v>
      </c>
      <c r="B54" t="s">
        <v>199</v>
      </c>
      <c r="C54" s="329">
        <v>43515</v>
      </c>
      <c r="D54" s="149">
        <v>36</v>
      </c>
      <c r="E54" s="276">
        <f t="shared" si="4"/>
        <v>44620</v>
      </c>
      <c r="F54" s="276"/>
      <c r="G54" s="149">
        <f t="shared" si="38"/>
        <v>9039.8624999999993</v>
      </c>
      <c r="H54" s="149">
        <f>'GTZ Forecast'!P11</f>
        <v>325435.05</v>
      </c>
      <c r="I54" s="149">
        <f>IF(I$3&lt;$E54,$G54,0)</f>
        <v>9039.8624999999993</v>
      </c>
      <c r="J54" s="149">
        <f t="shared" si="49"/>
        <v>9039.8624999999993</v>
      </c>
      <c r="K54" s="149">
        <f t="shared" si="49"/>
        <v>9039.8624999999993</v>
      </c>
      <c r="L54" s="149">
        <f t="shared" si="49"/>
        <v>9039.8624999999993</v>
      </c>
      <c r="M54" s="149">
        <f t="shared" si="49"/>
        <v>9039.8624999999993</v>
      </c>
      <c r="N54" s="149">
        <f t="shared" si="49"/>
        <v>9039.8624999999993</v>
      </c>
      <c r="O54" s="149">
        <f t="shared" si="49"/>
        <v>9039.8624999999993</v>
      </c>
      <c r="P54" s="149">
        <f t="shared" si="49"/>
        <v>9039.8624999999993</v>
      </c>
      <c r="Q54" s="149">
        <f t="shared" si="49"/>
        <v>9039.8624999999993</v>
      </c>
      <c r="R54" s="149">
        <f t="shared" si="49"/>
        <v>9039.8624999999993</v>
      </c>
      <c r="S54" s="149">
        <f t="shared" si="49"/>
        <v>9039.8624999999993</v>
      </c>
      <c r="T54" s="149">
        <f t="shared" si="49"/>
        <v>9039.8624999999993</v>
      </c>
      <c r="U54" s="149">
        <f t="shared" si="8"/>
        <v>108478.35000000002</v>
      </c>
    </row>
    <row r="55" spans="1:21" ht="15.75" thickBot="1" x14ac:dyDescent="0.3">
      <c r="H55" s="262">
        <f>SUM(H4:H54)</f>
        <v>165723995.64999995</v>
      </c>
      <c r="I55" s="262">
        <f>SUM(I4:I54)</f>
        <v>2539710.7381798397</v>
      </c>
      <c r="J55" s="262">
        <f t="shared" ref="J55:U55" si="50">SUM(J4:J54)</f>
        <v>2546569.0715131732</v>
      </c>
      <c r="K55" s="262">
        <f t="shared" si="50"/>
        <v>2546569.0715131732</v>
      </c>
      <c r="L55" s="262">
        <f t="shared" si="50"/>
        <v>2546569.0715131732</v>
      </c>
      <c r="M55" s="262">
        <f t="shared" si="50"/>
        <v>2546569.0715131732</v>
      </c>
      <c r="N55" s="262">
        <f t="shared" si="50"/>
        <v>2546569.0715131732</v>
      </c>
      <c r="O55" s="262">
        <f t="shared" si="50"/>
        <v>2546569.0715131732</v>
      </c>
      <c r="P55" s="262">
        <f t="shared" si="50"/>
        <v>2546569.0715131732</v>
      </c>
      <c r="Q55" s="262">
        <f t="shared" si="50"/>
        <v>2546569.0715131732</v>
      </c>
      <c r="R55" s="262">
        <f t="shared" si="50"/>
        <v>2546569.0715131732</v>
      </c>
      <c r="S55" s="262">
        <f t="shared" si="50"/>
        <v>2546569.0715131732</v>
      </c>
      <c r="T55" s="262">
        <f t="shared" si="50"/>
        <v>2546569.0715131732</v>
      </c>
      <c r="U55" s="262">
        <f t="shared" si="50"/>
        <v>30551970.524824746</v>
      </c>
    </row>
    <row r="56" spans="1:21" ht="15.75" thickTop="1" x14ac:dyDescent="0.25">
      <c r="A56" s="331" t="s">
        <v>267</v>
      </c>
      <c r="B56" t="s">
        <v>274</v>
      </c>
    </row>
    <row r="57" spans="1:21" x14ac:dyDescent="0.25">
      <c r="A57" s="331" t="s">
        <v>268</v>
      </c>
      <c r="B57" t="s">
        <v>275</v>
      </c>
      <c r="G57" s="149"/>
    </row>
    <row r="58" spans="1:21" x14ac:dyDescent="0.25">
      <c r="A58" s="331" t="s">
        <v>269</v>
      </c>
      <c r="B58" t="s">
        <v>276</v>
      </c>
      <c r="G58" s="149"/>
    </row>
    <row r="59" spans="1:21" x14ac:dyDescent="0.25">
      <c r="A59" s="331" t="s">
        <v>270</v>
      </c>
      <c r="B59" t="s">
        <v>277</v>
      </c>
      <c r="G59" s="149"/>
    </row>
    <row r="60" spans="1:21" x14ac:dyDescent="0.25">
      <c r="A60" s="331" t="s">
        <v>271</v>
      </c>
      <c r="B60" t="s">
        <v>278</v>
      </c>
      <c r="G60" s="149"/>
    </row>
    <row r="61" spans="1:21" x14ac:dyDescent="0.25">
      <c r="A61" s="331" t="s">
        <v>272</v>
      </c>
      <c r="B61" t="s">
        <v>279</v>
      </c>
      <c r="G61" s="149"/>
    </row>
    <row r="62" spans="1:21" x14ac:dyDescent="0.25">
      <c r="A62" s="331" t="s">
        <v>273</v>
      </c>
      <c r="B62" t="s">
        <v>280</v>
      </c>
      <c r="G62" s="149"/>
    </row>
    <row r="63" spans="1:21" x14ac:dyDescent="0.25">
      <c r="G63" s="149"/>
    </row>
    <row r="64" spans="1:21" x14ac:dyDescent="0.25">
      <c r="G64" s="149"/>
    </row>
    <row r="65" spans="7:7" x14ac:dyDescent="0.25">
      <c r="G65" s="149"/>
    </row>
  </sheetData>
  <autoFilter ref="A3:Y3"/>
  <pageMargins left="0" right="0" top="0.5" bottom="0.25" header="0.3" footer="0.3"/>
  <pageSetup scale="45" fitToWidth="0" fitToHeight="0" orientation="landscape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23" sqref="B23"/>
    </sheetView>
  </sheetViews>
  <sheetFormatPr defaultRowHeight="15" x14ac:dyDescent="0.25"/>
  <cols>
    <col min="1" max="1" width="10" bestFit="1" customWidth="1"/>
    <col min="2" max="2" width="41.5703125" bestFit="1" customWidth="1"/>
    <col min="3" max="3" width="19" bestFit="1" customWidth="1"/>
    <col min="4" max="4" width="12.42578125" customWidth="1"/>
    <col min="5" max="5" width="15.28515625" bestFit="1" customWidth="1"/>
    <col min="6" max="7" width="15" customWidth="1"/>
    <col min="8" max="8" width="16.140625" customWidth="1"/>
    <col min="9" max="9" width="19.42578125" customWidth="1"/>
  </cols>
  <sheetData>
    <row r="1" spans="1:9" ht="30" x14ac:dyDescent="0.25">
      <c r="E1" s="339" t="s">
        <v>282</v>
      </c>
      <c r="F1" s="339" t="s">
        <v>282</v>
      </c>
      <c r="G1" s="338" t="s">
        <v>281</v>
      </c>
      <c r="H1" s="338" t="s">
        <v>281</v>
      </c>
      <c r="I1" s="338" t="s">
        <v>281</v>
      </c>
    </row>
    <row r="2" spans="1:9" x14ac:dyDescent="0.25">
      <c r="D2" s="246" t="s">
        <v>193</v>
      </c>
      <c r="E2" s="274" t="s">
        <v>192</v>
      </c>
      <c r="F2" s="273"/>
      <c r="G2" s="273"/>
      <c r="H2" s="273"/>
      <c r="I2" s="272"/>
    </row>
    <row r="3" spans="1:9" x14ac:dyDescent="0.25">
      <c r="A3" s="337" t="s">
        <v>100</v>
      </c>
      <c r="B3" s="337" t="s">
        <v>187</v>
      </c>
      <c r="C3" s="337" t="s">
        <v>184</v>
      </c>
      <c r="D3" s="337" t="s">
        <v>183</v>
      </c>
      <c r="E3" s="336">
        <v>43524</v>
      </c>
      <c r="F3" s="336">
        <v>43555</v>
      </c>
      <c r="G3" s="336">
        <v>43585</v>
      </c>
      <c r="H3" s="336">
        <v>43616</v>
      </c>
      <c r="I3" s="269">
        <v>43646</v>
      </c>
    </row>
    <row r="4" spans="1:9" x14ac:dyDescent="0.25">
      <c r="A4" s="92">
        <v>143004551</v>
      </c>
      <c r="B4" s="90" t="s">
        <v>178</v>
      </c>
      <c r="C4" s="90" t="s">
        <v>171</v>
      </c>
      <c r="D4" s="265">
        <f>1/26.5*12</f>
        <v>0.45283018867924529</v>
      </c>
      <c r="E4" s="335">
        <v>708129.5</v>
      </c>
      <c r="F4" s="335">
        <v>683132.13</v>
      </c>
      <c r="G4" s="335">
        <v>683132.13</v>
      </c>
      <c r="H4" s="335">
        <v>683132.13</v>
      </c>
      <c r="I4" s="335">
        <v>683132.13</v>
      </c>
    </row>
    <row r="5" spans="1:9" x14ac:dyDescent="0.25">
      <c r="A5" s="268">
        <v>143004663</v>
      </c>
      <c r="B5" s="267" t="s">
        <v>173</v>
      </c>
      <c r="C5" s="267" t="s">
        <v>171</v>
      </c>
      <c r="D5" s="265">
        <f>(1/3)</f>
        <v>0.33333333333333331</v>
      </c>
      <c r="E5" s="334">
        <v>4335155.45</v>
      </c>
      <c r="F5" s="334">
        <v>4809376.59</v>
      </c>
      <c r="G5" s="334">
        <v>4809376.59</v>
      </c>
      <c r="H5" s="334">
        <v>4809376.59</v>
      </c>
      <c r="I5" s="334">
        <v>4809376.59</v>
      </c>
    </row>
    <row r="6" spans="1:9" x14ac:dyDescent="0.25">
      <c r="A6" s="268">
        <v>143004787</v>
      </c>
      <c r="B6" s="267" t="s">
        <v>202</v>
      </c>
      <c r="C6" s="267" t="s">
        <v>201</v>
      </c>
      <c r="D6" s="265">
        <f>(1/3)</f>
        <v>0.33333333333333331</v>
      </c>
      <c r="E6" s="334"/>
      <c r="F6" s="334"/>
      <c r="G6" s="334">
        <v>0</v>
      </c>
      <c r="H6" s="334">
        <v>0</v>
      </c>
      <c r="I6" s="334">
        <v>866000</v>
      </c>
    </row>
    <row r="7" spans="1:9" x14ac:dyDescent="0.25">
      <c r="A7" s="268">
        <v>143002683</v>
      </c>
      <c r="B7" s="267" t="s">
        <v>166</v>
      </c>
      <c r="C7" s="267" t="s">
        <v>164</v>
      </c>
      <c r="D7" s="265">
        <f>(1/3)</f>
        <v>0.33333333333333331</v>
      </c>
      <c r="E7" s="334"/>
      <c r="F7" s="334">
        <v>13039355</v>
      </c>
      <c r="G7" s="334">
        <v>13039355.539999999</v>
      </c>
      <c r="H7" s="334">
        <v>13039355.539999999</v>
      </c>
      <c r="I7" s="334">
        <v>13039355.539999999</v>
      </c>
    </row>
    <row r="8" spans="1:9" x14ac:dyDescent="0.25">
      <c r="A8" s="268">
        <v>143004552</v>
      </c>
      <c r="B8" s="267" t="s">
        <v>163</v>
      </c>
      <c r="C8" s="267" t="s">
        <v>157</v>
      </c>
      <c r="D8" s="265">
        <f>1/5</f>
        <v>0.2</v>
      </c>
      <c r="E8" s="334">
        <v>67609.22</v>
      </c>
      <c r="F8" s="334">
        <v>79351.95</v>
      </c>
      <c r="G8" s="334">
        <v>79351.95</v>
      </c>
      <c r="H8" s="334">
        <v>79351.95</v>
      </c>
      <c r="I8" s="334">
        <v>79351.95</v>
      </c>
    </row>
    <row r="9" spans="1:9" x14ac:dyDescent="0.25">
      <c r="A9" s="268">
        <v>143004584</v>
      </c>
      <c r="B9" s="267" t="s">
        <v>160</v>
      </c>
      <c r="C9" s="267" t="s">
        <v>157</v>
      </c>
      <c r="D9" s="265">
        <v>9.7600000000000006E-2</v>
      </c>
      <c r="E9" s="334">
        <v>10407100.890000001</v>
      </c>
      <c r="F9" s="334">
        <v>11744846.48</v>
      </c>
      <c r="G9" s="334">
        <v>11744846.48</v>
      </c>
      <c r="H9" s="334">
        <v>11744846.48</v>
      </c>
      <c r="I9" s="334">
        <v>11744846.48</v>
      </c>
    </row>
    <row r="10" spans="1:9" x14ac:dyDescent="0.25">
      <c r="A10" s="268">
        <v>143004241</v>
      </c>
      <c r="B10" s="267" t="s">
        <v>152</v>
      </c>
      <c r="C10" s="267" t="s">
        <v>149</v>
      </c>
      <c r="D10" s="265">
        <f>1/10</f>
        <v>0.1</v>
      </c>
      <c r="E10" s="334"/>
      <c r="F10" s="334"/>
      <c r="G10" s="334">
        <v>0</v>
      </c>
      <c r="H10" s="334">
        <v>0</v>
      </c>
      <c r="I10" s="334">
        <v>823000</v>
      </c>
    </row>
    <row r="11" spans="1:9" x14ac:dyDescent="0.25">
      <c r="A11" s="268">
        <v>143004079</v>
      </c>
      <c r="B11" s="267" t="s">
        <v>200</v>
      </c>
      <c r="C11" s="267" t="s">
        <v>198</v>
      </c>
      <c r="D11" s="265">
        <f>(1/3)</f>
        <v>0.33333333333333331</v>
      </c>
      <c r="E11" s="334">
        <v>88615.05</v>
      </c>
      <c r="F11" s="334">
        <v>88615.05</v>
      </c>
      <c r="G11" s="334">
        <v>88615.05</v>
      </c>
      <c r="H11" s="334">
        <v>88615.05</v>
      </c>
      <c r="I11" s="334">
        <v>88615.05</v>
      </c>
    </row>
    <row r="12" spans="1:9" x14ac:dyDescent="0.25">
      <c r="A12" s="263">
        <v>143004080</v>
      </c>
      <c r="B12" s="263" t="s">
        <v>199</v>
      </c>
      <c r="C12" s="90" t="s">
        <v>198</v>
      </c>
      <c r="D12" s="265">
        <f>(1/3)</f>
        <v>0.33333333333333331</v>
      </c>
      <c r="E12" s="334">
        <v>305968.12</v>
      </c>
      <c r="F12" s="334">
        <v>325435.05</v>
      </c>
      <c r="G12" s="334">
        <v>325435.05</v>
      </c>
      <c r="H12" s="334">
        <v>325435.05</v>
      </c>
      <c r="I12" s="334">
        <v>325435.05</v>
      </c>
    </row>
    <row r="13" spans="1:9" ht="15.75" thickBot="1" x14ac:dyDescent="0.3">
      <c r="E13" s="333">
        <f>SUM(E4:E12)</f>
        <v>15912578.23</v>
      </c>
      <c r="F13" s="333">
        <f>SUM(F4:F12)</f>
        <v>30770112.25</v>
      </c>
      <c r="G13" s="333">
        <f>SUM(G4:G12)</f>
        <v>30770112.789999999</v>
      </c>
      <c r="H13" s="333">
        <f>SUM(H4:H12)</f>
        <v>30770112.789999999</v>
      </c>
      <c r="I13" s="333">
        <f>SUM(I4:I12)</f>
        <v>32459112.789999999</v>
      </c>
    </row>
    <row r="14" spans="1:9" ht="15.75" thickTop="1" x14ac:dyDescent="0.25"/>
    <row r="19" spans="6:9" x14ac:dyDescent="0.25">
      <c r="F19" s="332"/>
      <c r="G19" s="332"/>
      <c r="H19" s="332"/>
      <c r="I19" s="332"/>
    </row>
  </sheetData>
  <pageMargins left="0.7" right="0.7" top="0.75" bottom="0.7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2" sqref="A2"/>
      <selection pane="bottomRight" activeCell="M12" sqref="M12"/>
    </sheetView>
  </sheetViews>
  <sheetFormatPr defaultRowHeight="15" outlineLevelCol="1" x14ac:dyDescent="0.25"/>
  <cols>
    <col min="1" max="1" width="12.85546875" hidden="1" customWidth="1" outlineLevel="1"/>
    <col min="2" max="2" width="36.140625" hidden="1" customWidth="1" outlineLevel="1"/>
    <col min="3" max="3" width="15.5703125" hidden="1" customWidth="1" outlineLevel="1"/>
    <col min="4" max="4" width="35.7109375" hidden="1" customWidth="1" outlineLevel="1"/>
    <col min="5" max="5" width="10" bestFit="1" customWidth="1" collapsed="1"/>
    <col min="6" max="6" width="41.5703125" bestFit="1" customWidth="1"/>
    <col min="7" max="7" width="36.42578125" hidden="1" customWidth="1" outlineLevel="1"/>
    <col min="8" max="8" width="16.140625" customWidth="1" collapsed="1"/>
    <col min="9" max="9" width="19" customWidth="1"/>
    <col min="10" max="10" width="12.42578125" customWidth="1"/>
    <col min="11" max="11" width="14.28515625" bestFit="1" customWidth="1"/>
    <col min="12" max="16" width="15.28515625" bestFit="1" customWidth="1"/>
    <col min="17" max="17" width="9.85546875" bestFit="1" customWidth="1"/>
    <col min="18" max="18" width="12.5703125" bestFit="1" customWidth="1"/>
    <col min="19" max="19" width="14.28515625" bestFit="1" customWidth="1"/>
    <col min="20" max="22" width="12.5703125" bestFit="1" customWidth="1"/>
    <col min="23" max="23" width="9.85546875" bestFit="1" customWidth="1"/>
    <col min="24" max="25" width="13.42578125" bestFit="1" customWidth="1"/>
    <col min="26" max="28" width="15" bestFit="1" customWidth="1"/>
  </cols>
  <sheetData>
    <row r="1" spans="1:28" x14ac:dyDescent="0.25">
      <c r="J1" s="246" t="s">
        <v>193</v>
      </c>
      <c r="K1" s="274" t="s">
        <v>192</v>
      </c>
      <c r="L1" s="273"/>
      <c r="M1" s="273"/>
      <c r="N1" s="273"/>
      <c r="O1" s="273"/>
      <c r="P1" s="272"/>
      <c r="Q1" s="274" t="s">
        <v>21</v>
      </c>
      <c r="R1" s="273"/>
      <c r="S1" s="273"/>
      <c r="T1" s="273"/>
      <c r="U1" s="273"/>
      <c r="V1" s="272"/>
      <c r="W1" s="274" t="s">
        <v>22</v>
      </c>
      <c r="X1" s="273"/>
      <c r="Y1" s="273"/>
      <c r="Z1" s="273"/>
      <c r="AA1" s="273"/>
      <c r="AB1" s="272"/>
    </row>
    <row r="2" spans="1:28" x14ac:dyDescent="0.25">
      <c r="A2" s="271" t="s">
        <v>191</v>
      </c>
      <c r="B2" s="271" t="s">
        <v>190</v>
      </c>
      <c r="C2" s="271" t="s">
        <v>189</v>
      </c>
      <c r="D2" s="271" t="s">
        <v>188</v>
      </c>
      <c r="E2" s="271" t="s">
        <v>100</v>
      </c>
      <c r="F2" s="271" t="s">
        <v>187</v>
      </c>
      <c r="G2" s="271" t="s">
        <v>186</v>
      </c>
      <c r="H2" s="271" t="s">
        <v>185</v>
      </c>
      <c r="I2" s="271" t="s">
        <v>184</v>
      </c>
      <c r="J2" s="271" t="s">
        <v>183</v>
      </c>
      <c r="K2" s="270">
        <v>43496</v>
      </c>
      <c r="L2" s="245">
        <v>43524</v>
      </c>
      <c r="M2" s="245">
        <v>43555</v>
      </c>
      <c r="N2" s="245">
        <v>43585</v>
      </c>
      <c r="O2" s="245">
        <v>43616</v>
      </c>
      <c r="P2" s="269">
        <v>43646</v>
      </c>
      <c r="Q2" s="270">
        <v>43496</v>
      </c>
      <c r="R2" s="245">
        <v>43524</v>
      </c>
      <c r="S2" s="245">
        <v>43555</v>
      </c>
      <c r="T2" s="245">
        <v>43585</v>
      </c>
      <c r="U2" s="245">
        <v>43616</v>
      </c>
      <c r="V2" s="269">
        <v>43646</v>
      </c>
      <c r="W2" s="270">
        <v>43496</v>
      </c>
      <c r="X2" s="245">
        <v>43524</v>
      </c>
      <c r="Y2" s="245">
        <v>43555</v>
      </c>
      <c r="Z2" s="245">
        <v>43585</v>
      </c>
      <c r="AA2" s="245">
        <v>43616</v>
      </c>
      <c r="AB2" s="269">
        <v>43646</v>
      </c>
    </row>
    <row r="3" spans="1:28" s="263" customFormat="1" x14ac:dyDescent="0.25">
      <c r="A3" s="90" t="s">
        <v>182</v>
      </c>
      <c r="B3" s="90" t="s">
        <v>181</v>
      </c>
      <c r="C3" s="90" t="s">
        <v>180</v>
      </c>
      <c r="D3" s="90" t="s">
        <v>179</v>
      </c>
      <c r="E3" s="92">
        <v>143004551</v>
      </c>
      <c r="F3" s="90" t="s">
        <v>178</v>
      </c>
      <c r="G3" s="90"/>
      <c r="H3" s="90" t="s">
        <v>158</v>
      </c>
      <c r="I3" s="90" t="s">
        <v>171</v>
      </c>
      <c r="J3" s="265">
        <f>1/26.5*12</f>
        <v>0.45283018867924529</v>
      </c>
      <c r="K3" s="264">
        <v>0</v>
      </c>
      <c r="L3" s="264">
        <v>708129.5</v>
      </c>
      <c r="M3" s="264">
        <v>683132.13</v>
      </c>
      <c r="N3" s="264">
        <f t="shared" ref="N3:P4" si="0">M3</f>
        <v>683132.13</v>
      </c>
      <c r="O3" s="264">
        <f t="shared" si="0"/>
        <v>683132.13</v>
      </c>
      <c r="P3" s="264">
        <f t="shared" si="0"/>
        <v>683132.13</v>
      </c>
      <c r="Q3" s="266">
        <f t="shared" ref="Q3:Q11" si="1">K3*$J3/12</f>
        <v>0</v>
      </c>
      <c r="R3" s="266">
        <f t="shared" ref="R3:R11" si="2">L3*$J3/12</f>
        <v>26721.867924528302</v>
      </c>
      <c r="S3" s="266">
        <f t="shared" ref="S3:S11" si="3">M3*$J3/12</f>
        <v>25778.570943396229</v>
      </c>
      <c r="T3" s="266">
        <f t="shared" ref="T3:T11" si="4">N3*$J3/12</f>
        <v>25778.570943396229</v>
      </c>
      <c r="U3" s="266">
        <f t="shared" ref="U3:U11" si="5">O3*$J3/12</f>
        <v>25778.570943396229</v>
      </c>
      <c r="V3" s="266">
        <f t="shared" ref="V3:V11" si="6">P3*$J3/12</f>
        <v>25778.570943396229</v>
      </c>
      <c r="W3" s="266">
        <f>-SUM($Q3:Q3)</f>
        <v>0</v>
      </c>
      <c r="X3" s="266">
        <f>-SUM($Q3:R3)</f>
        <v>-26721.867924528302</v>
      </c>
      <c r="Y3" s="266">
        <f>-SUM($Q3:S3)</f>
        <v>-52500.438867924531</v>
      </c>
      <c r="Z3" s="266">
        <f>-SUM($Q3:T3)</f>
        <v>-78279.009811320764</v>
      </c>
      <c r="AA3" s="266">
        <f>-SUM($Q3:U3)</f>
        <v>-104057.580754717</v>
      </c>
      <c r="AB3" s="266">
        <f>-SUM($Q3:V3)</f>
        <v>-129836.15169811323</v>
      </c>
    </row>
    <row r="4" spans="1:28" x14ac:dyDescent="0.25">
      <c r="A4" s="267" t="s">
        <v>177</v>
      </c>
      <c r="B4" s="267" t="s">
        <v>176</v>
      </c>
      <c r="C4" s="267" t="s">
        <v>175</v>
      </c>
      <c r="D4" s="267" t="s">
        <v>174</v>
      </c>
      <c r="E4" s="268">
        <v>143004663</v>
      </c>
      <c r="F4" s="267" t="s">
        <v>173</v>
      </c>
      <c r="G4" s="267" t="s">
        <v>172</v>
      </c>
      <c r="H4" s="267" t="s">
        <v>158</v>
      </c>
      <c r="I4" s="267" t="s">
        <v>171</v>
      </c>
      <c r="J4" s="265">
        <f>(1/3)</f>
        <v>0.33333333333333331</v>
      </c>
      <c r="K4" s="266">
        <v>0</v>
      </c>
      <c r="L4" s="266">
        <v>4335155.45</v>
      </c>
      <c r="M4" s="266">
        <v>4809376.59</v>
      </c>
      <c r="N4" s="266">
        <f t="shared" si="0"/>
        <v>4809376.59</v>
      </c>
      <c r="O4" s="266">
        <f t="shared" si="0"/>
        <v>4809376.59</v>
      </c>
      <c r="P4" s="266">
        <f t="shared" si="0"/>
        <v>4809376.59</v>
      </c>
      <c r="Q4" s="266">
        <f t="shared" si="1"/>
        <v>0</v>
      </c>
      <c r="R4" s="266">
        <f t="shared" si="2"/>
        <v>120420.98472222222</v>
      </c>
      <c r="S4" s="266">
        <f t="shared" si="3"/>
        <v>133593.79416666666</v>
      </c>
      <c r="T4" s="266">
        <f t="shared" si="4"/>
        <v>133593.79416666666</v>
      </c>
      <c r="U4" s="266">
        <f t="shared" si="5"/>
        <v>133593.79416666666</v>
      </c>
      <c r="V4" s="266">
        <f t="shared" si="6"/>
        <v>133593.79416666666</v>
      </c>
      <c r="W4" s="266">
        <f>-SUM($Q4:Q4)</f>
        <v>0</v>
      </c>
      <c r="X4" s="266">
        <f>-SUM($Q4:R4)</f>
        <v>-120420.98472222222</v>
      </c>
      <c r="Y4" s="266">
        <f>-SUM($Q4:S4)</f>
        <v>-254014.77888888889</v>
      </c>
      <c r="Z4" s="266">
        <f>-SUM($Q4:T4)</f>
        <v>-387608.57305555558</v>
      </c>
      <c r="AA4" s="266">
        <f>-SUM($Q4:U4)</f>
        <v>-521202.36722222227</v>
      </c>
      <c r="AB4" s="266">
        <f>-SUM($Q4:V4)</f>
        <v>-654796.16138888896</v>
      </c>
    </row>
    <row r="5" spans="1:28" x14ac:dyDescent="0.25">
      <c r="A5" s="267" t="s">
        <v>177</v>
      </c>
      <c r="B5" s="267" t="s">
        <v>176</v>
      </c>
      <c r="C5" s="267" t="s">
        <v>175</v>
      </c>
      <c r="D5" s="267" t="s">
        <v>203</v>
      </c>
      <c r="E5" s="268">
        <v>143004787</v>
      </c>
      <c r="F5" s="267" t="s">
        <v>202</v>
      </c>
      <c r="G5" s="267"/>
      <c r="H5" s="263" t="s">
        <v>150</v>
      </c>
      <c r="I5" s="90" t="s">
        <v>201</v>
      </c>
      <c r="J5" s="265">
        <f>(1/3)</f>
        <v>0.33333333333333331</v>
      </c>
      <c r="K5" s="266">
        <v>0</v>
      </c>
      <c r="L5" s="266">
        <v>0</v>
      </c>
      <c r="M5" s="266">
        <v>0</v>
      </c>
      <c r="N5" s="266">
        <v>0</v>
      </c>
      <c r="O5" s="266">
        <v>0</v>
      </c>
      <c r="P5" s="264">
        <v>866000</v>
      </c>
      <c r="Q5" s="266">
        <f t="shared" si="1"/>
        <v>0</v>
      </c>
      <c r="R5" s="266">
        <f t="shared" si="2"/>
        <v>0</v>
      </c>
      <c r="S5" s="266">
        <f t="shared" si="3"/>
        <v>0</v>
      </c>
      <c r="T5" s="266">
        <f t="shared" si="4"/>
        <v>0</v>
      </c>
      <c r="U5" s="266">
        <f t="shared" si="5"/>
        <v>0</v>
      </c>
      <c r="V5" s="266">
        <f t="shared" si="6"/>
        <v>24055.555555555551</v>
      </c>
      <c r="W5" s="264"/>
      <c r="X5" s="264">
        <f>-SUM($Q5:R5)</f>
        <v>0</v>
      </c>
      <c r="Y5" s="264">
        <f>-SUM($Q5:S5)</f>
        <v>0</v>
      </c>
      <c r="Z5" s="264">
        <f>-SUM($Q5:T5)</f>
        <v>0</v>
      </c>
      <c r="AA5" s="264">
        <f>-SUM($Q5:U5)</f>
        <v>0</v>
      </c>
      <c r="AB5" s="264">
        <f>-SUM($Q5:V5)</f>
        <v>-24055.555555555551</v>
      </c>
    </row>
    <row r="6" spans="1:28" x14ac:dyDescent="0.25">
      <c r="A6" s="267" t="s">
        <v>170</v>
      </c>
      <c r="B6" s="267" t="s">
        <v>169</v>
      </c>
      <c r="C6" s="267" t="s">
        <v>168</v>
      </c>
      <c r="D6" s="267" t="s">
        <v>167</v>
      </c>
      <c r="E6" s="268">
        <v>143002683</v>
      </c>
      <c r="F6" s="267" t="s">
        <v>166</v>
      </c>
      <c r="G6" s="267" t="s">
        <v>165</v>
      </c>
      <c r="H6" s="267" t="s">
        <v>158</v>
      </c>
      <c r="I6" s="267" t="s">
        <v>164</v>
      </c>
      <c r="J6" s="265">
        <f>(1/3)</f>
        <v>0.33333333333333331</v>
      </c>
      <c r="K6" s="266">
        <v>0</v>
      </c>
      <c r="L6" s="266">
        <v>0</v>
      </c>
      <c r="M6" s="266">
        <v>13039355.539999999</v>
      </c>
      <c r="N6" s="266">
        <f t="shared" ref="N6:P8" si="7">M6</f>
        <v>13039355.539999999</v>
      </c>
      <c r="O6" s="266">
        <f t="shared" si="7"/>
        <v>13039355.539999999</v>
      </c>
      <c r="P6" s="266">
        <f t="shared" si="7"/>
        <v>13039355.539999999</v>
      </c>
      <c r="Q6" s="266">
        <f t="shared" si="1"/>
        <v>0</v>
      </c>
      <c r="R6" s="266">
        <f t="shared" si="2"/>
        <v>0</v>
      </c>
      <c r="S6" s="266">
        <f t="shared" si="3"/>
        <v>362204.32055555546</v>
      </c>
      <c r="T6" s="266">
        <f t="shared" si="4"/>
        <v>362204.32055555546</v>
      </c>
      <c r="U6" s="266">
        <f t="shared" si="5"/>
        <v>362204.32055555546</v>
      </c>
      <c r="V6" s="266">
        <f t="shared" si="6"/>
        <v>362204.32055555546</v>
      </c>
      <c r="W6" s="266">
        <f>-SUM($Q6:Q6)</f>
        <v>0</v>
      </c>
      <c r="X6" s="266">
        <f>-SUM($Q6:R6)</f>
        <v>0</v>
      </c>
      <c r="Y6" s="266">
        <f>-SUM($Q6:S6)</f>
        <v>-362204.32055555546</v>
      </c>
      <c r="Z6" s="266">
        <f>-SUM($Q6:T6)</f>
        <v>-724408.64111111092</v>
      </c>
      <c r="AA6" s="266">
        <f>-SUM($Q6:U6)</f>
        <v>-1086612.9616666664</v>
      </c>
      <c r="AB6" s="266">
        <f>-SUM($Q6:V6)</f>
        <v>-1448817.2822222218</v>
      </c>
    </row>
    <row r="7" spans="1:28" x14ac:dyDescent="0.25">
      <c r="A7" s="267" t="s">
        <v>156</v>
      </c>
      <c r="B7" s="267" t="s">
        <v>155</v>
      </c>
      <c r="C7" s="267" t="s">
        <v>162</v>
      </c>
      <c r="D7" s="267" t="s">
        <v>161</v>
      </c>
      <c r="E7" s="268">
        <v>143004552</v>
      </c>
      <c r="F7" s="267" t="s">
        <v>163</v>
      </c>
      <c r="G7" s="267"/>
      <c r="H7" s="267" t="s">
        <v>158</v>
      </c>
      <c r="I7" s="267" t="s">
        <v>157</v>
      </c>
      <c r="J7" s="265">
        <f>1/5</f>
        <v>0.2</v>
      </c>
      <c r="K7" s="266">
        <v>0</v>
      </c>
      <c r="L7" s="266">
        <v>67609.22</v>
      </c>
      <c r="M7" s="266">
        <v>79351.95</v>
      </c>
      <c r="N7" s="266">
        <f t="shared" si="7"/>
        <v>79351.95</v>
      </c>
      <c r="O7" s="266">
        <f t="shared" si="7"/>
        <v>79351.95</v>
      </c>
      <c r="P7" s="266">
        <f t="shared" si="7"/>
        <v>79351.95</v>
      </c>
      <c r="Q7" s="266">
        <f t="shared" si="1"/>
        <v>0</v>
      </c>
      <c r="R7" s="266">
        <f t="shared" si="2"/>
        <v>1126.8203333333333</v>
      </c>
      <c r="S7" s="266">
        <f t="shared" si="3"/>
        <v>1322.5325</v>
      </c>
      <c r="T7" s="266">
        <f t="shared" si="4"/>
        <v>1322.5325</v>
      </c>
      <c r="U7" s="266">
        <f t="shared" si="5"/>
        <v>1322.5325</v>
      </c>
      <c r="V7" s="266">
        <f t="shared" si="6"/>
        <v>1322.5325</v>
      </c>
      <c r="W7" s="266">
        <f>-SUM($Q7:Q7)</f>
        <v>0</v>
      </c>
      <c r="X7" s="266">
        <f>-SUM($Q7:R7)</f>
        <v>-1126.8203333333333</v>
      </c>
      <c r="Y7" s="266">
        <f>-SUM($Q7:S7)</f>
        <v>-2449.3528333333334</v>
      </c>
      <c r="Z7" s="266">
        <f>-SUM($Q7:T7)</f>
        <v>-3771.8853333333336</v>
      </c>
      <c r="AA7" s="266">
        <f>-SUM($Q7:U7)</f>
        <v>-5094.4178333333339</v>
      </c>
      <c r="AB7" s="266">
        <f>-SUM($Q7:V7)</f>
        <v>-6416.9503333333341</v>
      </c>
    </row>
    <row r="8" spans="1:28" s="263" customFormat="1" x14ac:dyDescent="0.25">
      <c r="A8" s="90" t="s">
        <v>156</v>
      </c>
      <c r="B8" s="90" t="s">
        <v>155</v>
      </c>
      <c r="C8" s="90" t="s">
        <v>162</v>
      </c>
      <c r="D8" s="90" t="s">
        <v>161</v>
      </c>
      <c r="E8" s="92">
        <v>143004584</v>
      </c>
      <c r="F8" s="90" t="s">
        <v>160</v>
      </c>
      <c r="G8" s="90" t="s">
        <v>159</v>
      </c>
      <c r="H8" s="90" t="s">
        <v>158</v>
      </c>
      <c r="I8" s="90" t="s">
        <v>157</v>
      </c>
      <c r="J8" s="265">
        <v>9.7600000000000006E-2</v>
      </c>
      <c r="K8" s="264">
        <v>0</v>
      </c>
      <c r="L8" s="264">
        <v>10407100.890000001</v>
      </c>
      <c r="M8" s="264">
        <v>11744846.48</v>
      </c>
      <c r="N8" s="264">
        <f t="shared" si="7"/>
        <v>11744846.48</v>
      </c>
      <c r="O8" s="264">
        <f t="shared" si="7"/>
        <v>11744846.48</v>
      </c>
      <c r="P8" s="264">
        <f t="shared" si="7"/>
        <v>11744846.48</v>
      </c>
      <c r="Q8" s="266">
        <f t="shared" si="1"/>
        <v>0</v>
      </c>
      <c r="R8" s="266">
        <f t="shared" si="2"/>
        <v>84644.420572000017</v>
      </c>
      <c r="S8" s="266">
        <f t="shared" si="3"/>
        <v>95524.75137066668</v>
      </c>
      <c r="T8" s="266">
        <f t="shared" si="4"/>
        <v>95524.75137066668</v>
      </c>
      <c r="U8" s="266">
        <f t="shared" si="5"/>
        <v>95524.75137066668</v>
      </c>
      <c r="V8" s="266">
        <f t="shared" si="6"/>
        <v>95524.75137066668</v>
      </c>
      <c r="W8" s="266">
        <f>-SUM($Q8:Q8)</f>
        <v>0</v>
      </c>
      <c r="X8" s="266">
        <f>-SUM($Q8:R8)</f>
        <v>-84644.420572000017</v>
      </c>
      <c r="Y8" s="266">
        <f>-SUM($Q8:S8)</f>
        <v>-180169.1719426667</v>
      </c>
      <c r="Z8" s="266">
        <f>-SUM($Q8:T8)</f>
        <v>-275693.92331333336</v>
      </c>
      <c r="AA8" s="266">
        <f>-SUM($Q8:U8)</f>
        <v>-371218.67468400003</v>
      </c>
      <c r="AB8" s="266">
        <f>-SUM($Q8:V8)</f>
        <v>-466743.42605466669</v>
      </c>
    </row>
    <row r="9" spans="1:28" s="263" customFormat="1" x14ac:dyDescent="0.25">
      <c r="A9" s="263" t="s">
        <v>156</v>
      </c>
      <c r="B9" s="263" t="s">
        <v>155</v>
      </c>
      <c r="C9" s="263" t="s">
        <v>154</v>
      </c>
      <c r="D9" s="263" t="s">
        <v>153</v>
      </c>
      <c r="E9" s="263">
        <v>143004241</v>
      </c>
      <c r="F9" s="263" t="s">
        <v>152</v>
      </c>
      <c r="G9" s="263" t="s">
        <v>151</v>
      </c>
      <c r="H9" s="263" t="s">
        <v>150</v>
      </c>
      <c r="I9" s="263" t="s">
        <v>149</v>
      </c>
      <c r="J9" s="265">
        <f>1/10</f>
        <v>0.1</v>
      </c>
      <c r="K9" s="266">
        <v>0</v>
      </c>
      <c r="L9" s="266">
        <v>0</v>
      </c>
      <c r="M9" s="266">
        <v>0</v>
      </c>
      <c r="N9" s="266">
        <v>0</v>
      </c>
      <c r="O9" s="266">
        <v>0</v>
      </c>
      <c r="P9" s="264">
        <v>823000</v>
      </c>
      <c r="Q9" s="266">
        <f t="shared" si="1"/>
        <v>0</v>
      </c>
      <c r="R9" s="266">
        <f t="shared" si="2"/>
        <v>0</v>
      </c>
      <c r="S9" s="266">
        <f t="shared" si="3"/>
        <v>0</v>
      </c>
      <c r="T9" s="266">
        <f t="shared" si="4"/>
        <v>0</v>
      </c>
      <c r="U9" s="266">
        <f t="shared" si="5"/>
        <v>0</v>
      </c>
      <c r="V9" s="266">
        <f t="shared" si="6"/>
        <v>6858.333333333333</v>
      </c>
      <c r="W9" s="266">
        <f>-SUM($Q9:Q9)</f>
        <v>0</v>
      </c>
      <c r="X9" s="266">
        <f>-SUM($Q9:R9)</f>
        <v>0</v>
      </c>
      <c r="Y9" s="266">
        <f>-SUM($Q9:S9)</f>
        <v>0</v>
      </c>
      <c r="Z9" s="266">
        <f>-SUM($Q9:T9)</f>
        <v>0</v>
      </c>
      <c r="AA9" s="266">
        <f>-SUM($Q9:U9)</f>
        <v>0</v>
      </c>
      <c r="AB9" s="266">
        <f>-SUM($Q9:V9)</f>
        <v>-6858.333333333333</v>
      </c>
    </row>
    <row r="10" spans="1:28" s="263" customFormat="1" x14ac:dyDescent="0.25">
      <c r="A10" s="90" t="s">
        <v>197</v>
      </c>
      <c r="B10" s="90" t="s">
        <v>204</v>
      </c>
      <c r="C10" s="90" t="s">
        <v>196</v>
      </c>
      <c r="D10" s="263" t="s">
        <v>195</v>
      </c>
      <c r="E10" s="263">
        <v>143004079</v>
      </c>
      <c r="F10" s="263" t="s">
        <v>200</v>
      </c>
      <c r="H10" s="90" t="s">
        <v>158</v>
      </c>
      <c r="I10" s="90" t="s">
        <v>198</v>
      </c>
      <c r="J10" s="265">
        <f>(1/3)</f>
        <v>0.33333333333333331</v>
      </c>
      <c r="K10" s="266">
        <v>0</v>
      </c>
      <c r="L10" s="264">
        <v>88615.05</v>
      </c>
      <c r="M10" s="264">
        <f t="shared" ref="M10:P11" si="8">L10</f>
        <v>88615.05</v>
      </c>
      <c r="N10" s="264">
        <f t="shared" si="8"/>
        <v>88615.05</v>
      </c>
      <c r="O10" s="264">
        <f t="shared" si="8"/>
        <v>88615.05</v>
      </c>
      <c r="P10" s="264">
        <f t="shared" si="8"/>
        <v>88615.05</v>
      </c>
      <c r="Q10" s="266">
        <f t="shared" si="1"/>
        <v>0</v>
      </c>
      <c r="R10" s="266">
        <f t="shared" si="2"/>
        <v>2461.5291666666667</v>
      </c>
      <c r="S10" s="266">
        <f t="shared" si="3"/>
        <v>2461.5291666666667</v>
      </c>
      <c r="T10" s="266">
        <f t="shared" si="4"/>
        <v>2461.5291666666667</v>
      </c>
      <c r="U10" s="266">
        <f t="shared" si="5"/>
        <v>2461.5291666666667</v>
      </c>
      <c r="V10" s="266">
        <f t="shared" si="6"/>
        <v>2461.5291666666667</v>
      </c>
      <c r="W10" s="266">
        <f>-SUM($Q10:Q10)</f>
        <v>0</v>
      </c>
      <c r="X10" s="266">
        <f>-SUM($Q10:R10)</f>
        <v>-2461.5291666666667</v>
      </c>
      <c r="Y10" s="266">
        <f>-SUM($Q10:S10)</f>
        <v>-4923.0583333333334</v>
      </c>
      <c r="Z10" s="266">
        <f>-SUM($Q10:T10)</f>
        <v>-7384.5874999999996</v>
      </c>
      <c r="AA10" s="266">
        <f>-SUM($Q10:U10)</f>
        <v>-9846.1166666666668</v>
      </c>
      <c r="AB10" s="266">
        <f>-SUM($Q10:V10)</f>
        <v>-12307.645833333334</v>
      </c>
    </row>
    <row r="11" spans="1:28" s="263" customFormat="1" x14ac:dyDescent="0.25">
      <c r="A11" s="90" t="s">
        <v>197</v>
      </c>
      <c r="B11" s="90" t="s">
        <v>204</v>
      </c>
      <c r="C11" s="90" t="s">
        <v>196</v>
      </c>
      <c r="D11" s="263" t="s">
        <v>195</v>
      </c>
      <c r="E11" s="263">
        <v>143004080</v>
      </c>
      <c r="F11" s="263" t="s">
        <v>199</v>
      </c>
      <c r="H11" s="90" t="s">
        <v>158</v>
      </c>
      <c r="I11" s="90" t="s">
        <v>198</v>
      </c>
      <c r="J11" s="265">
        <f>(1/3)</f>
        <v>0.33333333333333331</v>
      </c>
      <c r="K11" s="266">
        <v>0</v>
      </c>
      <c r="L11" s="264">
        <v>325435.05</v>
      </c>
      <c r="M11" s="264">
        <f t="shared" si="8"/>
        <v>325435.05</v>
      </c>
      <c r="N11" s="264">
        <f t="shared" si="8"/>
        <v>325435.05</v>
      </c>
      <c r="O11" s="264">
        <f t="shared" si="8"/>
        <v>325435.05</v>
      </c>
      <c r="P11" s="264">
        <f t="shared" si="8"/>
        <v>325435.05</v>
      </c>
      <c r="Q11" s="266">
        <f t="shared" si="1"/>
        <v>0</v>
      </c>
      <c r="R11" s="266">
        <f t="shared" si="2"/>
        <v>9039.8624999999993</v>
      </c>
      <c r="S11" s="266">
        <f t="shared" si="3"/>
        <v>9039.8624999999993</v>
      </c>
      <c r="T11" s="266">
        <f t="shared" si="4"/>
        <v>9039.8624999999993</v>
      </c>
      <c r="U11" s="266">
        <f t="shared" si="5"/>
        <v>9039.8624999999993</v>
      </c>
      <c r="V11" s="266">
        <f t="shared" si="6"/>
        <v>9039.8624999999993</v>
      </c>
      <c r="W11" s="266">
        <f>-SUM($Q11:Q11)</f>
        <v>0</v>
      </c>
      <c r="X11" s="266">
        <f>-SUM($Q11:R11)</f>
        <v>-9039.8624999999993</v>
      </c>
      <c r="Y11" s="266">
        <f>-SUM($Q11:S11)</f>
        <v>-18079.724999999999</v>
      </c>
      <c r="Z11" s="266">
        <f>-SUM($Q11:T11)</f>
        <v>-27119.587499999998</v>
      </c>
      <c r="AA11" s="266">
        <f>-SUM($Q11:U11)</f>
        <v>-36159.449999999997</v>
      </c>
      <c r="AB11" s="266">
        <f>-SUM($Q11:V11)</f>
        <v>-45199.3125</v>
      </c>
    </row>
    <row r="12" spans="1:28" ht="15.75" thickBot="1" x14ac:dyDescent="0.3">
      <c r="K12" s="262">
        <f t="shared" ref="K12:AB12" si="9">SUM(K3:K11)</f>
        <v>0</v>
      </c>
      <c r="L12" s="262">
        <f t="shared" si="9"/>
        <v>15932045.160000002</v>
      </c>
      <c r="M12" s="262">
        <f t="shared" si="9"/>
        <v>30770112.789999999</v>
      </c>
      <c r="N12" s="262">
        <f t="shared" si="9"/>
        <v>30770112.789999999</v>
      </c>
      <c r="O12" s="262">
        <f t="shared" si="9"/>
        <v>30770112.789999999</v>
      </c>
      <c r="P12" s="262">
        <f t="shared" si="9"/>
        <v>32459112.789999999</v>
      </c>
      <c r="Q12" s="262">
        <f t="shared" si="9"/>
        <v>0</v>
      </c>
      <c r="R12" s="262">
        <f t="shared" si="9"/>
        <v>244415.48521875055</v>
      </c>
      <c r="S12" s="262">
        <f t="shared" si="9"/>
        <v>629925.36120295175</v>
      </c>
      <c r="T12" s="262">
        <f t="shared" si="9"/>
        <v>629925.36120295175</v>
      </c>
      <c r="U12" s="262">
        <f t="shared" si="9"/>
        <v>629925.36120295175</v>
      </c>
      <c r="V12" s="262">
        <f t="shared" si="9"/>
        <v>660839.25009184063</v>
      </c>
      <c r="W12" s="262">
        <f t="shared" si="9"/>
        <v>0</v>
      </c>
      <c r="X12" s="262">
        <f t="shared" si="9"/>
        <v>-244415.48521875055</v>
      </c>
      <c r="Y12" s="262">
        <f t="shared" si="9"/>
        <v>-874340.84642170218</v>
      </c>
      <c r="Z12" s="262">
        <f t="shared" si="9"/>
        <v>-1504266.2076246538</v>
      </c>
      <c r="AA12" s="262">
        <f t="shared" si="9"/>
        <v>-2134191.5688276058</v>
      </c>
      <c r="AB12" s="262">
        <f t="shared" si="9"/>
        <v>-2795030.8189194463</v>
      </c>
    </row>
    <row r="13" spans="1:28" ht="15.75" thickTop="1" x14ac:dyDescent="0.25"/>
    <row r="15" spans="1:28" x14ac:dyDescent="0.25">
      <c r="H15" s="251"/>
    </row>
  </sheetData>
  <pageMargins left="0.7" right="0.7" top="0.75" bottom="0.75" header="0.3" footer="0.3"/>
  <pageSetup scale="69" fitToWidth="2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ADC9ED-73FE-4DE6-8C43-A1AD3C066912}"/>
</file>

<file path=customXml/itemProps3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7B07BC-F0C2-40D2-99B9-E909B1D0B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Elec Lead </vt:lpstr>
      <vt:lpstr>Gas Lead </vt:lpstr>
      <vt:lpstr>Common Lead</vt:lpstr>
      <vt:lpstr>Pro-forma Plant Additions=&gt;</vt:lpstr>
      <vt:lpstr> GTZ Additions</vt:lpstr>
      <vt:lpstr>DFIT </vt:lpstr>
      <vt:lpstr>MACRS</vt:lpstr>
      <vt:lpstr>Amort of Def'd Depr &amp; CChrgs=&gt;</vt:lpstr>
      <vt:lpstr>GTZ Com Amort of Def Depr</vt:lpstr>
      <vt:lpstr>GTZ Com Amort of CarryChrg</vt:lpstr>
      <vt:lpstr>GTZ depreciation deferral</vt:lpstr>
      <vt:lpstr>Monthly Amort</vt:lpstr>
      <vt:lpstr>GTZ PowerPlant</vt:lpstr>
      <vt:lpstr>GTZ Forecast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2019-05-31T19:37:44Z</cp:lastPrinted>
  <dcterms:created xsi:type="dcterms:W3CDTF">2013-03-08T01:16:38Z</dcterms:created>
  <dcterms:modified xsi:type="dcterms:W3CDTF">2019-07-31T15:22:51Z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