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19416" windowHeight="9960" tabRatio="719" activeTab="1"/>
  </bookViews>
  <sheets>
    <sheet name="Background" sheetId="21" r:id="rId1"/>
    <sheet name="Conservation Report" sheetId="18" r:id="rId2"/>
    <sheet name="Prior Report Data" sheetId="25" state="hidden" r:id="rId3"/>
    <sheet name="Data" sheetId="19" state="hidden" r:id="rId4"/>
  </sheets>
  <definedNames>
    <definedName name="CON_2016_Agriculture_Expend">'Conservation Report'!$D$23</definedName>
    <definedName name="CON_2016_Agriculture_MWH">'Conservation Report'!$C$23</definedName>
    <definedName name="CON_2016_Commercial_Expend">'Conservation Report'!$D$21</definedName>
    <definedName name="CON_2016_Commercial_MWH">'Conservation Report'!$C$21</definedName>
    <definedName name="CON_2016_Distribution_Expend">'Conservation Report'!$D$24</definedName>
    <definedName name="CON_2016_Distribution_MWH">'Conservation Report'!$C$24</definedName>
    <definedName name="CON_2016_Expenditures">'Conservation Report'!$D$32</definedName>
    <definedName name="CON_2016_Industrial_Expend">'Conservation Report'!$D$22</definedName>
    <definedName name="CON_2016_Industrial_MWH">'Conservation Report'!$C$22</definedName>
    <definedName name="CON_2016_MWH">'Conservation Report'!$C$32</definedName>
    <definedName name="CON_2016_NEEA_Expend">'Conservation Report'!$D$26</definedName>
    <definedName name="CON_2016_NEEA_MWH">'Conservation Report'!$C$26</definedName>
    <definedName name="CON_2016_OtherSector1_Expend">'Conservation Report'!$D$27</definedName>
    <definedName name="CON_2016_OtherSector1_MWH">'Conservation Report'!$C$27</definedName>
    <definedName name="CON_2016_OtherSector2_Expend">'Conservation Report'!$D$28</definedName>
    <definedName name="CON_2016_OtherSector2_MWH">'Conservation Report'!$C$28</definedName>
    <definedName name="CON_2016_Production_Expend">'Conservation Report'!$D$25</definedName>
    <definedName name="CON_2016_Production_MWH">'Conservation Report'!$C$25</definedName>
    <definedName name="CON_2016_Program1_Expend">'Conservation Report'!$D$30</definedName>
    <definedName name="CON_2016_Program2_Expend">'Conservation Report'!$D$31</definedName>
    <definedName name="CON_2016_Residential_Expend">'Conservation Report'!$D$20</definedName>
    <definedName name="CON_2016_Residential_MWH">'Conservation Report'!$C$20</definedName>
    <definedName name="CON_2017_Agriculture_Expend">'Conservation Report'!$G$23</definedName>
    <definedName name="CON_2017_Agriculture_MWH">'Conservation Report'!$F$23</definedName>
    <definedName name="CON_2017_Commercial_Expend">'Conservation Report'!$G$21</definedName>
    <definedName name="CON_2017_Commercial_MWH">'Conservation Report'!$F$21</definedName>
    <definedName name="CON_2017_Distribution_Expend">'Conservation Report'!$G$24</definedName>
    <definedName name="CON_2017_Distribution_MWH">'Conservation Report'!$F$24</definedName>
    <definedName name="CON_2017_Expenditures">'Conservation Report'!$G$32</definedName>
    <definedName name="CON_2017_Industrial_Expend">'Conservation Report'!$G$22</definedName>
    <definedName name="CON_2017_Industrial_MWH">'Conservation Report'!$F$22</definedName>
    <definedName name="CON_2017_MWH">'Conservation Report'!$F$32</definedName>
    <definedName name="CON_2017_NEEA_Expend">'Conservation Report'!$G$26</definedName>
    <definedName name="CON_2017_NEEA_MWH">'Conservation Report'!$F$26</definedName>
    <definedName name="CON_2017_OtherSector1_Expend">'Conservation Report'!$G$27</definedName>
    <definedName name="CON_2017_OtherSector1_MWH">'Conservation Report'!$F$27</definedName>
    <definedName name="CON_2017_OtherSector2_Expend">'Conservation Report'!$G$28</definedName>
    <definedName name="CON_2017_OtherSector2_MWH">'Conservation Report'!$F$28</definedName>
    <definedName name="CON_2017_Production_Expend">'Conservation Report'!$G$25</definedName>
    <definedName name="CON_2017_Production_MWH">'Conservation Report'!$F$25</definedName>
    <definedName name="CON_2017_Program1_Expend">'Conservation Report'!$G$30</definedName>
    <definedName name="CON_2017_Program2_Expend">'Conservation Report'!$G$31</definedName>
    <definedName name="CON_2017_Residential_Expend">'Conservation Report'!$G$20</definedName>
    <definedName name="CON_2017_Residential_MWH">'Conservation Report'!$F$20</definedName>
    <definedName name="CON_Contact_Name">'Conservation Report'!$B$7</definedName>
    <definedName name="CON_Email">'Conservation Report'!$B$9</definedName>
    <definedName name="CON_Excess_2012_13">'Conservation Report'!$G$10</definedName>
    <definedName name="CON_Excess_2014_15">'Conservation Report'!$G$11</definedName>
    <definedName name="CON_Phone">'Conservation Report'!$B$8</definedName>
    <definedName name="CON_Potential_2016_2025">'Conservation Report'!$A$15</definedName>
    <definedName name="CON_Potential_2018_2027">'Conservation Report'!$C$15</definedName>
    <definedName name="CON_Report_Date">'Conservation Report'!$B$6</definedName>
    <definedName name="CON_Target_2016_2017">'Conservation Report'!$B$15</definedName>
    <definedName name="CON_Target_2018_2019">'Conservation Report'!$D$15</definedName>
    <definedName name="CON_Utility_Name">'Conservation Report'!$B$5</definedName>
    <definedName name="OLE_LINK1" localSheetId="1">'Conservation Report'!$B$61</definedName>
    <definedName name="OLE_LINK2" localSheetId="1">'Conservation Report'!$B$66</definedName>
    <definedName name="OLE_LINK3" localSheetId="1">'Conservation Report'!$B$70</definedName>
    <definedName name="OLE_LINK4" localSheetId="1">'Conservation Report'!$B$74</definedName>
    <definedName name="_xlnm.Print_Area" localSheetId="1">'Conservation Report'!$A$1:$I$99</definedName>
    <definedName name="UtilityList">'Prior Report Data'!$A$4:$A$21</definedName>
  </definedNames>
  <calcPr calcId="145621"/>
</workbook>
</file>

<file path=xl/calcChain.xml><?xml version="1.0" encoding="utf-8"?>
<calcChain xmlns="http://schemas.openxmlformats.org/spreadsheetml/2006/main">
  <c r="I8" i="18" l="1"/>
  <c r="G21" i="18" l="1"/>
  <c r="G22" i="18"/>
  <c r="F22" i="18"/>
  <c r="F21" i="18"/>
  <c r="D22" i="18"/>
  <c r="D21" i="18"/>
  <c r="C22" i="18"/>
  <c r="C21" i="18"/>
  <c r="C32" i="18" l="1"/>
  <c r="A15" i="18"/>
  <c r="B15" i="18"/>
  <c r="G8" i="18" s="1"/>
  <c r="BA2" i="19" l="1"/>
  <c r="AX2" i="19"/>
  <c r="A2" i="19" l="1"/>
  <c r="AS2" i="19" l="1"/>
  <c r="W2" i="19"/>
  <c r="E2" i="19"/>
  <c r="AZ2" i="19" l="1"/>
  <c r="AY2" i="19"/>
  <c r="AW2" i="19"/>
  <c r="AV2" i="19"/>
  <c r="AU2" i="19"/>
  <c r="AT2" i="19"/>
  <c r="AR2" i="19"/>
  <c r="AQ2" i="19"/>
  <c r="AP2" i="19"/>
  <c r="AO2" i="19"/>
  <c r="AN2" i="19"/>
  <c r="AM2" i="19"/>
  <c r="AL2" i="19"/>
  <c r="AK2" i="19"/>
  <c r="AJ2" i="19"/>
  <c r="AI2" i="19"/>
  <c r="AH2" i="19"/>
  <c r="AF2" i="19"/>
  <c r="AE2" i="19"/>
  <c r="AC2" i="19"/>
  <c r="AB2" i="19"/>
  <c r="AA2" i="19"/>
  <c r="Z2" i="19"/>
  <c r="Y2" i="19"/>
  <c r="X2" i="19"/>
  <c r="V2" i="19"/>
  <c r="U2" i="19"/>
  <c r="T2" i="19"/>
  <c r="S2" i="19"/>
  <c r="R2" i="19"/>
  <c r="Q2" i="19"/>
  <c r="P2" i="19"/>
  <c r="O2" i="19"/>
  <c r="N2" i="19"/>
  <c r="M2" i="19"/>
  <c r="L2" i="19"/>
  <c r="J2" i="19"/>
  <c r="I2" i="19"/>
  <c r="G2" i="19"/>
  <c r="F2" i="19"/>
  <c r="D2" i="19"/>
  <c r="C2" i="19"/>
  <c r="B2" i="19"/>
  <c r="G32" i="18" l="1"/>
  <c r="AD2" i="19" s="1"/>
  <c r="F32" i="18"/>
  <c r="AG2" i="19" s="1"/>
  <c r="N5" i="21" l="1"/>
  <c r="B34" i="18" l="1"/>
  <c r="D32" i="18" l="1"/>
  <c r="H2" i="19" s="1"/>
  <c r="G9" i="18"/>
  <c r="G13" i="18" s="1"/>
  <c r="K2" i="19" l="1"/>
</calcChain>
</file>

<file path=xl/sharedStrings.xml><?xml version="1.0" encoding="utf-8"?>
<sst xmlns="http://schemas.openxmlformats.org/spreadsheetml/2006/main" count="165" uniqueCount="155">
  <si>
    <t>Phone</t>
  </si>
  <si>
    <t>Email</t>
  </si>
  <si>
    <t>Achievement</t>
  </si>
  <si>
    <t>Utility</t>
  </si>
  <si>
    <t xml:space="preserve"> NEEA</t>
  </si>
  <si>
    <t>Total</t>
  </si>
  <si>
    <t>MWh</t>
  </si>
  <si>
    <t>Utility Expenditures ($)</t>
  </si>
  <si>
    <t xml:space="preserve"> Residential </t>
  </si>
  <si>
    <t xml:space="preserve"> Commercial</t>
  </si>
  <si>
    <t xml:space="preserve"> Industrial</t>
  </si>
  <si>
    <t xml:space="preserve"> Agriculture</t>
  </si>
  <si>
    <t>Compliance Year</t>
  </si>
  <si>
    <t>Water</t>
  </si>
  <si>
    <t>Wind</t>
  </si>
  <si>
    <t>Landfill Gas</t>
  </si>
  <si>
    <t>Gas from Sewage Treatment</t>
  </si>
  <si>
    <t xml:space="preserve"> Distribution Efficiency</t>
  </si>
  <si>
    <t xml:space="preserve"> Production Efficiency</t>
  </si>
  <si>
    <t>Wave, Ocean, Tidal</t>
  </si>
  <si>
    <t>Conservation by Sector</t>
  </si>
  <si>
    <r>
      <t xml:space="preserve"> </t>
    </r>
    <r>
      <rPr>
        <b/>
        <sz val="10"/>
        <color theme="1"/>
        <rFont val="Arial"/>
        <family val="2"/>
      </rPr>
      <t>Planning</t>
    </r>
  </si>
  <si>
    <r>
      <t xml:space="preserve">Conservation expenditures </t>
    </r>
    <r>
      <rPr>
        <i/>
        <sz val="10"/>
        <color theme="1"/>
        <rFont val="Arial"/>
        <family val="2"/>
      </rPr>
      <t xml:space="preserve">NOT </t>
    </r>
    <r>
      <rPr>
        <sz val="10"/>
        <color theme="1"/>
        <rFont val="Arial"/>
        <family val="2"/>
      </rPr>
      <t>included in sector expenditures</t>
    </r>
  </si>
  <si>
    <t>Contact Name/Dept</t>
  </si>
  <si>
    <t>Report Date</t>
  </si>
  <si>
    <t>CON_Contact_Name</t>
  </si>
  <si>
    <t>CON_Email</t>
  </si>
  <si>
    <t>CON_Phone</t>
  </si>
  <si>
    <t>CON_Report_Date</t>
  </si>
  <si>
    <t>CON_Utility_Name</t>
  </si>
  <si>
    <r>
      <t>Submission:</t>
    </r>
    <r>
      <rPr>
        <sz val="11"/>
        <color rgb="FF000000"/>
        <rFont val="Arial"/>
        <family val="2"/>
      </rPr>
      <t xml:space="preserve"> Email this workbook and all supporting documentation to </t>
    </r>
    <r>
      <rPr>
        <b/>
        <sz val="11"/>
        <color rgb="FF993300"/>
        <rFont val="Arial"/>
        <family val="2"/>
      </rPr>
      <t xml:space="preserve">EIA@commerce.wa.gov </t>
    </r>
  </si>
  <si>
    <t>2016 - 2017 Planning</t>
  </si>
  <si>
    <t>2016-2025 Ten Year Potential (MWh)</t>
  </si>
  <si>
    <t>2016 - 2017 Target (MWh)</t>
  </si>
  <si>
    <t>CON_Potential_2016_2025</t>
  </si>
  <si>
    <t>CON_Target_2016_2017</t>
  </si>
  <si>
    <t>Biodiesel</t>
  </si>
  <si>
    <t>Solar</t>
  </si>
  <si>
    <t>Geothermal</t>
  </si>
  <si>
    <t>Biomass</t>
  </si>
  <si>
    <t>Qualified Biomass</t>
  </si>
  <si>
    <t>Notes, including a brief description of the methodology used to establish the utility's ten-year potential and biennial target to capture cost-effective conservation:</t>
  </si>
  <si>
    <t>Enter information in green-shaded fields.</t>
  </si>
  <si>
    <t>Do not modify blue-shaded fields.</t>
  </si>
  <si>
    <r>
      <t>Questions:</t>
    </r>
    <r>
      <rPr>
        <sz val="11"/>
        <color rgb="FF000000"/>
        <rFont val="Arial"/>
        <family val="2"/>
      </rPr>
      <t xml:space="preserve"> Glenn Blackmon, State Energy Office, (360) 725-3115, </t>
    </r>
    <r>
      <rPr>
        <b/>
        <sz val="11"/>
        <color theme="3"/>
        <rFont val="Arial"/>
        <family val="2"/>
      </rPr>
      <t>glenn.blackmon@commerce.wa.gov</t>
    </r>
  </si>
  <si>
    <r>
      <rPr>
        <sz val="12"/>
        <color theme="1"/>
        <rFont val="Arial"/>
        <family val="2"/>
      </rPr>
      <t xml:space="preserve">Energy Independence Act (I-937) </t>
    </r>
    <r>
      <rPr>
        <sz val="12"/>
        <color theme="1"/>
        <rFont val="Arial Black"/>
        <family val="2"/>
      </rPr>
      <t>Conservation Report 2017</t>
    </r>
  </si>
  <si>
    <t>2016 Achievement</t>
  </si>
  <si>
    <t>2017 Achievement</t>
  </si>
  <si>
    <t>Puget Sound Energy</t>
  </si>
  <si>
    <t>Seattle City Light</t>
  </si>
  <si>
    <t>Public Utility District No. 1 of Chelan County</t>
  </si>
  <si>
    <t>CON_2016_Agriculture_Expend</t>
  </si>
  <si>
    <t>CON_2016_Agriculture_MWH</t>
  </si>
  <si>
    <t>CON_2016_Commercial_Expend</t>
  </si>
  <si>
    <t>CON_2016_Commercial_MWH</t>
  </si>
  <si>
    <t>CON_2016_Distribution_Expend</t>
  </si>
  <si>
    <t>CON_2016_Distribution_MWH</t>
  </si>
  <si>
    <t>CON_2016_Expenditures</t>
  </si>
  <si>
    <t>CON_2016_Industrial_Expend</t>
  </si>
  <si>
    <t>CON_2016_Industrial_MWH</t>
  </si>
  <si>
    <t>CON_2016_MWH</t>
  </si>
  <si>
    <t>CON_2016_NEEA_Expend</t>
  </si>
  <si>
    <t>CON_2016_NEEA_MWH</t>
  </si>
  <si>
    <t>CON_2016_OtherSector1_Expend</t>
  </si>
  <si>
    <t>CON_2016_OtherSector1_MWH</t>
  </si>
  <si>
    <t>CON_2016_OtherSector2_Expend</t>
  </si>
  <si>
    <t>CON_2016_OtherSector2_MWH</t>
  </si>
  <si>
    <t>CON_2016_Production_Expend</t>
  </si>
  <si>
    <t>CON_2016_Production_MWH</t>
  </si>
  <si>
    <t>CON_2016_Program1_Expend</t>
  </si>
  <si>
    <t>CON_2016_Program2_Expend</t>
  </si>
  <si>
    <t>CON_2016_Residential_Expend</t>
  </si>
  <si>
    <t>CON_2016_Residential_MWH</t>
  </si>
  <si>
    <t>CON_2017_Agriculture_MWH</t>
  </si>
  <si>
    <t>CON_2017_Commercial_Expend</t>
  </si>
  <si>
    <t>CON_2017_Commercial_MWH</t>
  </si>
  <si>
    <t>CON_2017_Distribution_Expend</t>
  </si>
  <si>
    <t>CON_2017_Distribution_MWH</t>
  </si>
  <si>
    <t>CON_2017_Expenditures</t>
  </si>
  <si>
    <t>CON_2017_Industrial_Expend</t>
  </si>
  <si>
    <t>CON_2017_Industrial_MWH</t>
  </si>
  <si>
    <t>CON_2017_MWH</t>
  </si>
  <si>
    <t>CON_2017_NEEA_Expend</t>
  </si>
  <si>
    <t>CON_2017_NEEA_MWH</t>
  </si>
  <si>
    <t>CON_2017_OtherSector1_Expend</t>
  </si>
  <si>
    <t>CON_2017_OtherSector1_MWH</t>
  </si>
  <si>
    <t>CON_2017_OtherSector2_Expend</t>
  </si>
  <si>
    <t>CON_2017_OtherSector2_MWH</t>
  </si>
  <si>
    <t>CON_2017_Production_Expend</t>
  </si>
  <si>
    <t>CON_2017_Production_MWH</t>
  </si>
  <si>
    <t>CON_2017_Program1_Expend</t>
  </si>
  <si>
    <t>CON_2017_Program2_Expend</t>
  </si>
  <si>
    <t>CON_2017_Residential_Expend</t>
  </si>
  <si>
    <t>CON_2017_Residential_MWH</t>
  </si>
  <si>
    <t>CON_2017_Agriculture_Expend</t>
  </si>
  <si>
    <t>Avista</t>
  </si>
  <si>
    <t>Public Utility District No. 1 of Benton County</t>
  </si>
  <si>
    <t>PUD #1 of Clallam County</t>
  </si>
  <si>
    <t>Clark Public Utilities</t>
  </si>
  <si>
    <t>Cowlitz County PUD</t>
  </si>
  <si>
    <t>Public Utility District No. 2 of Grant County</t>
  </si>
  <si>
    <t>PUD #1 of Grays Harbor County</t>
  </si>
  <si>
    <t>Inland Power and Light Co.</t>
  </si>
  <si>
    <t>Lewis County PUD</t>
  </si>
  <si>
    <t>Mason County PUD No. 3</t>
  </si>
  <si>
    <t>Pacific Power &amp; Light Company</t>
  </si>
  <si>
    <t>Peninsula Light Company</t>
  </si>
  <si>
    <t>Snohomish County PUD</t>
  </si>
  <si>
    <t>Tacoma Power</t>
  </si>
  <si>
    <t>&lt;select from drop-down list&gt;</t>
  </si>
  <si>
    <t>2018 - 2019 Planning</t>
  </si>
  <si>
    <t>2018-2027 Ten Year Potential (MWh)</t>
  </si>
  <si>
    <t>2018 - 2019 Target (MWh)</t>
  </si>
  <si>
    <t>Summary of Achievement and Targets (MWh)</t>
  </si>
  <si>
    <t>2016-2017</t>
  </si>
  <si>
    <t>2018-2019</t>
  </si>
  <si>
    <t>Biennial</t>
  </si>
  <si>
    <t xml:space="preserve">Target </t>
  </si>
  <si>
    <t>Target</t>
  </si>
  <si>
    <t>Excess from 2012-13</t>
  </si>
  <si>
    <t>Excess from 2014-15</t>
  </si>
  <si>
    <r>
      <t>Deadline:</t>
    </r>
    <r>
      <rPr>
        <sz val="11"/>
        <color rgb="FF000000"/>
        <rFont val="Arial"/>
        <family val="2"/>
      </rPr>
      <t xml:space="preserve"> June 1, 2018</t>
    </r>
  </si>
  <si>
    <r>
      <t xml:space="preserve">Energy Independence Act (I-937) </t>
    </r>
    <r>
      <rPr>
        <sz val="11"/>
        <color rgb="FF000000"/>
        <rFont val="Arial Black"/>
        <family val="2"/>
      </rPr>
      <t>Conservation Report Workbook</t>
    </r>
  </si>
  <si>
    <t>CON_Potential_2018_2027</t>
  </si>
  <si>
    <t>CON_Target_2018_2019</t>
  </si>
  <si>
    <t>(Deductions)</t>
  </si>
  <si>
    <t>Published April 5, 2018</t>
  </si>
  <si>
    <t>Excess (Deficit)</t>
  </si>
  <si>
    <t>Pilots</t>
  </si>
  <si>
    <t>Portfolio Support</t>
  </si>
  <si>
    <t>Research &amp; Compliance</t>
  </si>
  <si>
    <t>425 424-6837</t>
  </si>
  <si>
    <t>Daniel.Anderson@pse.com</t>
  </si>
  <si>
    <t>Dan Anderson, Energy Efficiency</t>
  </si>
  <si>
    <t>Decoupling Penalty Target</t>
  </si>
  <si>
    <t xml:space="preserve">5 percent above the “Total Base Savings”: </t>
  </si>
  <si>
    <t>[(Total Biennial Potential + Legacy HER) * 0.05]</t>
  </si>
  <si>
    <t>EIA Penalty Target</t>
  </si>
  <si>
    <t>PSE-specific electric conservation savings, less decoupling:</t>
  </si>
  <si>
    <t>[Total Portfolio Savings – (NEEA deemed savings + Pilots With Uncertain Savings + Decoupling Penalty Target)]</t>
  </si>
  <si>
    <t xml:space="preserve">Excess Savings </t>
  </si>
  <si>
    <t>There are two classifications of Excess Savings:</t>
  </si>
  <si>
    <t>(1) The difference of [Total Utility Conservation Achievement – Total Utility Conservation Goal]. This is the “Excess Savings” reported in the WA Department of Commerce EIA report.</t>
  </si>
  <si>
    <t>(2) The difference of [Total Portfolio Savings – (EIA Penalty Target + Decoupling Penalty Target)]. This is the “Excess Savings” that are applicable to UTC rulings of PSE’s achievement of its Penalty Targets.</t>
  </si>
  <si>
    <t>Portfolio Savings Target/Achievement</t>
  </si>
  <si>
    <t>All programs and initiatives that comprise the entire suite of Energy Efficiency services, as listed in PSE’s Exhibit 1: Savings and Budgets.</t>
  </si>
  <si>
    <t>PSE-Specific Savings</t>
  </si>
  <si>
    <t xml:space="preserve">Savings attributable to programs directly managed by PSE, and programs with savings confidence: </t>
  </si>
  <si>
    <t>[Portfolio Savings Achieved – (NEEA + Pilots with Uncertain Savings)]</t>
  </si>
  <si>
    <t>RTF Deemed</t>
  </si>
  <si>
    <t xml:space="preserve">Former reference to the RTF’s UES (Unit Energy Savings). </t>
  </si>
  <si>
    <t>Total Utility Savings</t>
  </si>
  <si>
    <t>This is the sum of PSE’s two Penalty Targets.</t>
  </si>
  <si>
    <t>EIA Target</t>
  </si>
  <si>
    <t>(2-year pro-rata share of 10-year potential, as determined by the most recent Conservation Potential Assessment + any programs/measures unaccounted for in CPA.)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</si>
</sst>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_);_(* \(#,##0.0\);_(* &quot;-&quot;??_);_(@_)"/>
    <numFmt numFmtId="165" formatCode="_(* #,##0_);_(* \(#,##0\);_(* &quot;-&quot;??_);_(@_)"/>
    <numFmt numFmtId="166" formatCode="[$-409]mmmm\ d\,\ yyyy;@"/>
    <numFmt numFmtId="167" formatCode="&quot;$&quot;#,##0"/>
  </numFmts>
  <fonts count="2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b/>
      <sz val="10"/>
      <name val="Arial"/>
      <family val="2"/>
    </font>
    <font>
      <sz val="11"/>
      <color theme="1"/>
      <name val="Calibri"/>
      <family val="2"/>
      <scheme val="minor"/>
    </font>
    <font>
      <u/>
      <sz val="8.25"/>
      <color theme="10"/>
      <name val="Calibri"/>
      <family val="2"/>
    </font>
    <font>
      <sz val="10"/>
      <color theme="1"/>
      <name val="Arial"/>
      <family val="2"/>
    </font>
    <font>
      <b/>
      <sz val="10"/>
      <color theme="1"/>
      <name val="Arial"/>
      <family val="2"/>
    </font>
    <font>
      <i/>
      <sz val="10"/>
      <color theme="1"/>
      <name val="Arial"/>
      <family val="2"/>
    </font>
    <font>
      <b/>
      <sz val="9"/>
      <color theme="1"/>
      <name val="Arial"/>
      <family val="2"/>
    </font>
    <font>
      <sz val="12"/>
      <color theme="1"/>
      <name val="Arial Black"/>
      <family val="2"/>
    </font>
    <font>
      <sz val="12"/>
      <color theme="1"/>
      <name val="Arial"/>
      <family val="2"/>
    </font>
    <font>
      <sz val="11"/>
      <color rgb="FF000000"/>
      <name val="Arial Black"/>
      <family val="2"/>
    </font>
    <font>
      <sz val="11"/>
      <color rgb="FF000000"/>
      <name val="Arial"/>
      <family val="2"/>
    </font>
    <font>
      <b/>
      <sz val="11"/>
      <color rgb="FF000000"/>
      <name val="Arial"/>
      <family val="2"/>
    </font>
    <font>
      <b/>
      <sz val="11"/>
      <color rgb="FF993300"/>
      <name val="Arial"/>
      <family val="2"/>
    </font>
    <font>
      <b/>
      <sz val="11"/>
      <color theme="3"/>
      <name val="Arial"/>
      <family val="2"/>
    </font>
    <font>
      <b/>
      <sz val="10"/>
      <color rgb="FF000000"/>
      <name val="Arial"/>
      <family val="2"/>
    </font>
    <font>
      <sz val="10"/>
      <color rgb="FF000000"/>
      <name val="Arial"/>
      <family val="2"/>
    </font>
  </fonts>
  <fills count="8">
    <fill>
      <patternFill patternType="none"/>
    </fill>
    <fill>
      <patternFill patternType="gray125"/>
    </fill>
    <fill>
      <patternFill patternType="solid">
        <fgColor theme="0"/>
        <bgColor indexed="64"/>
      </patternFill>
    </fill>
    <fill>
      <patternFill patternType="darkGray">
        <fgColor theme="0" tint="-0.499984740745262"/>
        <bgColor rgb="FFE4E4E4"/>
      </patternFill>
    </fill>
    <fill>
      <patternFill patternType="solid">
        <fgColor rgb="FFFFFF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s>
  <borders count="32">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thick">
        <color indexed="64"/>
      </top>
      <bottom/>
      <diagonal/>
    </border>
    <border>
      <left/>
      <right/>
      <top/>
      <bottom style="thin">
        <color indexed="64"/>
      </bottom>
      <diagonal/>
    </border>
    <border>
      <left/>
      <right style="thin">
        <color indexed="64"/>
      </right>
      <top/>
      <bottom/>
      <diagonal/>
    </border>
    <border>
      <left style="hair">
        <color indexed="64"/>
      </left>
      <right/>
      <top/>
      <bottom style="thin">
        <color indexed="64"/>
      </bottom>
      <diagonal/>
    </border>
    <border>
      <left/>
      <right/>
      <top style="thin">
        <color indexed="64"/>
      </top>
      <bottom style="medium">
        <color indexed="64"/>
      </bottom>
      <diagonal/>
    </border>
    <border>
      <left style="hair">
        <color indexed="64"/>
      </left>
      <right/>
      <top/>
      <bottom style="hair">
        <color indexed="64"/>
      </bottom>
      <diagonal/>
    </border>
    <border>
      <left/>
      <right/>
      <top/>
      <bottom style="medium">
        <color indexed="64"/>
      </bottom>
      <diagonal/>
    </border>
    <border>
      <left/>
      <right/>
      <top style="medium">
        <color indexed="64"/>
      </top>
      <bottom/>
      <diagonal/>
    </border>
    <border>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6" fillId="0" borderId="0" applyFont="0" applyFill="0" applyBorder="0" applyAlignment="0" applyProtection="0"/>
    <xf numFmtId="0" fontId="7" fillId="0" borderId="0" applyNumberFormat="0" applyFill="0" applyBorder="0" applyAlignment="0" applyProtection="0">
      <alignment vertical="top"/>
      <protection locked="0"/>
    </xf>
    <xf numFmtId="0" fontId="6" fillId="0" borderId="0" applyNumberFormat="0" applyFont="0" applyFill="0" applyBorder="0" applyAlignment="0" applyProtection="0">
      <alignment vertical="top"/>
      <protection locked="0"/>
    </xf>
  </cellStyleXfs>
  <cellXfs count="112">
    <xf numFmtId="0" fontId="0" fillId="0" borderId="0" xfId="0"/>
    <xf numFmtId="0" fontId="8" fillId="2" borderId="0" xfId="0" applyFont="1" applyFill="1"/>
    <xf numFmtId="0" fontId="8" fillId="2" borderId="0" xfId="0" applyFont="1" applyFill="1" applyAlignment="1">
      <alignment horizontal="right"/>
    </xf>
    <xf numFmtId="0" fontId="11" fillId="2" borderId="0" xfId="0" applyFont="1" applyFill="1" applyBorder="1" applyAlignment="1">
      <alignment horizontal="center" vertical="center" wrapText="1"/>
    </xf>
    <xf numFmtId="0" fontId="4" fillId="2" borderId="7" xfId="0" applyFont="1" applyFill="1" applyBorder="1" applyAlignment="1" applyProtection="1">
      <alignment horizontal="right"/>
    </xf>
    <xf numFmtId="0" fontId="0" fillId="0" borderId="0" xfId="0" applyNumberFormat="1"/>
    <xf numFmtId="0" fontId="16" fillId="4" borderId="0" xfId="0" applyFont="1" applyFill="1" applyBorder="1" applyAlignment="1">
      <alignment vertical="center" wrapText="1"/>
    </xf>
    <xf numFmtId="0" fontId="15" fillId="4" borderId="0" xfId="0" applyFont="1" applyFill="1" applyBorder="1" applyAlignment="1">
      <alignment vertical="center"/>
    </xf>
    <xf numFmtId="0" fontId="16" fillId="6" borderId="0"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8" fillId="2" borderId="0" xfId="0" applyFont="1" applyFill="1" applyProtection="1">
      <protection locked="0"/>
    </xf>
    <xf numFmtId="165" fontId="8" fillId="6" borderId="4" xfId="1" applyNumberFormat="1" applyFont="1" applyFill="1" applyBorder="1" applyAlignment="1" applyProtection="1">
      <alignment horizontal="center"/>
      <protection locked="0"/>
    </xf>
    <xf numFmtId="167" fontId="8" fillId="6" borderId="13" xfId="1" applyNumberFormat="1" applyFont="1" applyFill="1" applyBorder="1" applyAlignment="1" applyProtection="1">
      <alignment horizontal="right"/>
      <protection locked="0"/>
    </xf>
    <xf numFmtId="165" fontId="8" fillId="6" borderId="4" xfId="0" applyNumberFormat="1" applyFont="1" applyFill="1" applyBorder="1" applyAlignment="1" applyProtection="1">
      <alignment horizontal="center"/>
      <protection locked="0"/>
    </xf>
    <xf numFmtId="0" fontId="9" fillId="6" borderId="7" xfId="0" applyFont="1" applyFill="1" applyBorder="1" applyProtection="1">
      <protection locked="0"/>
    </xf>
    <xf numFmtId="0" fontId="8" fillId="2" borderId="0" xfId="0" applyFont="1" applyFill="1" applyProtection="1"/>
    <xf numFmtId="0" fontId="12" fillId="2" borderId="0" xfId="0" applyFont="1" applyFill="1" applyBorder="1" applyAlignment="1" applyProtection="1"/>
    <xf numFmtId="0" fontId="8" fillId="2" borderId="0" xfId="0" applyFont="1" applyFill="1" applyBorder="1" applyProtection="1"/>
    <xf numFmtId="0" fontId="9" fillId="2" borderId="0" xfId="0" applyFont="1" applyFill="1" applyBorder="1" applyAlignment="1" applyProtection="1"/>
    <xf numFmtId="0" fontId="9" fillId="2" borderId="0" xfId="0" applyFont="1" applyFill="1" applyBorder="1" applyAlignment="1" applyProtection="1">
      <alignment horizontal="right"/>
    </xf>
    <xf numFmtId="0" fontId="8" fillId="2" borderId="0" xfId="0" applyNumberFormat="1" applyFont="1" applyFill="1" applyProtection="1"/>
    <xf numFmtId="0" fontId="8" fillId="2" borderId="0" xfId="0" applyFont="1" applyFill="1" applyBorder="1" applyAlignment="1" applyProtection="1">
      <alignment horizontal="right"/>
    </xf>
    <xf numFmtId="0" fontId="10" fillId="2" borderId="0" xfId="0" applyFont="1" applyFill="1" applyBorder="1" applyProtection="1"/>
    <xf numFmtId="0" fontId="8" fillId="2" borderId="0" xfId="0" applyFont="1" applyFill="1" applyAlignment="1" applyProtection="1">
      <alignment horizontal="right"/>
    </xf>
    <xf numFmtId="0" fontId="8" fillId="2" borderId="0" xfId="0" applyFont="1" applyFill="1" applyAlignment="1" applyProtection="1">
      <alignment horizontal="left"/>
    </xf>
    <xf numFmtId="0" fontId="8" fillId="2" borderId="0" xfId="0" applyFont="1" applyFill="1" applyBorder="1" applyAlignment="1" applyProtection="1"/>
    <xf numFmtId="0" fontId="8" fillId="2" borderId="3" xfId="0" applyFont="1" applyFill="1" applyBorder="1" applyProtection="1"/>
    <xf numFmtId="0" fontId="9" fillId="2" borderId="4" xfId="0" applyFont="1" applyFill="1" applyBorder="1" applyAlignment="1" applyProtection="1">
      <alignment horizontal="right"/>
    </xf>
    <xf numFmtId="0" fontId="9" fillId="2" borderId="2" xfId="0" applyFont="1" applyFill="1" applyBorder="1" applyAlignment="1" applyProtection="1">
      <alignment horizontal="center" wrapText="1"/>
    </xf>
    <xf numFmtId="0" fontId="8" fillId="2" borderId="7" xfId="0" applyFont="1" applyFill="1" applyBorder="1" applyAlignment="1" applyProtection="1">
      <alignment horizontal="right"/>
    </xf>
    <xf numFmtId="167" fontId="8" fillId="2" borderId="0" xfId="0" applyNumberFormat="1" applyFont="1" applyFill="1" applyAlignment="1" applyProtection="1">
      <alignment horizontal="right"/>
    </xf>
    <xf numFmtId="164" fontId="8" fillId="3" borderId="14" xfId="0" applyNumberFormat="1" applyFont="1" applyFill="1" applyBorder="1" applyAlignment="1" applyProtection="1">
      <alignment horizontal="center"/>
    </xf>
    <xf numFmtId="164" fontId="8" fillId="3" borderId="15" xfId="0" applyNumberFormat="1" applyFont="1" applyFill="1" applyBorder="1" applyAlignment="1" applyProtection="1">
      <alignment horizontal="center"/>
    </xf>
    <xf numFmtId="0" fontId="9" fillId="2" borderId="8" xfId="0" applyFont="1" applyFill="1" applyBorder="1" applyProtection="1"/>
    <xf numFmtId="165" fontId="9" fillId="5" borderId="6" xfId="0" applyNumberFormat="1" applyFont="1" applyFill="1" applyBorder="1" applyAlignment="1" applyProtection="1">
      <alignment horizontal="center"/>
    </xf>
    <xf numFmtId="167" fontId="9" fillId="5" borderId="1" xfId="1" applyNumberFormat="1" applyFont="1" applyFill="1" applyBorder="1" applyAlignment="1" applyProtection="1">
      <alignment horizontal="right"/>
    </xf>
    <xf numFmtId="0" fontId="9" fillId="2" borderId="0" xfId="0" applyFont="1" applyFill="1" applyBorder="1" applyProtection="1"/>
    <xf numFmtId="165" fontId="9" fillId="2" borderId="0" xfId="0" applyNumberFormat="1" applyFont="1" applyFill="1" applyBorder="1" applyAlignment="1" applyProtection="1">
      <alignment horizontal="center"/>
    </xf>
    <xf numFmtId="165" fontId="9" fillId="2" borderId="0" xfId="1" applyNumberFormat="1" applyFont="1" applyFill="1" applyBorder="1" applyAlignment="1" applyProtection="1">
      <alignment horizontal="center"/>
    </xf>
    <xf numFmtId="0" fontId="9" fillId="2" borderId="0" xfId="0" applyFont="1" applyFill="1" applyAlignment="1" applyProtection="1">
      <alignment horizontal="right"/>
    </xf>
    <xf numFmtId="0" fontId="9" fillId="2" borderId="0" xfId="0" applyFont="1" applyFill="1" applyBorder="1" applyAlignment="1" applyProtection="1">
      <alignment horizontal="center"/>
    </xf>
    <xf numFmtId="0" fontId="0" fillId="0" borderId="0" xfId="0" applyAlignment="1">
      <alignment textRotation="90"/>
    </xf>
    <xf numFmtId="0" fontId="0" fillId="0" borderId="0" xfId="0" applyAlignment="1">
      <alignment horizontal="center" wrapText="1"/>
    </xf>
    <xf numFmtId="0" fontId="9" fillId="0" borderId="2" xfId="0" applyFont="1" applyFill="1" applyBorder="1" applyAlignment="1" applyProtection="1">
      <alignment horizontal="center" wrapText="1"/>
    </xf>
    <xf numFmtId="165" fontId="8" fillId="6" borderId="4" xfId="1" applyNumberFormat="1" applyFont="1" applyFill="1" applyBorder="1" applyAlignment="1" applyProtection="1">
      <alignment horizontal="center"/>
      <protection locked="0"/>
    </xf>
    <xf numFmtId="0" fontId="9" fillId="2" borderId="15" xfId="0" applyFont="1" applyFill="1" applyBorder="1" applyAlignment="1">
      <alignment horizontal="center" wrapText="1"/>
    </xf>
    <xf numFmtId="0" fontId="9" fillId="2" borderId="21" xfId="0" applyFont="1" applyFill="1" applyBorder="1" applyAlignment="1">
      <alignment horizontal="center" wrapText="1"/>
    </xf>
    <xf numFmtId="165" fontId="8" fillId="5" borderId="6" xfId="0" applyNumberFormat="1" applyFont="1" applyFill="1" applyBorder="1" applyAlignment="1">
      <alignment horizontal="center"/>
    </xf>
    <xf numFmtId="165" fontId="8" fillId="5" borderId="6" xfId="1" applyNumberFormat="1" applyFont="1" applyFill="1" applyBorder="1"/>
    <xf numFmtId="165" fontId="9" fillId="6" borderId="1" xfId="1" applyNumberFormat="1" applyFont="1" applyFill="1" applyBorder="1" applyAlignment="1">
      <alignment horizontal="right"/>
    </xf>
    <xf numFmtId="0" fontId="5" fillId="2" borderId="23" xfId="0" applyFont="1" applyFill="1" applyBorder="1" applyAlignment="1">
      <alignment horizontal="center"/>
    </xf>
    <xf numFmtId="0" fontId="8" fillId="0" borderId="23" xfId="0" applyFont="1" applyBorder="1" applyAlignment="1"/>
    <xf numFmtId="0" fontId="9" fillId="2" borderId="0" xfId="0" applyFont="1" applyFill="1" applyAlignment="1">
      <alignment horizontal="center"/>
    </xf>
    <xf numFmtId="0" fontId="4" fillId="2" borderId="0" xfId="0" applyFont="1" applyFill="1" applyAlignment="1">
      <alignment horizontal="right"/>
    </xf>
    <xf numFmtId="165" fontId="8" fillId="5" borderId="12" xfId="1" applyNumberFormat="1" applyFont="1" applyFill="1" applyBorder="1"/>
    <xf numFmtId="165" fontId="8" fillId="5" borderId="20" xfId="0" applyNumberFormat="1" applyFont="1" applyFill="1" applyBorder="1"/>
    <xf numFmtId="165" fontId="8" fillId="5" borderId="9" xfId="1" applyNumberFormat="1" applyFont="1" applyFill="1" applyBorder="1"/>
    <xf numFmtId="165" fontId="8" fillId="5" borderId="24" xfId="1" applyNumberFormat="1" applyFont="1" applyFill="1" applyBorder="1"/>
    <xf numFmtId="165" fontId="8" fillId="6" borderId="9" xfId="1" applyNumberFormat="1" applyFont="1" applyFill="1" applyBorder="1"/>
    <xf numFmtId="166" fontId="15" fillId="0" borderId="0" xfId="0" applyNumberFormat="1" applyFont="1" applyFill="1" applyBorder="1" applyAlignment="1">
      <alignment horizontal="left" vertical="center"/>
    </xf>
    <xf numFmtId="0" fontId="3" fillId="6" borderId="7" xfId="0" applyFont="1" applyFill="1" applyBorder="1" applyAlignment="1" applyProtection="1">
      <alignment vertical="center" wrapText="1"/>
      <protection locked="0"/>
    </xf>
    <xf numFmtId="0" fontId="8" fillId="2" borderId="0" xfId="0" applyFont="1" applyFill="1" applyAlignment="1" applyProtection="1">
      <alignment vertical="top"/>
      <protection locked="0"/>
    </xf>
    <xf numFmtId="0" fontId="19" fillId="0" borderId="29" xfId="0" applyFont="1" applyBorder="1" applyAlignment="1">
      <alignment horizontal="left" vertical="top" wrapText="1"/>
    </xf>
    <xf numFmtId="0" fontId="8" fillId="2" borderId="0" xfId="0" applyFont="1" applyFill="1" applyAlignment="1" applyProtection="1">
      <alignment vertical="top"/>
    </xf>
    <xf numFmtId="0" fontId="19" fillId="0" borderId="28" xfId="0" applyFont="1" applyBorder="1" applyAlignment="1">
      <alignment horizontal="left" vertical="top" wrapText="1"/>
    </xf>
    <xf numFmtId="0" fontId="20" fillId="0" borderId="28" xfId="0" applyFont="1" applyBorder="1" applyAlignment="1">
      <alignment horizontal="left" vertical="top" wrapText="1"/>
    </xf>
    <xf numFmtId="0" fontId="20" fillId="0" borderId="17" xfId="0" applyFont="1" applyBorder="1" applyAlignment="1">
      <alignment horizontal="left" vertical="top" wrapText="1"/>
    </xf>
    <xf numFmtId="0" fontId="20" fillId="0" borderId="8" xfId="0" applyFont="1" applyBorder="1" applyAlignment="1">
      <alignment horizontal="left" vertical="top" wrapText="1"/>
    </xf>
    <xf numFmtId="0" fontId="20" fillId="0" borderId="25" xfId="0" applyFont="1" applyBorder="1" applyAlignment="1">
      <alignment horizontal="left" vertical="top" wrapText="1"/>
    </xf>
    <xf numFmtId="0" fontId="20" fillId="0" borderId="5" xfId="0" applyFont="1" applyBorder="1" applyAlignment="1">
      <alignment horizontal="left" vertical="top" wrapText="1"/>
    </xf>
    <xf numFmtId="0" fontId="20" fillId="0" borderId="26" xfId="0" applyFont="1" applyBorder="1" applyAlignment="1">
      <alignment horizontal="left" vertical="top" wrapText="1"/>
    </xf>
    <xf numFmtId="0" fontId="20" fillId="0" borderId="27" xfId="0" applyFont="1" applyBorder="1" applyAlignment="1">
      <alignment horizontal="left" vertical="top" wrapText="1"/>
    </xf>
    <xf numFmtId="0" fontId="20" fillId="0" borderId="0" xfId="0" applyFont="1" applyBorder="1" applyAlignment="1">
      <alignment horizontal="left" vertical="top" wrapText="1"/>
    </xf>
    <xf numFmtId="0" fontId="20" fillId="0" borderId="18" xfId="0" applyFont="1" applyBorder="1" applyAlignment="1">
      <alignment horizontal="left" vertical="top" wrapText="1"/>
    </xf>
    <xf numFmtId="0" fontId="20" fillId="0" borderId="29" xfId="0" applyFont="1" applyBorder="1" applyAlignment="1">
      <alignment horizontal="left" vertical="top" wrapText="1"/>
    </xf>
    <xf numFmtId="0" fontId="20" fillId="0" borderId="11" xfId="0" applyFont="1" applyBorder="1" applyAlignment="1">
      <alignment horizontal="left" vertical="top" wrapText="1"/>
    </xf>
    <xf numFmtId="0" fontId="20" fillId="0" borderId="30" xfId="0" applyFont="1" applyBorder="1" applyAlignment="1">
      <alignment horizontal="left" vertical="top" wrapText="1"/>
    </xf>
    <xf numFmtId="0" fontId="2" fillId="0" borderId="25" xfId="0" applyFont="1" applyBorder="1" applyAlignment="1">
      <alignment horizontal="left" vertical="top" wrapText="1"/>
    </xf>
    <xf numFmtId="0" fontId="2" fillId="0" borderId="5" xfId="0" applyFont="1" applyBorder="1" applyAlignment="1">
      <alignment horizontal="left" vertical="top" wrapText="1"/>
    </xf>
    <xf numFmtId="0" fontId="2" fillId="0" borderId="26" xfId="0" applyFont="1" applyBorder="1" applyAlignment="1">
      <alignment horizontal="left" vertical="top" wrapText="1"/>
    </xf>
    <xf numFmtId="0" fontId="2" fillId="0" borderId="28" xfId="0" applyFont="1" applyBorder="1" applyAlignment="1">
      <alignment horizontal="left" vertical="top" wrapText="1"/>
    </xf>
    <xf numFmtId="0" fontId="2" fillId="0" borderId="17" xfId="0" applyFont="1" applyBorder="1" applyAlignment="1">
      <alignment horizontal="left" vertical="top" wrapText="1"/>
    </xf>
    <xf numFmtId="0" fontId="2" fillId="0" borderId="8" xfId="0" applyFont="1" applyBorder="1" applyAlignment="1">
      <alignment horizontal="left" vertical="top" wrapText="1"/>
    </xf>
    <xf numFmtId="0" fontId="19" fillId="0" borderId="25" xfId="0" applyFont="1" applyBorder="1" applyAlignment="1">
      <alignment horizontal="left" vertical="top" wrapText="1"/>
    </xf>
    <xf numFmtId="0" fontId="19" fillId="0" borderId="28" xfId="0" applyFont="1" applyBorder="1" applyAlignment="1">
      <alignment horizontal="left" vertical="top" wrapText="1"/>
    </xf>
    <xf numFmtId="0" fontId="19" fillId="0" borderId="27" xfId="0" applyFont="1" applyBorder="1" applyAlignment="1">
      <alignment horizontal="left" vertical="top" wrapText="1"/>
    </xf>
    <xf numFmtId="0" fontId="9" fillId="0" borderId="25" xfId="0" applyFont="1" applyBorder="1" applyAlignment="1">
      <alignment horizontal="justify" vertical="top" wrapText="1"/>
    </xf>
    <xf numFmtId="0" fontId="9" fillId="0" borderId="28" xfId="0" applyFont="1" applyBorder="1" applyAlignment="1">
      <alignment horizontal="justify" vertical="top" wrapText="1"/>
    </xf>
    <xf numFmtId="0" fontId="8" fillId="2" borderId="20" xfId="0" applyFont="1" applyFill="1" applyBorder="1" applyAlignment="1">
      <alignment horizontal="center"/>
    </xf>
    <xf numFmtId="0" fontId="9" fillId="2" borderId="0" xfId="0" applyFont="1" applyFill="1" applyAlignment="1" applyProtection="1">
      <alignment horizontal="left" vertical="top" wrapText="1"/>
    </xf>
    <xf numFmtId="0" fontId="9" fillId="2" borderId="5" xfId="0" applyFont="1" applyFill="1" applyBorder="1" applyAlignment="1" applyProtection="1">
      <alignment horizontal="center"/>
    </xf>
    <xf numFmtId="0" fontId="8" fillId="2" borderId="0" xfId="0" applyFont="1" applyFill="1" applyAlignment="1" applyProtection="1">
      <alignment horizontal="left" vertical="top" wrapText="1"/>
      <protection locked="0"/>
    </xf>
    <xf numFmtId="0" fontId="16" fillId="6" borderId="0" xfId="0" applyFont="1" applyFill="1" applyBorder="1" applyAlignment="1" applyProtection="1">
      <alignment horizontal="center" vertical="center" wrapText="1"/>
    </xf>
    <xf numFmtId="0" fontId="16" fillId="7" borderId="0" xfId="0" applyFont="1" applyFill="1" applyBorder="1" applyAlignment="1" applyProtection="1">
      <alignment horizontal="center" vertical="center" wrapText="1"/>
    </xf>
    <xf numFmtId="0" fontId="9" fillId="5" borderId="11" xfId="0" applyFont="1" applyFill="1" applyBorder="1" applyAlignment="1" applyProtection="1">
      <alignment horizontal="center"/>
    </xf>
    <xf numFmtId="0" fontId="9" fillId="2" borderId="16" xfId="0" applyFont="1" applyFill="1" applyBorder="1" applyAlignment="1" applyProtection="1"/>
    <xf numFmtId="0" fontId="8" fillId="2" borderId="0" xfId="0" applyFont="1" applyFill="1" applyBorder="1" applyAlignment="1" applyProtection="1">
      <alignment horizontal="right" wrapText="1"/>
    </xf>
    <xf numFmtId="0" fontId="8" fillId="2" borderId="18" xfId="0" applyFont="1" applyFill="1" applyBorder="1" applyAlignment="1" applyProtection="1">
      <alignment horizontal="right" wrapText="1"/>
    </xf>
    <xf numFmtId="0" fontId="9" fillId="2" borderId="17" xfId="0" applyFont="1" applyFill="1" applyBorder="1" applyAlignment="1" applyProtection="1">
      <alignment horizontal="center"/>
    </xf>
    <xf numFmtId="0" fontId="9" fillId="0" borderId="17" xfId="0" applyFont="1" applyFill="1" applyBorder="1" applyAlignment="1" applyProtection="1">
      <alignment horizontal="center"/>
    </xf>
    <xf numFmtId="0" fontId="9" fillId="6" borderId="12" xfId="0" applyFont="1" applyFill="1" applyBorder="1" applyAlignment="1" applyProtection="1">
      <alignment horizontal="center"/>
      <protection locked="0"/>
    </xf>
    <xf numFmtId="0" fontId="9" fillId="2" borderId="17" xfId="0" applyFont="1" applyFill="1" applyBorder="1" applyAlignment="1">
      <alignment horizontal="center"/>
    </xf>
    <xf numFmtId="0" fontId="9" fillId="2" borderId="19" xfId="0" applyFont="1" applyFill="1" applyBorder="1" applyAlignment="1">
      <alignment horizontal="center"/>
    </xf>
    <xf numFmtId="0" fontId="9" fillId="2" borderId="22" xfId="0" applyFont="1" applyFill="1" applyBorder="1" applyAlignment="1">
      <alignment horizontal="center"/>
    </xf>
    <xf numFmtId="166" fontId="10" fillId="6" borderId="9" xfId="0" applyNumberFormat="1" applyFont="1" applyFill="1" applyBorder="1" applyAlignment="1" applyProtection="1">
      <alignment horizontal="left"/>
      <protection locked="0"/>
    </xf>
    <xf numFmtId="166" fontId="8" fillId="6" borderId="9" xfId="0" applyNumberFormat="1" applyFont="1" applyFill="1" applyBorder="1" applyAlignment="1" applyProtection="1">
      <alignment horizontal="left"/>
      <protection locked="0"/>
    </xf>
    <xf numFmtId="0" fontId="9" fillId="6" borderId="9" xfId="0" applyFont="1" applyFill="1" applyBorder="1" applyAlignment="1" applyProtection="1">
      <alignment horizontal="left"/>
      <protection locked="0"/>
    </xf>
    <xf numFmtId="0" fontId="8" fillId="6" borderId="9" xfId="0" applyFont="1" applyFill="1" applyBorder="1" applyAlignment="1" applyProtection="1">
      <alignment horizontal="left"/>
      <protection locked="0"/>
    </xf>
    <xf numFmtId="0" fontId="3" fillId="6" borderId="9" xfId="0" applyFont="1" applyFill="1" applyBorder="1" applyAlignment="1" applyProtection="1">
      <alignment horizontal="left"/>
      <protection locked="0"/>
    </xf>
    <xf numFmtId="0" fontId="7" fillId="6" borderId="10" xfId="2" applyFill="1" applyBorder="1" applyAlignment="1" applyProtection="1">
      <alignment horizontal="left"/>
      <protection locked="0"/>
    </xf>
    <xf numFmtId="0" fontId="8" fillId="6" borderId="10" xfId="0" applyFont="1" applyFill="1" applyBorder="1" applyAlignment="1" applyProtection="1">
      <alignment horizontal="left"/>
      <protection locked="0"/>
    </xf>
    <xf numFmtId="0" fontId="19" fillId="0" borderId="31" xfId="0" applyFont="1" applyBorder="1" applyAlignment="1">
      <alignment horizontal="left" vertical="top" wrapText="1"/>
    </xf>
  </cellXfs>
  <cellStyles count="4">
    <cellStyle name="Comma" xfId="1" builtinId="3"/>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19050</xdr:colOff>
      <xdr:row>11</xdr:row>
      <xdr:rowOff>19050</xdr:rowOff>
    </xdr:from>
    <xdr:to>
      <xdr:col>0</xdr:col>
      <xdr:colOff>9001125</xdr:colOff>
      <xdr:row>41</xdr:row>
      <xdr:rowOff>19050</xdr:rowOff>
    </xdr:to>
    <xdr:sp macro="" textlink="">
      <xdr:nvSpPr>
        <xdr:cNvPr id="2" name="TextBox 1"/>
        <xdr:cNvSpPr txBox="1"/>
      </xdr:nvSpPr>
      <xdr:spPr>
        <a:xfrm>
          <a:off x="19050" y="2162175"/>
          <a:ext cx="8982075"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effectLst/>
            </a:rPr>
            <a:t>RCW 19.285.070</a:t>
          </a:r>
        </a:p>
        <a:p>
          <a:r>
            <a:rPr lang="en-US" b="1">
              <a:effectLst/>
            </a:rPr>
            <a:t>Reporting and public disclosure.</a:t>
          </a:r>
        </a:p>
        <a:p>
          <a:r>
            <a:rPr lang="en-US" baseline="0">
              <a:effectLst/>
            </a:rPr>
            <a:t>     </a:t>
          </a:r>
          <a:r>
            <a:rPr lang="en-US">
              <a:effectLst/>
            </a:rPr>
            <a:t>(1) On or before June 1, 2012, and annually thereafter, each qualifying utility shall report to the department on its progress in the preceding year in meeting the targets established in RCW </a:t>
          </a:r>
          <a:r>
            <a:rPr lang="en-US">
              <a:effectLst/>
              <a:hlinkClick xmlns:r="http://schemas.openxmlformats.org/officeDocument/2006/relationships" r:id=""/>
            </a:rPr>
            <a:t>19.285.040</a:t>
          </a:r>
          <a:r>
            <a:rPr lang="en-US">
              <a:effectLst/>
            </a:rPr>
            <a:t>, including expected electricity savings from the biennial conservation target, expenditures on conservation, actual electricity savings results, the utility's annual load for the prior two years, the amount of megawatt-hours needed to meet the annual renewable energy target, the amount of megawatt-hours of each type of eligible renewable resource acquired, the type and amount of renewable energy credits acquired, and the percent of its total annual retail revenue requirement invested in the incremental cost of eligible renewable resources and the cost of renewable energy credits. For each year that a qualifying utility elects to demonstrate alternative compliance under RCW </a:t>
          </a:r>
          <a:r>
            <a:rPr lang="en-US">
              <a:effectLst/>
              <a:hlinkClick xmlns:r="http://schemas.openxmlformats.org/officeDocument/2006/relationships" r:id=""/>
            </a:rPr>
            <a:t>19.285.040</a:t>
          </a:r>
          <a:r>
            <a:rPr lang="en-US">
              <a:effectLst/>
            </a:rPr>
            <a:t>(2) (d) or (i) or </a:t>
          </a:r>
          <a:r>
            <a:rPr lang="en-US">
              <a:effectLst/>
              <a:hlinkClick xmlns:r="http://schemas.openxmlformats.org/officeDocument/2006/relationships" r:id=""/>
            </a:rPr>
            <a:t>19.285.050</a:t>
          </a:r>
          <a:r>
            <a:rPr lang="en-US">
              <a:effectLst/>
            </a:rPr>
            <a:t>(1), it must include in its annual report relevant data to demonstrate that it met the criteria in that section. A qualifying utility may submit its report to the department in conjunction with its annual obligations in chapter </a:t>
          </a:r>
          <a:r>
            <a:rPr lang="en-US">
              <a:effectLst/>
              <a:hlinkClick xmlns:r="http://schemas.openxmlformats.org/officeDocument/2006/relationships" r:id=""/>
            </a:rPr>
            <a:t>19.29A</a:t>
          </a:r>
          <a:r>
            <a:rPr lang="en-US">
              <a:effectLst/>
            </a:rPr>
            <a:t> RCW.</a:t>
          </a:r>
        </a:p>
        <a:p>
          <a:r>
            <a:rPr lang="en-US">
              <a:effectLst/>
            </a:rPr>
            <a:t>     (2) A qualifying utility that is an investor-owned utility shall also report all information required in subsection (1) of this section to the commission, and all other qualifying utilities shall also make all information required in subsection (1) of this section available to the auditor.</a:t>
          </a:r>
        </a:p>
        <a:p>
          <a:r>
            <a:rPr lang="en-US">
              <a:effectLst/>
            </a:rPr>
            <a:t>     (3) A qualifying utility shall also make reports required in this section available to its customers.</a:t>
          </a:r>
        </a:p>
        <a:p>
          <a:endParaRPr lang="en-US" b="1">
            <a:effectLst/>
          </a:endParaRPr>
        </a:p>
        <a:p>
          <a:r>
            <a:rPr lang="en-US" b="1">
              <a:effectLst/>
            </a:rPr>
            <a:t>WAC 194-37-060</a:t>
          </a:r>
        </a:p>
        <a:p>
          <a:r>
            <a:rPr lang="en-US" b="1">
              <a:effectLst/>
            </a:rPr>
            <a:t>Conservation reporting requirements.</a:t>
          </a:r>
        </a:p>
        <a:p>
          <a:r>
            <a:rPr lang="en-US">
              <a:effectLst/>
            </a:rPr>
            <a:t>     Each utility shall submit an annual conservation report to the department by June 1st using a form provided by the department. The conservation report must show the utility's progress in the preceding year in meeting the conservation targets established in RCW </a:t>
          </a:r>
          <a:r>
            <a:rPr lang="en-US">
              <a:effectLst/>
              <a:hlinkClick xmlns:r="http://schemas.openxmlformats.org/officeDocument/2006/relationships" r:id=""/>
            </a:rPr>
            <a:t>19.285.040</a:t>
          </a:r>
          <a:r>
            <a:rPr lang="en-US">
              <a:effectLst/>
            </a:rPr>
            <a:t> and must include the following:</a:t>
          </a:r>
        </a:p>
        <a:p>
          <a:r>
            <a:rPr lang="en-US">
              <a:effectLst/>
            </a:rPr>
            <a:t>     (1) The total electricity savings and expenditures for conservation by the following sectors: Residential, commercial, industrial, agricultural, distribution system, and production system. A utility may report results achieved through nonutility programs, as identified in WAC </a:t>
          </a:r>
          <a:r>
            <a:rPr lang="en-US">
              <a:effectLst/>
              <a:hlinkClick xmlns:r="http://schemas.openxmlformats.org/officeDocument/2006/relationships" r:id=""/>
            </a:rPr>
            <a:t>194-37-080</a:t>
          </a:r>
          <a:r>
            <a:rPr lang="en-US">
              <a:effectLst/>
            </a:rPr>
            <a:t>(5), by program, if the results are not included in the reported results by customer sector. Reports submitted in odd-numbered years must include an estimate of savings and expenditures in the prior year. Reports submitted in even-numbered years must include the amount of savings and expenditures in the prior two years. All savings must be documented pursuant to WAC </a:t>
          </a:r>
          <a:r>
            <a:rPr lang="en-US">
              <a:effectLst/>
              <a:hlinkClick xmlns:r="http://schemas.openxmlformats.org/officeDocument/2006/relationships" r:id=""/>
            </a:rPr>
            <a:t>194-37-080</a:t>
          </a:r>
          <a:r>
            <a:rPr lang="en-US">
              <a:effectLst/>
            </a:rPr>
            <a:t>.</a:t>
          </a:r>
        </a:p>
        <a:p>
          <a:r>
            <a:rPr lang="en-US">
              <a:effectLst/>
            </a:rPr>
            <a:t>     (2) A brief description of the methodology used to establish the utility's ten-year potential and biennial target to capture cost-effective conservation.</a:t>
          </a:r>
        </a:p>
        <a:p>
          <a:r>
            <a:rPr lang="en-US">
              <a:effectLst/>
            </a:rPr>
            <a:t>     (3) In even-numbered years the report must include the utility's ten-year conservation potential and biennial targets established pursuant to WAC </a:t>
          </a:r>
          <a:r>
            <a:rPr lang="en-US">
              <a:effectLst/>
              <a:hlinkClick xmlns:r="http://schemas.openxmlformats.org/officeDocument/2006/relationships" r:id=""/>
            </a:rPr>
            <a:t>194-37-070</a:t>
          </a:r>
          <a:r>
            <a:rPr lang="en-US">
              <a:effectLst/>
            </a:rPr>
            <a:t>.</a:t>
          </a:r>
        </a:p>
        <a:p>
          <a:endParaRPr lang="en-US" sz="1100"/>
        </a:p>
        <a:p>
          <a:r>
            <a:rPr lang="en-US" b="1">
              <a:effectLst/>
            </a:rPr>
            <a:t>WAC 194-37-110</a:t>
          </a:r>
        </a:p>
        <a:p>
          <a:r>
            <a:rPr lang="en-US" b="1">
              <a:effectLst/>
            </a:rPr>
            <a:t>Renewable resource energy reporting.</a:t>
          </a:r>
        </a:p>
        <a:p>
          <a:r>
            <a:rPr lang="en-US" sz="1100"/>
            <a:t>&lt;Separate worksheet used for renewable reporting.&gt;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247650</xdr:colOff>
      <xdr:row>18</xdr:row>
      <xdr:rowOff>361950</xdr:rowOff>
    </xdr:from>
    <xdr:to>
      <xdr:col>8</xdr:col>
      <xdr:colOff>552450</xdr:colOff>
      <xdr:row>25</xdr:row>
      <xdr:rowOff>133350</xdr:rowOff>
    </xdr:to>
    <xdr:sp macro="" textlink="">
      <xdr:nvSpPr>
        <xdr:cNvPr id="4" name="TextBox 3"/>
        <xdr:cNvSpPr txBox="1"/>
      </xdr:nvSpPr>
      <xdr:spPr>
        <a:xfrm>
          <a:off x="7172325" y="3676650"/>
          <a:ext cx="1123950"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Note: Expenditure</a:t>
          </a:r>
          <a:r>
            <a:rPr lang="en-US" sz="1100" i="1" baseline="0"/>
            <a:t> amounts do not include any customer or other non-utility costs.</a:t>
          </a:r>
          <a:endParaRPr lang="en-US" sz="1100" i="1"/>
        </a:p>
      </xdr:txBody>
    </xdr:sp>
    <xdr:clientData/>
  </xdr:twoCellAnchor>
  <xdr:twoCellAnchor>
    <xdr:from>
      <xdr:col>0</xdr:col>
      <xdr:colOff>38100</xdr:colOff>
      <xdr:row>36</xdr:row>
      <xdr:rowOff>352426</xdr:rowOff>
    </xdr:from>
    <xdr:to>
      <xdr:col>8</xdr:col>
      <xdr:colOff>971550</xdr:colOff>
      <xdr:row>59</xdr:row>
      <xdr:rowOff>99060</xdr:rowOff>
    </xdr:to>
    <xdr:sp macro="" textlink="">
      <xdr:nvSpPr>
        <xdr:cNvPr id="2" name="TextBox 1"/>
        <xdr:cNvSpPr txBox="1"/>
      </xdr:nvSpPr>
      <xdr:spPr>
        <a:xfrm>
          <a:off x="38100" y="7934326"/>
          <a:ext cx="8926830" cy="7061834"/>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1) Consistent with RCW 19.285.070, relative to meeting targets established</a:t>
          </a:r>
          <a:r>
            <a:rPr lang="en-US" sz="1100" baseline="0">
              <a:solidFill>
                <a:schemeClr val="dk1"/>
              </a:solidFill>
              <a:effectLst/>
              <a:latin typeface="+mn-lt"/>
              <a:ea typeface="+mn-ea"/>
              <a:cs typeface="+mn-cs"/>
            </a:rPr>
            <a:t> in RCW 19.285.040, </a:t>
          </a:r>
          <a:r>
            <a:rPr lang="en-US" sz="1100">
              <a:solidFill>
                <a:schemeClr val="dk1"/>
              </a:solidFill>
              <a:effectLst/>
              <a:latin typeface="+mn-lt"/>
              <a:ea typeface="+mn-ea"/>
              <a:cs typeface="+mn-cs"/>
            </a:rPr>
            <a:t>PSE's 2016-2017 reported savings consist of:</a:t>
          </a:r>
        </a:p>
        <a:p>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rPr>
            <a:t>Category</a:t>
          </a:r>
          <a:r>
            <a:rPr lang="en-US" sz="1100" u="none">
              <a:solidFill>
                <a:schemeClr val="dk1"/>
              </a:solidFill>
              <a:effectLst/>
              <a:latin typeface="+mn-lt"/>
              <a:ea typeface="+mn-ea"/>
              <a:cs typeface="+mn-cs"/>
            </a:rPr>
            <a:t>		</a:t>
          </a:r>
          <a:r>
            <a:rPr lang="en-US" sz="1100" u="sng">
              <a:solidFill>
                <a:schemeClr val="dk1"/>
              </a:solidFill>
              <a:effectLst/>
              <a:latin typeface="+mn-lt"/>
              <a:ea typeface="+mn-ea"/>
              <a:cs typeface="+mn-cs"/>
            </a:rPr>
            <a:t>Target</a:t>
          </a:r>
          <a:r>
            <a:rPr lang="en-US" sz="1100" u="none">
              <a:solidFill>
                <a:schemeClr val="dk1"/>
              </a:solidFill>
              <a:effectLst/>
              <a:latin typeface="+mn-lt"/>
              <a:ea typeface="+mn-ea"/>
              <a:cs typeface="+mn-cs"/>
            </a:rPr>
            <a:t>	</a:t>
          </a:r>
          <a:r>
            <a:rPr lang="en-US" sz="1100" u="sng">
              <a:solidFill>
                <a:schemeClr val="dk1"/>
              </a:solidFill>
              <a:effectLst/>
              <a:latin typeface="+mn-lt"/>
              <a:ea typeface="+mn-ea"/>
              <a:cs typeface="+mn-cs"/>
            </a:rPr>
            <a:t>Achieved</a:t>
          </a:r>
        </a:p>
        <a:p>
          <a:r>
            <a:rPr lang="en-US" sz="1100">
              <a:solidFill>
                <a:schemeClr val="dk1"/>
              </a:solidFill>
              <a:effectLst/>
              <a:latin typeface="+mn-lt"/>
              <a:ea typeface="+mn-ea"/>
              <a:cs typeface="+mn-cs"/>
            </a:rPr>
            <a:t>EIA Target		559,854	585,146 </a:t>
          </a:r>
          <a:r>
            <a:rPr lang="en-US" sz="1100" baseline="0">
              <a:solidFill>
                <a:schemeClr val="dk1"/>
              </a:solidFill>
              <a:effectLst/>
              <a:latin typeface="+mn-lt"/>
              <a:ea typeface="+mn-ea"/>
              <a:cs typeface="+mn-cs"/>
            </a:rPr>
            <a:t> </a:t>
          </a:r>
        </a:p>
        <a:p>
          <a:r>
            <a:rPr lang="en-US" sz="1100" baseline="0">
              <a:solidFill>
                <a:schemeClr val="dk1"/>
              </a:solidFill>
              <a:effectLst/>
              <a:latin typeface="+mn-lt"/>
              <a:ea typeface="+mn-ea"/>
              <a:cs typeface="+mn-cs"/>
            </a:rPr>
            <a:t>(EIA Target = [2-year pro-rata share of 10-yr potential of 554,132 + programs not considered in CPA of 5,722 MWh])</a:t>
          </a:r>
        </a:p>
        <a:p>
          <a:endParaRPr lang="en-US" sz="1100" baseline="0">
            <a:solidFill>
              <a:schemeClr val="dk1"/>
            </a:solidFill>
            <a:effectLst/>
            <a:latin typeface="+mn-lt"/>
            <a:ea typeface="+mn-ea"/>
            <a:cs typeface="+mn-cs"/>
          </a:endParaRPr>
        </a:p>
        <a:p>
          <a:r>
            <a:rPr lang="en-US" sz="1100" u="sng" baseline="0">
              <a:solidFill>
                <a:schemeClr val="dk1"/>
              </a:solidFill>
              <a:effectLst/>
              <a:latin typeface="+mn-lt"/>
              <a:ea typeface="+mn-ea"/>
              <a:cs typeface="+mn-cs"/>
            </a:rPr>
            <a:t>Category</a:t>
          </a:r>
          <a:r>
            <a:rPr lang="en-US" sz="1100" baseline="0">
              <a:solidFill>
                <a:schemeClr val="dk1"/>
              </a:solidFill>
              <a:effectLst/>
              <a:latin typeface="+mn-lt"/>
              <a:ea typeface="+mn-ea"/>
              <a:cs typeface="+mn-cs"/>
            </a:rPr>
            <a:t>		</a:t>
          </a:r>
          <a:r>
            <a:rPr lang="en-US" sz="1100" u="sng" baseline="0">
              <a:solidFill>
                <a:schemeClr val="dk1"/>
              </a:solidFill>
              <a:effectLst/>
              <a:latin typeface="+mn-lt"/>
              <a:ea typeface="+mn-ea"/>
              <a:cs typeface="+mn-cs"/>
            </a:rPr>
            <a:t>Target</a:t>
          </a:r>
          <a:r>
            <a:rPr lang="en-US" sz="1100" baseline="0">
              <a:solidFill>
                <a:schemeClr val="dk1"/>
              </a:solidFill>
              <a:effectLst/>
              <a:latin typeface="+mn-lt"/>
              <a:ea typeface="+mn-ea"/>
              <a:cs typeface="+mn-cs"/>
            </a:rPr>
            <a:t>	</a:t>
          </a:r>
          <a:r>
            <a:rPr lang="en-US" sz="1100" u="sng" baseline="0">
              <a:solidFill>
                <a:schemeClr val="dk1"/>
              </a:solidFill>
              <a:effectLst/>
              <a:latin typeface="+mn-lt"/>
              <a:ea typeface="+mn-ea"/>
              <a:cs typeface="+mn-cs"/>
            </a:rPr>
            <a:t>Achieved</a:t>
          </a:r>
        </a:p>
        <a:p>
          <a:r>
            <a:rPr lang="en-US" sz="1100" baseline="0">
              <a:solidFill>
                <a:schemeClr val="dk1"/>
              </a:solidFill>
              <a:effectLst/>
              <a:latin typeface="+mn-lt"/>
              <a:ea typeface="+mn-ea"/>
              <a:cs typeface="+mn-cs"/>
            </a:rPr>
            <a:t>EIA Penalty Threshold	537,078	559,068</a:t>
          </a:r>
        </a:p>
        <a:p>
          <a:r>
            <a:rPr lang="en-US" sz="1100" baseline="0">
              <a:solidFill>
                <a:schemeClr val="dk1"/>
              </a:solidFill>
              <a:effectLst/>
              <a:latin typeface="+mn-lt"/>
              <a:ea typeface="+mn-ea"/>
              <a:cs typeface="+mn-cs"/>
            </a:rPr>
            <a:t>(As ordered by the UTC in Order 01, Docket UE-152058)</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Both targets are sub-sets of PSE's overall electric conservation achievement, as noted in 2) below.</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2) Indicated</a:t>
          </a:r>
          <a:r>
            <a:rPr lang="en-US" sz="1100" baseline="0">
              <a:solidFill>
                <a:schemeClr val="dk1"/>
              </a:solidFill>
              <a:effectLst/>
              <a:latin typeface="+mn-lt"/>
              <a:ea typeface="+mn-ea"/>
              <a:cs typeface="+mn-cs"/>
            </a:rPr>
            <a:t> "Target"s in the  "Summary of Achievement and Targets" table represent PSE's Total Portfolio Savings. The WUTC's EIA Penalty Target (537,078 MWh) and Decoupling Penalty Target (5% of the EIA  Target is 27,993 MWh.) are included in the Total Portfolio Savings.</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PSE's 2-year 2016-2017 EIA Target of 559,854 MWh is based on its pro-rata share of its 10-year potential, as discussed in PSE's 2015 IRP.  Exhibit i of PSE's 2016-2017 Biennial Conservation Plan also contains discussions  of its 2-year target determination. Exhibit i is also filed in the UTC Docket UE-152058. Exhibit i, with references to PSE's 2015 IRP, indicates that all cost-effective, reliable and feasible conservation measures were identified in its Conservation Potential Assessment. The </a:t>
          </a:r>
          <a:r>
            <a:rPr lang="en-US" sz="1100">
              <a:solidFill>
                <a:schemeClr val="dk1"/>
              </a:solidFill>
              <a:effectLst/>
              <a:latin typeface="+mn-lt"/>
              <a:ea typeface="+mn-ea"/>
              <a:cs typeface="+mn-cs"/>
            </a:rPr>
            <a:t>UTC</a:t>
          </a:r>
          <a:r>
            <a:rPr lang="en-US" sz="1100" baseline="0">
              <a:solidFill>
                <a:schemeClr val="dk1"/>
              </a:solidFill>
              <a:effectLst/>
              <a:latin typeface="+mn-lt"/>
              <a:ea typeface="+mn-ea"/>
              <a:cs typeface="+mn-cs"/>
            </a:rPr>
            <a:t>, consistent with its standard practice, indicated that it is appropriate for pilot programs with uncertain savings and Northwest Energy Efficiency Alliance (NEEA) to be excluded from PSE's EIA Penalty Target.</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4) </a:t>
          </a:r>
          <a:r>
            <a:rPr lang="en-US" sz="1100">
              <a:solidFill>
                <a:schemeClr val="dk1"/>
              </a:solidFill>
              <a:effectLst/>
              <a:latin typeface="+mn-lt"/>
              <a:ea typeface="+mn-ea"/>
              <a:cs typeface="+mn-cs"/>
            </a:rPr>
            <a:t>2016 and 2017 achievement</a:t>
          </a:r>
          <a:r>
            <a:rPr lang="en-US" sz="1100" baseline="0">
              <a:solidFill>
                <a:schemeClr val="dk1"/>
              </a:solidFill>
              <a:effectLst/>
              <a:latin typeface="+mn-lt"/>
              <a:ea typeface="+mn-ea"/>
              <a:cs typeface="+mn-cs"/>
            </a:rPr>
            <a:t> figures are detailed in PSE's 2016 and 2017 Annual Reports of Energy Conservation Accomplishments, including program-specific discussions of  adaptive management  and hard-to-reach segments initiatives. The Reports are filed with the Washington Utilities and Transportation Commission ("UTC" or "Commission") in Docket UE-152058.</a:t>
          </a:r>
          <a:endParaRPr lang="en-US">
            <a:effectLst/>
          </a:endParaRPr>
        </a:p>
        <a:p>
          <a:endParaRPr lang="en-US">
            <a:effectLst/>
          </a:endParaRPr>
        </a:p>
        <a:p>
          <a:r>
            <a:rPr lang="en-US" sz="1100" baseline="0">
              <a:solidFill>
                <a:schemeClr val="dk1"/>
              </a:solidFill>
              <a:effectLst/>
              <a:latin typeface="+mn-lt"/>
              <a:ea typeface="+mn-ea"/>
              <a:cs typeface="+mn-cs"/>
            </a:rPr>
            <a:t>5) It isn't possible to attribute decoupling savings to a particular program, measure,  or time period; PSE does not calculate savings for this target on an annual basis.</a:t>
          </a:r>
        </a:p>
        <a:p>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6) Funding for</a:t>
          </a:r>
          <a:r>
            <a:rPr lang="en-US" sz="1100" baseline="0">
              <a:solidFill>
                <a:schemeClr val="dk1"/>
              </a:solidFill>
              <a:effectLst/>
              <a:latin typeface="+mn-lt"/>
              <a:ea typeface="+mn-ea"/>
              <a:cs typeface="+mn-cs"/>
            </a:rPr>
            <a:t> distribution and generation efficiency measures is through PSE general rate cases, per condition (9)(c) in Attachment A of Order 01 in Docket UE-152058.</a:t>
          </a:r>
        </a:p>
        <a:p>
          <a:pPr eaLnBrk="1" fontAlgn="auto" latinLnBrk="0" hangingPunct="1"/>
          <a:endParaRPr lang="en-US">
            <a:effectLst/>
          </a:endParaRPr>
        </a:p>
        <a:p>
          <a:pPr eaLnBrk="1" fontAlgn="auto" latinLnBrk="0" hangingPunct="1"/>
          <a:r>
            <a:rPr lang="en-US" sz="1100" baseline="0">
              <a:solidFill>
                <a:schemeClr val="dk1"/>
              </a:solidFill>
              <a:effectLst/>
              <a:latin typeface="+mn-lt"/>
              <a:ea typeface="+mn-ea"/>
              <a:cs typeface="+mn-cs"/>
            </a:rPr>
            <a:t>7) PSE's Commerce Excess amount for 2016-2017 is 27,960 MWh, as noted in cell G13 above. Its Commission Excess amount is 21,990 MWh for the same time period. This amount, added to the Commission-approved 2014-2015 Excess amount of 38,906 MWh, results in a total excess available for potential 2018-2019 shortfall of 60,896 MWh. The 2014-2015 excess amount will no longer be available for potential use for 2020-2021 reporting.</a:t>
          </a:r>
        </a:p>
        <a:p>
          <a:pPr eaLnBrk="1" fontAlgn="auto" latinLnBrk="0" hangingPunct="1"/>
          <a:endParaRPr lang="en-US" sz="1100" baseline="0">
            <a:solidFill>
              <a:schemeClr val="dk1"/>
            </a:solidFill>
            <a:effectLst/>
            <a:latin typeface="+mn-lt"/>
            <a:ea typeface="+mn-ea"/>
            <a:cs typeface="+mn-cs"/>
          </a:endParaRPr>
        </a:p>
        <a:p>
          <a:pPr eaLnBrk="1" fontAlgn="auto" latinLnBrk="0" hangingPunct="1"/>
          <a:r>
            <a:rPr lang="en-US" sz="1100" baseline="0">
              <a:solidFill>
                <a:schemeClr val="dk1"/>
              </a:solidFill>
              <a:effectLst/>
              <a:latin typeface="+mn-lt"/>
              <a:ea typeface="+mn-ea"/>
              <a:cs typeface="+mn-cs"/>
            </a:rPr>
            <a:t>8)PSE's 2018-2019 Total Utility Conservation Goal is 520,456 MWh. Its UTC Penalty Threshold is 448,109 MWh, with a Decoupling Penalty Threshold of 23,658 MWh. </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8) The below table provides PSE's savings terminology used in the 2016-2017 Biennial Conservation Report (extracted from the Glossary chapter of the Report. PSE is transitioning to updated/consistent terminology applicable to 2018-2019 savings in collaboration with WA statewide advisory groups:</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N9"/>
  <sheetViews>
    <sheetView workbookViewId="0">
      <selection activeCell="C19" sqref="C19"/>
    </sheetView>
  </sheetViews>
  <sheetFormatPr defaultRowHeight="14.4" x14ac:dyDescent="0.3"/>
  <cols>
    <col min="1" max="1" width="135.109375" customWidth="1"/>
    <col min="14" max="14" width="11.6640625" customWidth="1"/>
  </cols>
  <sheetData>
    <row r="1" spans="1:14" ht="17.399999999999999" x14ac:dyDescent="0.3">
      <c r="A1" s="7" t="s">
        <v>122</v>
      </c>
    </row>
    <row r="2" spans="1:14" x14ac:dyDescent="0.3">
      <c r="A2" s="59" t="s">
        <v>126</v>
      </c>
    </row>
    <row r="3" spans="1:14" x14ac:dyDescent="0.3">
      <c r="A3" s="7"/>
      <c r="N3" s="5"/>
    </row>
    <row r="4" spans="1:14" x14ac:dyDescent="0.3">
      <c r="A4" s="6" t="s">
        <v>121</v>
      </c>
    </row>
    <row r="5" spans="1:14" x14ac:dyDescent="0.3">
      <c r="A5" s="6" t="s">
        <v>30</v>
      </c>
      <c r="N5" t="e">
        <f>IF(REN_Load_2016+REN_Load_2015&gt;0,AVERAGE(REN_Load_2016,REN_Load_2015),0)</f>
        <v>#NAME?</v>
      </c>
    </row>
    <row r="6" spans="1:14" x14ac:dyDescent="0.3">
      <c r="A6" s="6" t="s">
        <v>44</v>
      </c>
    </row>
    <row r="8" spans="1:14" x14ac:dyDescent="0.3">
      <c r="A8" s="8" t="s">
        <v>42</v>
      </c>
    </row>
    <row r="9" spans="1:14" x14ac:dyDescent="0.3">
      <c r="A9" s="9" t="s">
        <v>43</v>
      </c>
    </row>
  </sheetData>
  <pageMargins left="0.7" right="0.7" top="0.75" bottom="0.75" header="0.3" footer="0.3"/>
  <pageSetup scale="4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K74"/>
  <sheetViews>
    <sheetView tabSelected="1" zoomScaleNormal="100" workbookViewId="0">
      <selection sqref="A1:I1"/>
    </sheetView>
  </sheetViews>
  <sheetFormatPr defaultColWidth="9.109375" defaultRowHeight="13.2" x14ac:dyDescent="0.25"/>
  <cols>
    <col min="1" max="1" width="16.6640625" style="15" customWidth="1"/>
    <col min="2" max="2" width="20.21875" style="15" customWidth="1"/>
    <col min="3" max="3" width="17.109375" style="15" customWidth="1"/>
    <col min="4" max="4" width="16" style="15" customWidth="1"/>
    <col min="5" max="5" width="4.44140625" style="15" customWidth="1"/>
    <col min="6" max="6" width="14.44140625" style="15" customWidth="1"/>
    <col min="7" max="7" width="15.33203125" style="15" customWidth="1"/>
    <col min="8" max="8" width="12.33203125" style="15" customWidth="1"/>
    <col min="9" max="9" width="16.109375" style="15" customWidth="1"/>
    <col min="10" max="10" width="9.109375" style="15"/>
    <col min="11" max="11" width="11.6640625" style="15" customWidth="1"/>
    <col min="12" max="16384" width="9.109375" style="15"/>
  </cols>
  <sheetData>
    <row r="1" spans="1:11" ht="13.8" x14ac:dyDescent="0.25">
      <c r="A1" s="92" t="s">
        <v>42</v>
      </c>
      <c r="B1" s="92"/>
      <c r="C1" s="92"/>
      <c r="D1" s="92"/>
      <c r="E1" s="92"/>
      <c r="F1" s="92"/>
      <c r="G1" s="92"/>
      <c r="H1" s="92"/>
      <c r="I1" s="92"/>
    </row>
    <row r="2" spans="1:11" ht="13.8" x14ac:dyDescent="0.25">
      <c r="A2" s="93" t="s">
        <v>43</v>
      </c>
      <c r="B2" s="93"/>
      <c r="C2" s="93"/>
      <c r="D2" s="93"/>
      <c r="E2" s="93"/>
      <c r="F2" s="93"/>
      <c r="G2" s="93"/>
      <c r="H2" s="93"/>
      <c r="I2" s="93"/>
    </row>
    <row r="3" spans="1:11" s="17" customFormat="1" ht="18.600000000000001" x14ac:dyDescent="0.45">
      <c r="A3" s="16" t="s">
        <v>45</v>
      </c>
    </row>
    <row r="4" spans="1:11" ht="15" customHeight="1" x14ac:dyDescent="0.25">
      <c r="A4" s="18"/>
    </row>
    <row r="5" spans="1:11" ht="14.25" customHeight="1" thickBot="1" x14ac:dyDescent="0.3">
      <c r="A5" s="19" t="s">
        <v>3</v>
      </c>
      <c r="B5" s="100" t="s">
        <v>48</v>
      </c>
      <c r="C5" s="100"/>
      <c r="D5" s="100"/>
      <c r="F5" s="103" t="s">
        <v>113</v>
      </c>
      <c r="G5" s="103"/>
      <c r="H5" s="103"/>
      <c r="I5" s="103"/>
      <c r="K5" s="20"/>
    </row>
    <row r="6" spans="1:11" ht="15" customHeight="1" x14ac:dyDescent="0.25">
      <c r="A6" s="21" t="s">
        <v>24</v>
      </c>
      <c r="B6" s="104">
        <v>43252</v>
      </c>
      <c r="C6" s="105"/>
      <c r="D6" s="105"/>
      <c r="E6" s="22"/>
      <c r="F6" s="1"/>
      <c r="G6" s="50" t="s">
        <v>114</v>
      </c>
      <c r="H6" s="51"/>
      <c r="I6" s="50" t="s">
        <v>115</v>
      </c>
    </row>
    <row r="7" spans="1:11" ht="15" customHeight="1" x14ac:dyDescent="0.25">
      <c r="A7" s="23" t="s">
        <v>23</v>
      </c>
      <c r="B7" s="106" t="s">
        <v>133</v>
      </c>
      <c r="C7" s="107"/>
      <c r="D7" s="107"/>
      <c r="E7" s="17"/>
      <c r="F7" s="1"/>
      <c r="G7" s="52" t="s">
        <v>116</v>
      </c>
      <c r="H7" s="1"/>
      <c r="I7" s="52" t="s">
        <v>116</v>
      </c>
    </row>
    <row r="8" spans="1:11" ht="15" customHeight="1" thickBot="1" x14ac:dyDescent="0.3">
      <c r="A8" s="23" t="s">
        <v>0</v>
      </c>
      <c r="B8" s="108" t="s">
        <v>131</v>
      </c>
      <c r="C8" s="107"/>
      <c r="D8" s="107"/>
      <c r="E8" s="17"/>
      <c r="F8" s="53" t="s">
        <v>117</v>
      </c>
      <c r="G8" s="54">
        <f>CON_Target_2016_2017</f>
        <v>605194</v>
      </c>
      <c r="H8" s="53" t="s">
        <v>118</v>
      </c>
      <c r="I8" s="55">
        <f>CON_Target_2018_2019</f>
        <v>520456</v>
      </c>
    </row>
    <row r="9" spans="1:11" ht="15" customHeight="1" x14ac:dyDescent="0.25">
      <c r="A9" s="23" t="s">
        <v>1</v>
      </c>
      <c r="B9" s="109" t="s">
        <v>132</v>
      </c>
      <c r="C9" s="110"/>
      <c r="D9" s="110"/>
      <c r="E9" s="17"/>
      <c r="F9" s="53" t="s">
        <v>2</v>
      </c>
      <c r="G9" s="56">
        <f>CON_2016_MWH+CON_2017_MWH</f>
        <v>633154</v>
      </c>
      <c r="H9" s="1"/>
      <c r="I9" s="1"/>
    </row>
    <row r="10" spans="1:11" ht="15" customHeight="1" x14ac:dyDescent="0.25">
      <c r="A10" s="23"/>
      <c r="B10" s="23"/>
      <c r="C10" s="23"/>
      <c r="D10" s="23"/>
      <c r="E10" s="17"/>
      <c r="F10" s="2" t="s">
        <v>119</v>
      </c>
      <c r="G10" s="58">
        <v>0</v>
      </c>
      <c r="H10" s="1"/>
      <c r="I10" s="1"/>
    </row>
    <row r="11" spans="1:11" ht="15" customHeight="1" x14ac:dyDescent="0.25">
      <c r="A11" s="23"/>
      <c r="B11" s="24"/>
      <c r="C11" s="17"/>
      <c r="D11" s="17"/>
      <c r="E11" s="17"/>
      <c r="F11" s="2" t="s">
        <v>120</v>
      </c>
      <c r="G11" s="58">
        <v>0</v>
      </c>
      <c r="H11" s="1"/>
      <c r="I11" s="1"/>
    </row>
    <row r="12" spans="1:11" s="17" customFormat="1" ht="13.8" thickBot="1" x14ac:dyDescent="0.3">
      <c r="A12" s="88" t="s">
        <v>21</v>
      </c>
      <c r="B12" s="88"/>
      <c r="C12" s="88"/>
      <c r="D12" s="88"/>
      <c r="E12" s="25"/>
      <c r="F12" s="21" t="s">
        <v>125</v>
      </c>
      <c r="G12" s="58">
        <v>0</v>
      </c>
      <c r="H12" s="1"/>
      <c r="I12" s="1"/>
    </row>
    <row r="13" spans="1:11" s="17" customFormat="1" ht="13.8" thickBot="1" x14ac:dyDescent="0.3">
      <c r="A13" s="101" t="s">
        <v>31</v>
      </c>
      <c r="B13" s="101"/>
      <c r="C13" s="102" t="s">
        <v>110</v>
      </c>
      <c r="D13" s="101"/>
      <c r="E13" s="25"/>
      <c r="F13" s="53" t="s">
        <v>127</v>
      </c>
      <c r="G13" s="57">
        <f>G9+G10+G11+G12-G8</f>
        <v>27960</v>
      </c>
      <c r="H13" s="1"/>
      <c r="I13" s="1"/>
    </row>
    <row r="14" spans="1:11" s="17" customFormat="1" ht="39.75" customHeight="1" x14ac:dyDescent="0.25">
      <c r="A14" s="45" t="s">
        <v>32</v>
      </c>
      <c r="B14" s="46" t="s">
        <v>33</v>
      </c>
      <c r="C14" s="46" t="s">
        <v>111</v>
      </c>
      <c r="D14" s="46" t="s">
        <v>112</v>
      </c>
      <c r="E14" s="25"/>
      <c r="H14" s="15"/>
      <c r="I14" s="15"/>
    </row>
    <row r="15" spans="1:11" s="17" customFormat="1" x14ac:dyDescent="0.25">
      <c r="A15" s="47">
        <f>VLOOKUP(CON_Utility_Name,'Prior Report Data'!$A$5:$B$21,2,FALSE)</f>
        <v>2770663</v>
      </c>
      <c r="B15" s="48">
        <f>VLOOKUP(CON_Utility_Name,'Prior Report Data'!$A$5:$C$21,3,FALSE)</f>
        <v>605194</v>
      </c>
      <c r="C15" s="49">
        <v>1799149</v>
      </c>
      <c r="D15" s="49">
        <v>520456</v>
      </c>
      <c r="E15" s="25"/>
      <c r="F15" s="15"/>
      <c r="G15" s="15"/>
      <c r="H15" s="15"/>
      <c r="I15" s="15"/>
    </row>
    <row r="16" spans="1:11" s="17" customFormat="1" ht="13.8" thickBot="1" x14ac:dyDescent="0.3">
      <c r="E16" s="25"/>
      <c r="F16" s="15"/>
      <c r="G16" s="15"/>
      <c r="H16" s="15"/>
      <c r="I16" s="15"/>
    </row>
    <row r="17" spans="1:7" ht="13.8" thickTop="1" x14ac:dyDescent="0.25">
      <c r="A17" s="95" t="s">
        <v>2</v>
      </c>
      <c r="B17" s="95"/>
      <c r="C17" s="95"/>
      <c r="D17" s="95"/>
      <c r="E17" s="95"/>
      <c r="F17" s="95"/>
      <c r="G17" s="95"/>
    </row>
    <row r="18" spans="1:7" ht="15" customHeight="1" x14ac:dyDescent="0.25">
      <c r="A18" s="26"/>
      <c r="C18" s="98" t="s">
        <v>46</v>
      </c>
      <c r="D18" s="98"/>
      <c r="F18" s="99" t="s">
        <v>47</v>
      </c>
      <c r="G18" s="99"/>
    </row>
    <row r="19" spans="1:7" ht="30.75" customHeight="1" x14ac:dyDescent="0.25">
      <c r="B19" s="27" t="s">
        <v>20</v>
      </c>
      <c r="C19" s="28" t="s">
        <v>6</v>
      </c>
      <c r="D19" s="28" t="s">
        <v>7</v>
      </c>
      <c r="F19" s="43" t="s">
        <v>6</v>
      </c>
      <c r="G19" s="43" t="s">
        <v>7</v>
      </c>
    </row>
    <row r="20" spans="1:7" ht="15" customHeight="1" x14ac:dyDescent="0.25">
      <c r="B20" s="4" t="s">
        <v>8</v>
      </c>
      <c r="C20" s="11">
        <v>141896</v>
      </c>
      <c r="D20" s="12">
        <v>46327483</v>
      </c>
      <c r="F20" s="44">
        <v>126720</v>
      </c>
      <c r="G20" s="12">
        <v>42659242</v>
      </c>
    </row>
    <row r="21" spans="1:7" ht="15" customHeight="1" x14ac:dyDescent="0.25">
      <c r="B21" s="4" t="s">
        <v>9</v>
      </c>
      <c r="C21" s="11">
        <f>143198*0.9</f>
        <v>128878.2</v>
      </c>
      <c r="D21" s="12">
        <f>39008592*0.9</f>
        <v>35107732.800000004</v>
      </c>
      <c r="F21" s="44">
        <f>171881*0.9</f>
        <v>154692.9</v>
      </c>
      <c r="G21" s="12">
        <f>40428152*0.9</f>
        <v>36385336.800000004</v>
      </c>
    </row>
    <row r="22" spans="1:7" ht="15" customHeight="1" x14ac:dyDescent="0.25">
      <c r="B22" s="4" t="s">
        <v>10</v>
      </c>
      <c r="C22" s="11">
        <f>143198*0.1</f>
        <v>14319.800000000001</v>
      </c>
      <c r="D22" s="12">
        <f>39008592*0.1</f>
        <v>3900859.2</v>
      </c>
      <c r="F22" s="44">
        <f>171881*0.1</f>
        <v>17188.100000000002</v>
      </c>
      <c r="G22" s="12">
        <f>40428152*0.1</f>
        <v>4042815.2</v>
      </c>
    </row>
    <row r="23" spans="1:7" ht="15" customHeight="1" x14ac:dyDescent="0.25">
      <c r="B23" s="4" t="s">
        <v>11</v>
      </c>
      <c r="C23" s="11">
        <v>0</v>
      </c>
      <c r="D23" s="12">
        <v>0</v>
      </c>
      <c r="F23" s="44">
        <v>0</v>
      </c>
      <c r="G23" s="12">
        <v>0</v>
      </c>
    </row>
    <row r="24" spans="1:7" ht="15" customHeight="1" x14ac:dyDescent="0.25">
      <c r="B24" s="4" t="s">
        <v>17</v>
      </c>
      <c r="C24" s="11">
        <v>3323</v>
      </c>
      <c r="D24" s="12">
        <v>0</v>
      </c>
      <c r="F24" s="44">
        <v>42</v>
      </c>
      <c r="G24" s="12">
        <v>0</v>
      </c>
    </row>
    <row r="25" spans="1:7" ht="15" customHeight="1" x14ac:dyDescent="0.25">
      <c r="B25" s="29" t="s">
        <v>18</v>
      </c>
      <c r="C25" s="11">
        <v>0</v>
      </c>
      <c r="D25" s="12">
        <v>0</v>
      </c>
      <c r="F25" s="44">
        <v>0</v>
      </c>
      <c r="G25" s="12">
        <v>0</v>
      </c>
    </row>
    <row r="26" spans="1:7" ht="15" customHeight="1" x14ac:dyDescent="0.25">
      <c r="B26" s="29" t="s">
        <v>4</v>
      </c>
      <c r="C26" s="13">
        <v>8760</v>
      </c>
      <c r="D26" s="12">
        <v>4028530</v>
      </c>
      <c r="F26" s="13">
        <v>17318</v>
      </c>
      <c r="G26" s="12">
        <v>4032680</v>
      </c>
    </row>
    <row r="27" spans="1:7" ht="15" customHeight="1" x14ac:dyDescent="0.25">
      <c r="B27" s="14" t="s">
        <v>128</v>
      </c>
      <c r="C27" s="13">
        <v>17348</v>
      </c>
      <c r="D27" s="12">
        <v>933949</v>
      </c>
      <c r="F27" s="13">
        <v>2668</v>
      </c>
      <c r="G27" s="12">
        <v>2169330</v>
      </c>
    </row>
    <row r="28" spans="1:7" ht="15" customHeight="1" x14ac:dyDescent="0.25">
      <c r="B28" s="14"/>
      <c r="C28" s="13"/>
      <c r="D28" s="12"/>
      <c r="F28" s="13"/>
      <c r="G28" s="12"/>
    </row>
    <row r="29" spans="1:7" ht="30.75" customHeight="1" x14ac:dyDescent="0.25">
      <c r="A29" s="96" t="s">
        <v>22</v>
      </c>
      <c r="B29" s="97"/>
      <c r="D29" s="30"/>
      <c r="G29" s="30"/>
    </row>
    <row r="30" spans="1:7" ht="15" customHeight="1" x14ac:dyDescent="0.25">
      <c r="B30" s="60" t="s">
        <v>129</v>
      </c>
      <c r="C30" s="31"/>
      <c r="D30" s="12">
        <v>6315736</v>
      </c>
      <c r="F30" s="31"/>
      <c r="G30" s="12">
        <v>5815924</v>
      </c>
    </row>
    <row r="31" spans="1:7" ht="26.4" customHeight="1" x14ac:dyDescent="0.25">
      <c r="B31" s="60" t="s">
        <v>130</v>
      </c>
      <c r="C31" s="32"/>
      <c r="D31" s="12">
        <v>2500313</v>
      </c>
      <c r="F31" s="32"/>
      <c r="G31" s="12">
        <v>1792015</v>
      </c>
    </row>
    <row r="32" spans="1:7" ht="15" customHeight="1" x14ac:dyDescent="0.25">
      <c r="B32" s="33" t="s">
        <v>5</v>
      </c>
      <c r="C32" s="34">
        <f>SUM(C20:C28)</f>
        <v>314525</v>
      </c>
      <c r="D32" s="35">
        <f>SUM(D20:D31)</f>
        <v>99114603.000000015</v>
      </c>
      <c r="F32" s="34">
        <f>SUM(F20:F28)</f>
        <v>318629</v>
      </c>
      <c r="G32" s="35">
        <f>SUM(G20:G31)</f>
        <v>96897343.000000015</v>
      </c>
    </row>
    <row r="33" spans="1:9" ht="15" customHeight="1" x14ac:dyDescent="0.25">
      <c r="A33" s="36"/>
      <c r="B33" s="37"/>
      <c r="C33" s="38"/>
      <c r="D33" s="37"/>
      <c r="E33" s="38"/>
    </row>
    <row r="34" spans="1:9" s="17" customFormat="1" ht="15" customHeight="1" x14ac:dyDescent="0.25">
      <c r="A34" s="19" t="s">
        <v>3</v>
      </c>
      <c r="B34" s="94" t="str">
        <f>CON_Utility_Name</f>
        <v>Puget Sound Energy</v>
      </c>
      <c r="C34" s="94"/>
      <c r="D34" s="94"/>
      <c r="E34" s="94"/>
      <c r="F34" s="15"/>
      <c r="G34" s="15"/>
    </row>
    <row r="35" spans="1:9" s="17" customFormat="1" x14ac:dyDescent="0.25">
      <c r="A35" s="39" t="s">
        <v>12</v>
      </c>
      <c r="B35" s="90">
        <v>2017</v>
      </c>
      <c r="C35" s="90"/>
      <c r="D35" s="90"/>
      <c r="E35" s="90"/>
    </row>
    <row r="36" spans="1:9" s="17" customFormat="1" x14ac:dyDescent="0.25">
      <c r="A36" s="39"/>
      <c r="B36" s="40"/>
      <c r="C36" s="40"/>
      <c r="D36" s="40"/>
      <c r="E36" s="40"/>
    </row>
    <row r="37" spans="1:9" ht="28.5" customHeight="1" x14ac:dyDescent="0.25">
      <c r="A37" s="89" t="s">
        <v>41</v>
      </c>
      <c r="B37" s="89"/>
      <c r="C37" s="89"/>
      <c r="D37" s="89"/>
      <c r="E37" s="89"/>
      <c r="F37" s="89"/>
      <c r="G37" s="89"/>
      <c r="H37" s="89"/>
      <c r="I37" s="89"/>
    </row>
    <row r="38" spans="1:9" s="10" customFormat="1" ht="270.75" customHeight="1" x14ac:dyDescent="0.25">
      <c r="A38" s="91"/>
      <c r="B38" s="91"/>
      <c r="C38" s="91"/>
      <c r="D38" s="91"/>
      <c r="E38" s="91"/>
      <c r="F38" s="91"/>
      <c r="G38" s="91"/>
      <c r="H38" s="91"/>
      <c r="I38" s="91"/>
    </row>
    <row r="39" spans="1:9" s="10" customFormat="1" x14ac:dyDescent="0.25"/>
    <row r="40" spans="1:9" s="10" customFormat="1" x14ac:dyDescent="0.25"/>
    <row r="41" spans="1:9" s="10" customFormat="1" x14ac:dyDescent="0.25"/>
    <row r="42" spans="1:9" s="10" customFormat="1" x14ac:dyDescent="0.25"/>
    <row r="43" spans="1:9" s="10" customFormat="1" x14ac:dyDescent="0.25"/>
    <row r="44" spans="1:9" s="10" customFormat="1" x14ac:dyDescent="0.25"/>
    <row r="45" spans="1:9" s="10" customFormat="1" x14ac:dyDescent="0.25"/>
    <row r="46" spans="1:9" s="10" customFormat="1" x14ac:dyDescent="0.25"/>
    <row r="47" spans="1:9" s="10" customFormat="1" x14ac:dyDescent="0.25"/>
    <row r="48" spans="1:9" s="10" customFormat="1" x14ac:dyDescent="0.25"/>
    <row r="49" spans="2:8" s="10" customFormat="1" x14ac:dyDescent="0.25"/>
    <row r="50" spans="2:8" s="10" customFormat="1" x14ac:dyDescent="0.25"/>
    <row r="51" spans="2:8" s="10" customFormat="1" x14ac:dyDescent="0.25"/>
    <row r="52" spans="2:8" s="10" customFormat="1" x14ac:dyDescent="0.25"/>
    <row r="53" spans="2:8" s="10" customFormat="1" x14ac:dyDescent="0.25"/>
    <row r="54" spans="2:8" s="10" customFormat="1" x14ac:dyDescent="0.25"/>
    <row r="55" spans="2:8" s="10" customFormat="1" x14ac:dyDescent="0.25"/>
    <row r="56" spans="2:8" s="10" customFormat="1" x14ac:dyDescent="0.25"/>
    <row r="57" spans="2:8" s="10" customFormat="1" x14ac:dyDescent="0.25"/>
    <row r="58" spans="2:8" s="10" customFormat="1" x14ac:dyDescent="0.25"/>
    <row r="59" spans="2:8" s="10" customFormat="1" x14ac:dyDescent="0.25"/>
    <row r="60" spans="2:8" s="10" customFormat="1" x14ac:dyDescent="0.25"/>
    <row r="61" spans="2:8" s="61" customFormat="1" x14ac:dyDescent="0.3">
      <c r="B61" s="83" t="s">
        <v>134</v>
      </c>
      <c r="C61" s="68" t="s">
        <v>135</v>
      </c>
      <c r="D61" s="69"/>
      <c r="E61" s="69"/>
      <c r="F61" s="69"/>
      <c r="G61" s="69"/>
      <c r="H61" s="70"/>
    </row>
    <row r="62" spans="2:8" s="61" customFormat="1" ht="18.600000000000001" customHeight="1" x14ac:dyDescent="0.3">
      <c r="B62" s="85"/>
      <c r="C62" s="71" t="s">
        <v>136</v>
      </c>
      <c r="D62" s="72"/>
      <c r="E62" s="72"/>
      <c r="F62" s="72"/>
      <c r="G62" s="72"/>
      <c r="H62" s="73"/>
    </row>
    <row r="63" spans="2:8" s="61" customFormat="1" ht="37.799999999999997" customHeight="1" x14ac:dyDescent="0.3">
      <c r="B63" s="111" t="s">
        <v>153</v>
      </c>
      <c r="C63" s="74" t="s">
        <v>154</v>
      </c>
      <c r="D63" s="75"/>
      <c r="E63" s="75"/>
      <c r="F63" s="75"/>
      <c r="G63" s="75"/>
      <c r="H63" s="76"/>
    </row>
    <row r="64" spans="2:8" s="61" customFormat="1" ht="16.8" customHeight="1" x14ac:dyDescent="0.3">
      <c r="B64" s="83" t="s">
        <v>137</v>
      </c>
      <c r="C64" s="68" t="s">
        <v>138</v>
      </c>
      <c r="D64" s="69"/>
      <c r="E64" s="69"/>
      <c r="F64" s="69"/>
      <c r="G64" s="69"/>
      <c r="H64" s="70"/>
    </row>
    <row r="65" spans="2:8" s="61" customFormat="1" ht="36.6" customHeight="1" x14ac:dyDescent="0.3">
      <c r="B65" s="84"/>
      <c r="C65" s="65" t="s">
        <v>139</v>
      </c>
      <c r="D65" s="66"/>
      <c r="E65" s="66"/>
      <c r="F65" s="66"/>
      <c r="G65" s="66"/>
      <c r="H65" s="67"/>
    </row>
    <row r="66" spans="2:8" s="61" customFormat="1" x14ac:dyDescent="0.3">
      <c r="B66" s="83" t="s">
        <v>140</v>
      </c>
      <c r="C66" s="68" t="s">
        <v>141</v>
      </c>
      <c r="D66" s="69"/>
      <c r="E66" s="69"/>
      <c r="F66" s="69"/>
      <c r="G66" s="69"/>
      <c r="H66" s="70"/>
    </row>
    <row r="67" spans="2:8" s="61" customFormat="1" ht="33.6" customHeight="1" x14ac:dyDescent="0.3">
      <c r="B67" s="85"/>
      <c r="C67" s="71" t="s">
        <v>142</v>
      </c>
      <c r="D67" s="72"/>
      <c r="E67" s="72"/>
      <c r="F67" s="72"/>
      <c r="G67" s="72"/>
      <c r="H67" s="73"/>
    </row>
    <row r="68" spans="2:8" s="61" customFormat="1" ht="48.6" customHeight="1" x14ac:dyDescent="0.3">
      <c r="B68" s="84"/>
      <c r="C68" s="65" t="s">
        <v>143</v>
      </c>
      <c r="D68" s="66"/>
      <c r="E68" s="66"/>
      <c r="F68" s="66"/>
      <c r="G68" s="66"/>
      <c r="H68" s="67"/>
    </row>
    <row r="69" spans="2:8" s="61" customFormat="1" ht="34.799999999999997" customHeight="1" x14ac:dyDescent="0.3">
      <c r="B69" s="62" t="s">
        <v>144</v>
      </c>
      <c r="C69" s="74" t="s">
        <v>145</v>
      </c>
      <c r="D69" s="75"/>
      <c r="E69" s="75"/>
      <c r="F69" s="75"/>
      <c r="G69" s="75"/>
      <c r="H69" s="76"/>
    </row>
    <row r="70" spans="2:8" s="63" customFormat="1" x14ac:dyDescent="0.3">
      <c r="B70" s="83" t="s">
        <v>146</v>
      </c>
      <c r="C70" s="68" t="s">
        <v>147</v>
      </c>
      <c r="D70" s="69"/>
      <c r="E70" s="69"/>
      <c r="F70" s="69"/>
      <c r="G70" s="69"/>
      <c r="H70" s="70"/>
    </row>
    <row r="71" spans="2:8" s="63" customFormat="1" ht="24.6" customHeight="1" x14ac:dyDescent="0.3">
      <c r="B71" s="84"/>
      <c r="C71" s="65" t="s">
        <v>148</v>
      </c>
      <c r="D71" s="66"/>
      <c r="E71" s="66"/>
      <c r="F71" s="66"/>
      <c r="G71" s="66"/>
      <c r="H71" s="67"/>
    </row>
    <row r="72" spans="2:8" s="63" customFormat="1" x14ac:dyDescent="0.3">
      <c r="B72" s="86" t="s">
        <v>149</v>
      </c>
      <c r="C72" s="77" t="s">
        <v>150</v>
      </c>
      <c r="D72" s="78"/>
      <c r="E72" s="78"/>
      <c r="F72" s="78"/>
      <c r="G72" s="78"/>
      <c r="H72" s="79"/>
    </row>
    <row r="73" spans="2:8" s="63" customFormat="1" x14ac:dyDescent="0.3">
      <c r="B73" s="87"/>
      <c r="C73" s="80"/>
      <c r="D73" s="81"/>
      <c r="E73" s="81"/>
      <c r="F73" s="81"/>
      <c r="G73" s="81"/>
      <c r="H73" s="82"/>
    </row>
    <row r="74" spans="2:8" s="63" customFormat="1" ht="22.8" customHeight="1" x14ac:dyDescent="0.3">
      <c r="B74" s="64" t="s">
        <v>151</v>
      </c>
      <c r="C74" s="65" t="s">
        <v>152</v>
      </c>
      <c r="D74" s="66"/>
      <c r="E74" s="66"/>
      <c r="F74" s="66"/>
      <c r="G74" s="66"/>
      <c r="H74" s="67"/>
    </row>
  </sheetData>
  <mergeCells count="39">
    <mergeCell ref="A1:I1"/>
    <mergeCell ref="A2:I2"/>
    <mergeCell ref="B34:E34"/>
    <mergeCell ref="F17:G17"/>
    <mergeCell ref="A17:E17"/>
    <mergeCell ref="A29:B29"/>
    <mergeCell ref="C18:D18"/>
    <mergeCell ref="F18:G18"/>
    <mergeCell ref="B5:D5"/>
    <mergeCell ref="A13:B13"/>
    <mergeCell ref="C13:D13"/>
    <mergeCell ref="F5:I5"/>
    <mergeCell ref="B6:D6"/>
    <mergeCell ref="B7:D7"/>
    <mergeCell ref="B8:D8"/>
    <mergeCell ref="B9:D9"/>
    <mergeCell ref="B64:B65"/>
    <mergeCell ref="B66:B68"/>
    <mergeCell ref="B70:B71"/>
    <mergeCell ref="B72:B73"/>
    <mergeCell ref="A12:D12"/>
    <mergeCell ref="A37:I37"/>
    <mergeCell ref="B35:E35"/>
    <mergeCell ref="A38:I38"/>
    <mergeCell ref="B61:B62"/>
    <mergeCell ref="C63:H63"/>
    <mergeCell ref="C74:H74"/>
    <mergeCell ref="C61:H61"/>
    <mergeCell ref="C62:H62"/>
    <mergeCell ref="C64:H64"/>
    <mergeCell ref="C65:H65"/>
    <mergeCell ref="C66:H66"/>
    <mergeCell ref="C67:H67"/>
    <mergeCell ref="C68:H68"/>
    <mergeCell ref="C69:H69"/>
    <mergeCell ref="C70:H70"/>
    <mergeCell ref="C71:H71"/>
    <mergeCell ref="C72:H72"/>
    <mergeCell ref="C73:H73"/>
  </mergeCells>
  <dataValidations xWindow="998" yWindow="497" count="6">
    <dataValidation type="list" allowBlank="1" showInputMessage="1" showErrorMessage="1" sqref="B5:D5">
      <formula1>UtilityList</formula1>
    </dataValidation>
    <dataValidation type="decimal" operator="greaterThanOrEqual" allowBlank="1" showInputMessage="1" showErrorMessage="1" promptTitle="Excess from 2014-2015" prompt="Not to exceed (a) 20 percent of the target for 2016-2017 or (b) the actual excess achieved and reported for 2014-2015. An additional 5 percent of the target may be met using excess savings from a single large facility._x000a__x000a_Reference: RCW 19.285.040(1)(c)(i)." sqref="G11">
      <formula1>0</formula1>
    </dataValidation>
    <dataValidation type="decimal" operator="greaterThanOrEqual" allowBlank="1" showInputMessage="1" showErrorMessage="1" promptTitle="Excess from 2012-2013" prompt="Only Cowlitz PUD is eligible to count excess conservation from 2012-2013 toward its conservation target. _x000a__x000a_Reference: RCW 19.285.040(1)(c)(iii)." sqref="G10">
      <formula1>0</formula1>
    </dataValidation>
    <dataValidation allowBlank="1" showInputMessage="1" showErrorMessage="1" promptTitle="2016 Potential and Target" prompt="These values are transferred from the 2017 report. Any revisions should be noted and explained in the Notes section below." sqref="A15:B15"/>
    <dataValidation type="decimal" operator="lessThanOrEqual" allowBlank="1" showInputMessage="1" showErrorMessage="1" promptTitle="Deductions" prompt="Negative value to remove conservation achievement that will be used to meet requirements outside the Energy Independence Act. Example: Investor-owned utility merger commitment to exceed EIA conservation targets. Explain in the notes section." sqref="G12">
      <formula1>0</formula1>
    </dataValidation>
    <dataValidation allowBlank="1" showInputMessage="1" showErrorMessage="1" prompt="Achievement in 2017 will be included in the 2018 report." sqref="F20:G32"/>
  </dataValidations>
  <pageMargins left="0.7" right="0.7" top="0.5" bottom="0.5" header="0.3" footer="0.3"/>
  <pageSetup scale="90" fitToHeight="0" orientation="landscape" r:id="rId1"/>
  <rowBreaks count="2" manualBreakCount="2">
    <brk id="32" max="16383" man="1"/>
    <brk id="4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E21"/>
  <sheetViews>
    <sheetView workbookViewId="0">
      <selection activeCell="G10" sqref="G10"/>
    </sheetView>
  </sheetViews>
  <sheetFormatPr defaultRowHeight="14.4" x14ac:dyDescent="0.3"/>
  <cols>
    <col min="1" max="1" width="40.88671875" bestFit="1" customWidth="1"/>
    <col min="2" max="2" width="13" customWidth="1"/>
    <col min="3" max="3" width="12.6640625" customWidth="1"/>
  </cols>
  <sheetData>
    <row r="3" spans="1:5" ht="28.8" x14ac:dyDescent="0.3">
      <c r="B3" s="42" t="s">
        <v>34</v>
      </c>
      <c r="C3" s="42" t="s">
        <v>35</v>
      </c>
      <c r="D3" s="42"/>
      <c r="E3" s="42"/>
    </row>
    <row r="4" spans="1:5" x14ac:dyDescent="0.3">
      <c r="A4" t="s">
        <v>109</v>
      </c>
      <c r="B4" s="42"/>
      <c r="C4" s="42"/>
    </row>
    <row r="5" spans="1:5" x14ac:dyDescent="0.3">
      <c r="A5" t="s">
        <v>95</v>
      </c>
      <c r="B5">
        <v>383063</v>
      </c>
      <c r="C5">
        <v>82477</v>
      </c>
    </row>
    <row r="6" spans="1:5" x14ac:dyDescent="0.3">
      <c r="A6" t="s">
        <v>98</v>
      </c>
      <c r="B6">
        <v>342866</v>
      </c>
      <c r="C6">
        <v>67802</v>
      </c>
    </row>
    <row r="7" spans="1:5" x14ac:dyDescent="0.3">
      <c r="A7" t="s">
        <v>99</v>
      </c>
      <c r="B7">
        <v>208225.19999999998</v>
      </c>
      <c r="C7">
        <v>41259.599999999999</v>
      </c>
    </row>
    <row r="8" spans="1:5" x14ac:dyDescent="0.3">
      <c r="A8" t="s">
        <v>102</v>
      </c>
      <c r="B8">
        <v>40471.200000000004</v>
      </c>
      <c r="C8">
        <v>6657.6</v>
      </c>
    </row>
    <row r="9" spans="1:5" x14ac:dyDescent="0.3">
      <c r="A9" t="s">
        <v>103</v>
      </c>
      <c r="B9">
        <v>29872</v>
      </c>
      <c r="C9">
        <v>5519</v>
      </c>
    </row>
    <row r="10" spans="1:5" x14ac:dyDescent="0.3">
      <c r="A10" t="s">
        <v>104</v>
      </c>
      <c r="B10">
        <v>18294</v>
      </c>
      <c r="C10">
        <v>3428</v>
      </c>
    </row>
    <row r="11" spans="1:5" x14ac:dyDescent="0.3">
      <c r="A11" t="s">
        <v>105</v>
      </c>
      <c r="B11">
        <v>457530</v>
      </c>
      <c r="C11">
        <v>93059</v>
      </c>
    </row>
    <row r="12" spans="1:5" x14ac:dyDescent="0.3">
      <c r="A12" t="s">
        <v>106</v>
      </c>
      <c r="B12">
        <v>23835.083999999999</v>
      </c>
      <c r="C12">
        <v>4767</v>
      </c>
    </row>
    <row r="13" spans="1:5" x14ac:dyDescent="0.3">
      <c r="A13" t="s">
        <v>96</v>
      </c>
      <c r="B13">
        <v>96360</v>
      </c>
      <c r="C13">
        <v>17257</v>
      </c>
    </row>
    <row r="14" spans="1:5" x14ac:dyDescent="0.3">
      <c r="A14" t="s">
        <v>50</v>
      </c>
      <c r="B14">
        <v>79628.399999999994</v>
      </c>
      <c r="C14">
        <v>14541.599999999999</v>
      </c>
    </row>
    <row r="15" spans="1:5" x14ac:dyDescent="0.3">
      <c r="A15" t="s">
        <v>100</v>
      </c>
      <c r="B15">
        <v>175550</v>
      </c>
      <c r="C15">
        <v>26718</v>
      </c>
    </row>
    <row r="16" spans="1:5" x14ac:dyDescent="0.3">
      <c r="A16" t="s">
        <v>97</v>
      </c>
      <c r="B16">
        <v>35478</v>
      </c>
      <c r="C16">
        <v>7008</v>
      </c>
    </row>
    <row r="17" spans="1:3" x14ac:dyDescent="0.3">
      <c r="A17" t="s">
        <v>101</v>
      </c>
      <c r="B17">
        <v>36529.199999999997</v>
      </c>
      <c r="C17">
        <v>6482.4</v>
      </c>
    </row>
    <row r="18" spans="1:3" x14ac:dyDescent="0.3">
      <c r="A18" t="s">
        <v>48</v>
      </c>
      <c r="B18">
        <v>2770663</v>
      </c>
      <c r="C18">
        <v>605194</v>
      </c>
    </row>
    <row r="19" spans="1:3" x14ac:dyDescent="0.3">
      <c r="A19" t="s">
        <v>49</v>
      </c>
      <c r="B19">
        <v>1122156</v>
      </c>
      <c r="C19">
        <v>224431</v>
      </c>
    </row>
    <row r="20" spans="1:3" x14ac:dyDescent="0.3">
      <c r="A20" t="s">
        <v>107</v>
      </c>
      <c r="B20">
        <v>623449</v>
      </c>
      <c r="C20">
        <v>122990</v>
      </c>
    </row>
    <row r="21" spans="1:3" x14ac:dyDescent="0.3">
      <c r="A21" t="s">
        <v>108</v>
      </c>
      <c r="B21">
        <v>409968</v>
      </c>
      <c r="C21">
        <v>81993</v>
      </c>
    </row>
  </sheetData>
  <sortState ref="A4:C20">
    <sortCondition ref="A4:A2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15"/>
  <sheetViews>
    <sheetView workbookViewId="0">
      <selection activeCell="A2" sqref="A2"/>
    </sheetView>
  </sheetViews>
  <sheetFormatPr defaultRowHeight="14.4" x14ac:dyDescent="0.3"/>
  <cols>
    <col min="1" max="1" width="36.109375" bestFit="1" customWidth="1"/>
    <col min="3" max="3" width="10.5546875" customWidth="1"/>
    <col min="12" max="12" width="10.5546875" customWidth="1"/>
  </cols>
  <sheetData>
    <row r="1" spans="1:84" ht="156.6" x14ac:dyDescent="0.3">
      <c r="A1" s="41" t="s">
        <v>29</v>
      </c>
      <c r="B1" s="41" t="s">
        <v>51</v>
      </c>
      <c r="C1" s="41" t="s">
        <v>52</v>
      </c>
      <c r="D1" s="41" t="s">
        <v>53</v>
      </c>
      <c r="E1" s="41" t="s">
        <v>54</v>
      </c>
      <c r="F1" s="41" t="s">
        <v>55</v>
      </c>
      <c r="G1" s="41" t="s">
        <v>56</v>
      </c>
      <c r="H1" s="41" t="s">
        <v>57</v>
      </c>
      <c r="I1" s="41" t="s">
        <v>58</v>
      </c>
      <c r="J1" s="41" t="s">
        <v>59</v>
      </c>
      <c r="K1" s="41" t="s">
        <v>60</v>
      </c>
      <c r="L1" s="41" t="s">
        <v>61</v>
      </c>
      <c r="M1" s="41" t="s">
        <v>62</v>
      </c>
      <c r="N1" s="41" t="s">
        <v>63</v>
      </c>
      <c r="O1" s="41" t="s">
        <v>64</v>
      </c>
      <c r="P1" s="41" t="s">
        <v>65</v>
      </c>
      <c r="Q1" s="41" t="s">
        <v>66</v>
      </c>
      <c r="R1" s="41" t="s">
        <v>67</v>
      </c>
      <c r="S1" s="41" t="s">
        <v>68</v>
      </c>
      <c r="T1" s="41" t="s">
        <v>69</v>
      </c>
      <c r="U1" s="41" t="s">
        <v>70</v>
      </c>
      <c r="V1" s="41" t="s">
        <v>71</v>
      </c>
      <c r="W1" s="41" t="s">
        <v>72</v>
      </c>
      <c r="X1" s="41" t="s">
        <v>94</v>
      </c>
      <c r="Y1" s="41" t="s">
        <v>73</v>
      </c>
      <c r="Z1" s="41" t="s">
        <v>74</v>
      </c>
      <c r="AA1" s="41" t="s">
        <v>75</v>
      </c>
      <c r="AB1" s="41" t="s">
        <v>76</v>
      </c>
      <c r="AC1" s="41" t="s">
        <v>77</v>
      </c>
      <c r="AD1" s="41" t="s">
        <v>78</v>
      </c>
      <c r="AE1" s="41" t="s">
        <v>79</v>
      </c>
      <c r="AF1" s="41" t="s">
        <v>80</v>
      </c>
      <c r="AG1" s="41" t="s">
        <v>81</v>
      </c>
      <c r="AH1" s="41" t="s">
        <v>82</v>
      </c>
      <c r="AI1" s="41" t="s">
        <v>83</v>
      </c>
      <c r="AJ1" s="41" t="s">
        <v>84</v>
      </c>
      <c r="AK1" s="41" t="s">
        <v>85</v>
      </c>
      <c r="AL1" s="41" t="s">
        <v>86</v>
      </c>
      <c r="AM1" s="41" t="s">
        <v>87</v>
      </c>
      <c r="AN1" s="41" t="s">
        <v>88</v>
      </c>
      <c r="AO1" s="41" t="s">
        <v>89</v>
      </c>
      <c r="AP1" s="41" t="s">
        <v>90</v>
      </c>
      <c r="AQ1" s="41" t="s">
        <v>91</v>
      </c>
      <c r="AR1" s="41" t="s">
        <v>92</v>
      </c>
      <c r="AS1" s="41" t="s">
        <v>93</v>
      </c>
      <c r="AT1" s="41" t="s">
        <v>25</v>
      </c>
      <c r="AU1" s="41" t="s">
        <v>26</v>
      </c>
      <c r="AV1" s="41" t="s">
        <v>27</v>
      </c>
      <c r="AW1" s="41" t="s">
        <v>34</v>
      </c>
      <c r="AX1" s="41" t="s">
        <v>123</v>
      </c>
      <c r="AY1" s="41" t="s">
        <v>28</v>
      </c>
      <c r="AZ1" s="41" t="s">
        <v>35</v>
      </c>
      <c r="BA1" s="41" t="s">
        <v>124</v>
      </c>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row>
    <row r="2" spans="1:84" x14ac:dyDescent="0.3">
      <c r="A2" t="str">
        <f>CON_Utility_Name</f>
        <v>Puget Sound Energy</v>
      </c>
      <c r="B2">
        <f>+CON_2016_Agriculture_Expend</f>
        <v>0</v>
      </c>
      <c r="C2">
        <f>+CON_2016_Agriculture_MWH</f>
        <v>0</v>
      </c>
      <c r="D2">
        <f>+CON_2016_Commercial_Expend</f>
        <v>35107732.800000004</v>
      </c>
      <c r="E2">
        <f>+CON_2016_Commercial_MWH</f>
        <v>128878.2</v>
      </c>
      <c r="F2">
        <f>+CON_2016_Distribution_Expend</f>
        <v>0</v>
      </c>
      <c r="G2">
        <f>+CON_2016_Distribution_MWH</f>
        <v>3323</v>
      </c>
      <c r="H2">
        <f>+CON_2016_Expenditures</f>
        <v>99114603.000000015</v>
      </c>
      <c r="I2">
        <f>+CON_2016_Industrial_Expend</f>
        <v>3900859.2</v>
      </c>
      <c r="J2">
        <f>+CON_2016_Industrial_MWH</f>
        <v>14319.800000000001</v>
      </c>
      <c r="K2">
        <f>+CON_2016_MWH</f>
        <v>314525</v>
      </c>
      <c r="L2">
        <f>+CON_2016_NEEA_Expend</f>
        <v>4028530</v>
      </c>
      <c r="M2">
        <f>+CON_2016_NEEA_MWH</f>
        <v>8760</v>
      </c>
      <c r="N2">
        <f>+CON_2016_OtherSector1_Expend</f>
        <v>933949</v>
      </c>
      <c r="O2">
        <f>+CON_2016_OtherSector1_MWH</f>
        <v>17348</v>
      </c>
      <c r="P2">
        <f>+CON_2016_OtherSector2_Expend</f>
        <v>0</v>
      </c>
      <c r="Q2">
        <f>+CON_2016_OtherSector2_MWH</f>
        <v>0</v>
      </c>
      <c r="R2">
        <f>+CON_2016_Production_Expend</f>
        <v>0</v>
      </c>
      <c r="S2">
        <f>+CON_2016_Production_MWH</f>
        <v>0</v>
      </c>
      <c r="T2">
        <f>+CON_2016_Program1_Expend</f>
        <v>6315736</v>
      </c>
      <c r="U2">
        <f>+CON_2016_Program2_Expend</f>
        <v>2500313</v>
      </c>
      <c r="V2">
        <f>+CON_2016_Residential_Expend</f>
        <v>46327483</v>
      </c>
      <c r="W2">
        <f>+CON_2016_Residential_MWH</f>
        <v>141896</v>
      </c>
      <c r="X2">
        <f>+CON_2017_Agriculture_Expend</f>
        <v>0</v>
      </c>
      <c r="Y2">
        <f>+CON_2017_Agriculture_MWH</f>
        <v>0</v>
      </c>
      <c r="Z2">
        <f>+CON_2017_Commercial_Expend</f>
        <v>36385336.800000004</v>
      </c>
      <c r="AA2">
        <f>+CON_2017_Commercial_MWH</f>
        <v>154692.9</v>
      </c>
      <c r="AB2">
        <f>+CON_2017_Distribution_Expend</f>
        <v>0</v>
      </c>
      <c r="AC2">
        <f>+CON_2017_Distribution_MWH</f>
        <v>42</v>
      </c>
      <c r="AD2">
        <f>+CON_2017_Expenditures</f>
        <v>96897343.000000015</v>
      </c>
      <c r="AE2">
        <f>+CON_2017_Industrial_Expend</f>
        <v>4042815.2</v>
      </c>
      <c r="AF2">
        <f>+CON_2017_Industrial_MWH</f>
        <v>17188.100000000002</v>
      </c>
      <c r="AG2">
        <f>+CON_2017_MWH</f>
        <v>318629</v>
      </c>
      <c r="AH2">
        <f>+CON_2017_NEEA_Expend</f>
        <v>4032680</v>
      </c>
      <c r="AI2">
        <f>+CON_2017_NEEA_MWH</f>
        <v>17318</v>
      </c>
      <c r="AJ2">
        <f>+CON_2017_OtherSector1_Expend</f>
        <v>2169330</v>
      </c>
      <c r="AK2">
        <f>+CON_2017_OtherSector1_MWH</f>
        <v>2668</v>
      </c>
      <c r="AL2">
        <f>+CON_2017_OtherSector2_Expend</f>
        <v>0</v>
      </c>
      <c r="AM2">
        <f>+CON_2017_OtherSector2_MWH</f>
        <v>0</v>
      </c>
      <c r="AN2">
        <f>+CON_2017_Production_Expend</f>
        <v>0</v>
      </c>
      <c r="AO2">
        <f>+CON_2017_Production_MWH</f>
        <v>0</v>
      </c>
      <c r="AP2">
        <f>+CON_2017_Program1_Expend</f>
        <v>5815924</v>
      </c>
      <c r="AQ2">
        <f>+CON_2017_Program2_Expend</f>
        <v>1792015</v>
      </c>
      <c r="AR2">
        <f>+CON_2017_Residential_Expend</f>
        <v>42659242</v>
      </c>
      <c r="AS2">
        <f>+CON_2017_Residential_MWH</f>
        <v>126720</v>
      </c>
      <c r="AT2" t="str">
        <f>+CON_Contact_Name</f>
        <v>Dan Anderson, Energy Efficiency</v>
      </c>
      <c r="AU2" t="str">
        <f>+CON_Email</f>
        <v>Daniel.Anderson@pse.com</v>
      </c>
      <c r="AV2" t="str">
        <f>+CON_Phone</f>
        <v>425 424-6837</v>
      </c>
      <c r="AW2">
        <f>+CON_Potential_2016_2025</f>
        <v>2770663</v>
      </c>
      <c r="AX2">
        <f>CON_Potential_2018_2027</f>
        <v>1799149</v>
      </c>
      <c r="AY2">
        <f>+CON_Report_Date</f>
        <v>43252</v>
      </c>
      <c r="AZ2">
        <f>+CON_Target_2016_2017</f>
        <v>605194</v>
      </c>
      <c r="BA2">
        <f>+CON_Target_2018_2019</f>
        <v>520456</v>
      </c>
    </row>
    <row r="6" spans="1:84" x14ac:dyDescent="0.3">
      <c r="A6" s="3" t="s">
        <v>13</v>
      </c>
    </row>
    <row r="7" spans="1:84" x14ac:dyDescent="0.3">
      <c r="A7" s="3" t="s">
        <v>14</v>
      </c>
    </row>
    <row r="8" spans="1:84" x14ac:dyDescent="0.3">
      <c r="A8" s="3" t="s">
        <v>37</v>
      </c>
    </row>
    <row r="9" spans="1:84" x14ac:dyDescent="0.3">
      <c r="A9" s="3" t="s">
        <v>39</v>
      </c>
    </row>
    <row r="10" spans="1:84" x14ac:dyDescent="0.3">
      <c r="A10" s="3" t="s">
        <v>40</v>
      </c>
    </row>
    <row r="11" spans="1:84" x14ac:dyDescent="0.3">
      <c r="A11" s="3" t="s">
        <v>38</v>
      </c>
    </row>
    <row r="12" spans="1:84" x14ac:dyDescent="0.3">
      <c r="A12" s="3" t="s">
        <v>15</v>
      </c>
    </row>
    <row r="13" spans="1:84" x14ac:dyDescent="0.3">
      <c r="A13" s="3" t="s">
        <v>19</v>
      </c>
    </row>
    <row r="14" spans="1:84" x14ac:dyDescent="0.3">
      <c r="A14" s="3" t="s">
        <v>16</v>
      </c>
    </row>
    <row r="15" spans="1:84" x14ac:dyDescent="0.3">
      <c r="A15" s="3" t="s">
        <v>36</v>
      </c>
    </row>
  </sheetData>
  <dataValidations count="1">
    <dataValidation type="list" allowBlank="1" showInputMessage="1" showErrorMessage="1" sqref="D8">
      <formula1>$A$6:$A$15</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2015-10-29T07:00:00+00:00</OpenedDate>
    <SignificantOrder xmlns="dc463f71-b30c-4ab2-9473-d307f9d35888">false</SignificantOrder>
    <Date1 xmlns="dc463f71-b30c-4ab2-9473-d307f9d35888">2018-07-16T07:00:00+00:00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2016-2017 Electric Biennial Conservation Plan per WAC 480-109-120(1).</Nickname>
    <DocketNumber xmlns="dc463f71-b30c-4ab2-9473-d307f9d35888">152058</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6A4A60542A124AB98CDF8163BEAA44" ma:contentTypeVersion="119" ma:contentTypeDescription="" ma:contentTypeScope="" ma:versionID="180ea560e64b53d3f14dc26120ae1cd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DDAE6C-A5C9-4F3F-B425-28727088AC9F}"/>
</file>

<file path=customXml/itemProps2.xml><?xml version="1.0" encoding="utf-8"?>
<ds:datastoreItem xmlns:ds="http://schemas.openxmlformats.org/officeDocument/2006/customXml" ds:itemID="{B5134EF7-F04D-4218-953F-7A835D8EE7C1}">
  <ds:schemaRefs>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http://schemas.microsoft.com/sharepoint/v3"/>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2F4EF345-C7A3-4312-A2DA-7A75ECC155C4}">
  <ds:schemaRefs>
    <ds:schemaRef ds:uri="http://schemas.microsoft.com/sharepoint/v3/contenttype/forms"/>
  </ds:schemaRefs>
</ds:datastoreItem>
</file>

<file path=customXml/itemProps4.xml><?xml version="1.0" encoding="utf-8"?>
<ds:datastoreItem xmlns:ds="http://schemas.openxmlformats.org/officeDocument/2006/customXml" ds:itemID="{3F1C984E-178B-43E2-91AD-A944177B49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61</vt:i4>
      </vt:variant>
    </vt:vector>
  </HeadingPairs>
  <TitlesOfParts>
    <vt:vector size="65" baseType="lpstr">
      <vt:lpstr>Background</vt:lpstr>
      <vt:lpstr>Conservation Report</vt:lpstr>
      <vt:lpstr>Prior Report Data</vt:lpstr>
      <vt:lpstr>Data</vt:lpstr>
      <vt:lpstr>CON_2016_Agriculture_Expend</vt:lpstr>
      <vt:lpstr>CON_2016_Agriculture_MWH</vt:lpstr>
      <vt:lpstr>CON_2016_Commercial_Expend</vt:lpstr>
      <vt:lpstr>CON_2016_Commercial_MWH</vt:lpstr>
      <vt:lpstr>CON_2016_Distribution_Expend</vt:lpstr>
      <vt:lpstr>CON_2016_Distribution_MWH</vt:lpstr>
      <vt:lpstr>CON_2016_Expenditures</vt:lpstr>
      <vt:lpstr>CON_2016_Industrial_Expend</vt:lpstr>
      <vt:lpstr>CON_2016_Industrial_MWH</vt:lpstr>
      <vt:lpstr>CON_2016_MWH</vt:lpstr>
      <vt:lpstr>CON_2016_NEEA_Expend</vt:lpstr>
      <vt:lpstr>CON_2016_NEEA_MWH</vt:lpstr>
      <vt:lpstr>CON_2016_OtherSector1_Expend</vt:lpstr>
      <vt:lpstr>CON_2016_OtherSector1_MWH</vt:lpstr>
      <vt:lpstr>CON_2016_OtherSector2_Expend</vt:lpstr>
      <vt:lpstr>CON_2016_OtherSector2_MWH</vt:lpstr>
      <vt:lpstr>CON_2016_Production_Expend</vt:lpstr>
      <vt:lpstr>CON_2016_Production_MWH</vt:lpstr>
      <vt:lpstr>CON_2016_Program1_Expend</vt:lpstr>
      <vt:lpstr>CON_2016_Program2_Expend</vt:lpstr>
      <vt:lpstr>CON_2016_Residential_Expend</vt:lpstr>
      <vt:lpstr>CON_2016_Residential_MWH</vt:lpstr>
      <vt:lpstr>CON_2017_Agriculture_Expend</vt:lpstr>
      <vt:lpstr>CON_2017_Agriculture_MWH</vt:lpstr>
      <vt:lpstr>CON_2017_Commercial_Expend</vt:lpstr>
      <vt:lpstr>CON_2017_Commercial_MWH</vt:lpstr>
      <vt:lpstr>CON_2017_Distribution_Expend</vt:lpstr>
      <vt:lpstr>CON_2017_Distribution_MWH</vt:lpstr>
      <vt:lpstr>CON_2017_Expenditures</vt:lpstr>
      <vt:lpstr>CON_2017_Industrial_Expend</vt:lpstr>
      <vt:lpstr>CON_2017_Industrial_MWH</vt:lpstr>
      <vt:lpstr>CON_2017_MWH</vt:lpstr>
      <vt:lpstr>CON_2017_NEEA_Expend</vt:lpstr>
      <vt:lpstr>CON_2017_NEEA_MWH</vt:lpstr>
      <vt:lpstr>CON_2017_OtherSector1_Expend</vt:lpstr>
      <vt:lpstr>CON_2017_OtherSector1_MWH</vt:lpstr>
      <vt:lpstr>CON_2017_OtherSector2_Expend</vt:lpstr>
      <vt:lpstr>CON_2017_OtherSector2_MWH</vt:lpstr>
      <vt:lpstr>CON_2017_Production_Expend</vt:lpstr>
      <vt:lpstr>CON_2017_Production_MWH</vt:lpstr>
      <vt:lpstr>CON_2017_Program1_Expend</vt:lpstr>
      <vt:lpstr>CON_2017_Program2_Expend</vt:lpstr>
      <vt:lpstr>CON_2017_Residential_Expend</vt:lpstr>
      <vt:lpstr>CON_2017_Residential_MWH</vt:lpstr>
      <vt:lpstr>CON_Contact_Name</vt:lpstr>
      <vt:lpstr>CON_Email</vt:lpstr>
      <vt:lpstr>CON_Excess_2012_13</vt:lpstr>
      <vt:lpstr>CON_Excess_2014_15</vt:lpstr>
      <vt:lpstr>CON_Phone</vt:lpstr>
      <vt:lpstr>CON_Potential_2016_2025</vt:lpstr>
      <vt:lpstr>CON_Potential_2018_2027</vt:lpstr>
      <vt:lpstr>CON_Report_Date</vt:lpstr>
      <vt:lpstr>CON_Target_2016_2017</vt:lpstr>
      <vt:lpstr>CON_Target_2018_2019</vt:lpstr>
      <vt:lpstr>CON_Utility_Name</vt:lpstr>
      <vt:lpstr>'Conservation Report'!OLE_LINK1</vt:lpstr>
      <vt:lpstr>'Conservation Report'!OLE_LINK2</vt:lpstr>
      <vt:lpstr>'Conservation Report'!OLE_LINK3</vt:lpstr>
      <vt:lpstr>'Conservation Report'!OLE_LINK4</vt:lpstr>
      <vt:lpstr>'Conservation Report'!Print_Area</vt:lpstr>
      <vt:lpstr>UtilityList</vt:lpstr>
    </vt:vector>
  </TitlesOfParts>
  <Company>CTED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 2016 Report Workbook for Utilities</dc:title>
  <dc:creator>Glenn Blackmon</dc:creator>
  <cp:lastModifiedBy>Andy Hemstreet</cp:lastModifiedBy>
  <cp:lastPrinted>2018-06-12T15:52:47Z</cp:lastPrinted>
  <dcterms:created xsi:type="dcterms:W3CDTF">2012-03-20T21:01:26Z</dcterms:created>
  <dcterms:modified xsi:type="dcterms:W3CDTF">2018-06-12T16:37:30Z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0x0101006E56B4D1795A2E4DB2F0B01679ED314A002E6A4A60542A124AB98CDF8163BEAA44</vt:lpwstr>
  </property>
  <property fmtid="{D5CDD505-2E9C-101B-9397-08002B2CF9AE}" pid="3" name="Tags">
    <vt:lpwstr/>
  </property>
  <property fmtid="{D5CDD505-2E9C-101B-9397-08002B2CF9AE}" pid="4" name="Order">
    <vt:r8>360100</vt:r8>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_docset_NoMedatataSyncRequired">
    <vt:lpwstr>False</vt:lpwstr>
  </property>
  <property fmtid="{D5CDD505-2E9C-101B-9397-08002B2CF9AE}" pid="9" name="IsEFSEC">
    <vt:bool>false</vt:bool>
  </property>
</Properties>
</file>