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ustomProperty8.bin" ContentType="application/vnd.openxmlformats-officedocument.spreadsheetml.customProperty"/>
  <Override PartName="/docProps/custom.xml" ContentType="application/vnd.openxmlformats-officedocument.custom-properties+xml"/>
  <Override PartName="/xl/customProperty7.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persons/person.xml" ContentType="application/vnd.ms-excel.person+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acadianconsulting.sharepoint.com/sites/ACGFS/Shared Documents/FS_Shared/Current/WA-PSE-RTC/Testimony-ACG/Direct/Drafts-Schedules and Exhibits/"/>
    </mc:Choice>
  </mc:AlternateContent>
  <xr:revisionPtr revIDLastSave="0" documentId="8_{3F8C1C9E-6518-48D8-820A-9DD14D7B31AB}" xr6:coauthVersionLast="47" xr6:coauthVersionMax="47" xr10:uidLastSave="{00000000-0000-0000-0000-000000000000}"/>
  <bookViews>
    <workbookView xWindow="-120" yWindow="-120" windowWidth="29040" windowHeight="15720" tabRatio="928" xr2:uid="{00000000-000D-0000-FFFF-FFFF00000000}"/>
  </bookViews>
  <sheets>
    <sheet name="Exhibit DED-5" sheetId="8" r:id="rId1"/>
    <sheet name="Data &gt;" sheetId="9" r:id="rId2"/>
    <sheet name="Exh CTM-6 (Tariff)" sheetId="1" r:id="rId3"/>
    <sheet name="Exh CTM-6 (Rate Spread)" sheetId="2" r:id="rId4"/>
    <sheet name="Exh CTM-6 (Rate Design)" sheetId="3" r:id="rId5"/>
    <sheet name="Exh CTM-6 (141CGR)" sheetId="4" r:id="rId6"/>
    <sheet name="Exh CTM-6 (141DCARB)" sheetId="5" r:id="rId7"/>
    <sheet name="Exh CTM-6 (141WFP)" sheetId="6" r:id="rId8"/>
    <sheet name="Exh CTM-6 (TVR Rate Design)" sheetId="7" r:id="rId9"/>
  </sheets>
  <definedNames>
    <definedName name="__________________six6" localSheetId="2" hidden="1">{#N/A,#N/A,FALSE,"CRPT";#N/A,#N/A,FALSE,"TREND";#N/A,#N/A,FALSE,"%Curve"}</definedName>
    <definedName name="__________________six6" hidden="1">{#N/A,#N/A,FALSE,"CRPT";#N/A,#N/A,FALSE,"TREND";#N/A,#N/A,FALSE,"%Curve"}</definedName>
    <definedName name="__________________www1" localSheetId="2" hidden="1">{#N/A,#N/A,FALSE,"schA"}</definedName>
    <definedName name="__________________www1" hidden="1">{#N/A,#N/A,FALSE,"schA"}</definedName>
    <definedName name="_________________six6" localSheetId="2" hidden="1">{#N/A,#N/A,FALSE,"CRPT";#N/A,#N/A,FALSE,"TREND";#N/A,#N/A,FALSE,"%Curve"}</definedName>
    <definedName name="_________________six6" hidden="1">{#N/A,#N/A,FALSE,"CRPT";#N/A,#N/A,FALSE,"TREND";#N/A,#N/A,FALSE,"%Curve"}</definedName>
    <definedName name="_________________www1" localSheetId="2" hidden="1">{#N/A,#N/A,FALSE,"schA"}</definedName>
    <definedName name="_________________www1" hidden="1">{#N/A,#N/A,FALSE,"schA"}</definedName>
    <definedName name="________________six6" localSheetId="2" hidden="1">{#N/A,#N/A,FALSE,"CRPT";#N/A,#N/A,FALSE,"TREND";#N/A,#N/A,FALSE,"%Curve"}</definedName>
    <definedName name="________________six6" hidden="1">{#N/A,#N/A,FALSE,"CRPT";#N/A,#N/A,FALSE,"TREND";#N/A,#N/A,FALSE,"%Curve"}</definedName>
    <definedName name="________________www1" localSheetId="2" hidden="1">{#N/A,#N/A,FALSE,"schA"}</definedName>
    <definedName name="________________www1" hidden="1">{#N/A,#N/A,FALSE,"schA"}</definedName>
    <definedName name="_______________six6" localSheetId="2" hidden="1">{#N/A,#N/A,FALSE,"CRPT";#N/A,#N/A,FALSE,"TREND";#N/A,#N/A,FALSE,"%Curve"}</definedName>
    <definedName name="_______________six6" hidden="1">{#N/A,#N/A,FALSE,"CRPT";#N/A,#N/A,FALSE,"TREND";#N/A,#N/A,FALSE,"%Curve"}</definedName>
    <definedName name="_______________www1" localSheetId="2" hidden="1">{#N/A,#N/A,FALSE,"schA"}</definedName>
    <definedName name="_______________www1" hidden="1">{#N/A,#N/A,FALSE,"schA"}</definedName>
    <definedName name="______________six6" localSheetId="2" hidden="1">{#N/A,#N/A,FALSE,"CRPT";#N/A,#N/A,FALSE,"TREND";#N/A,#N/A,FALSE,"%Curve"}</definedName>
    <definedName name="______________six6" hidden="1">{#N/A,#N/A,FALSE,"CRPT";#N/A,#N/A,FALSE,"TREND";#N/A,#N/A,FALSE,"%Curve"}</definedName>
    <definedName name="______________www1" localSheetId="2" hidden="1">{#N/A,#N/A,FALSE,"schA"}</definedName>
    <definedName name="______________www1" hidden="1">{#N/A,#N/A,FALSE,"schA"}</definedName>
    <definedName name="_____________six6" localSheetId="2" hidden="1">{#N/A,#N/A,FALSE,"CRPT";#N/A,#N/A,FALSE,"TREND";#N/A,#N/A,FALSE,"%Curve"}</definedName>
    <definedName name="_____________six6" hidden="1">{#N/A,#N/A,FALSE,"CRPT";#N/A,#N/A,FALSE,"TREND";#N/A,#N/A,FALSE,"%Curve"}</definedName>
    <definedName name="_____________www1" localSheetId="2" hidden="1">{#N/A,#N/A,FALSE,"schA"}</definedName>
    <definedName name="_____________www1" hidden="1">{#N/A,#N/A,FALSE,"schA"}</definedName>
    <definedName name="____________six6" localSheetId="2" hidden="1">{#N/A,#N/A,FALSE,"CRPT";#N/A,#N/A,FALSE,"TREND";#N/A,#N/A,FALSE,"%Curve"}</definedName>
    <definedName name="____________six6" hidden="1">{#N/A,#N/A,FALSE,"CRPT";#N/A,#N/A,FALSE,"TREND";#N/A,#N/A,FALSE,"%Curve"}</definedName>
    <definedName name="____________www1" localSheetId="2" hidden="1">{#N/A,#N/A,FALSE,"schA"}</definedName>
    <definedName name="____________www1" hidden="1">{#N/A,#N/A,FALSE,"schA"}</definedName>
    <definedName name="___________six6" localSheetId="2" hidden="1">{#N/A,#N/A,FALSE,"CRPT";#N/A,#N/A,FALSE,"TREND";#N/A,#N/A,FALSE,"%Curve"}</definedName>
    <definedName name="___________six6" hidden="1">{#N/A,#N/A,FALSE,"CRPT";#N/A,#N/A,FALSE,"TREND";#N/A,#N/A,FALSE,"%Curve"}</definedName>
    <definedName name="___________www1" localSheetId="2" hidden="1">{#N/A,#N/A,FALSE,"schA"}</definedName>
    <definedName name="___________www1" hidden="1">{#N/A,#N/A,FALSE,"schA"}</definedName>
    <definedName name="__________six6" localSheetId="2" hidden="1">{#N/A,#N/A,FALSE,"CRPT";#N/A,#N/A,FALSE,"TREND";#N/A,#N/A,FALSE,"%Curve"}</definedName>
    <definedName name="__________six6" hidden="1">{#N/A,#N/A,FALSE,"CRPT";#N/A,#N/A,FALSE,"TREND";#N/A,#N/A,FALSE,"%Curve"}</definedName>
    <definedName name="__________www1" localSheetId="2" hidden="1">{#N/A,#N/A,FALSE,"schA"}</definedName>
    <definedName name="__________www1" hidden="1">{#N/A,#N/A,FALSE,"schA"}</definedName>
    <definedName name="_________six6" localSheetId="2" hidden="1">{#N/A,#N/A,FALSE,"CRPT";#N/A,#N/A,FALSE,"TREND";#N/A,#N/A,FALSE,"%Curve"}</definedName>
    <definedName name="_________six6" hidden="1">{#N/A,#N/A,FALSE,"CRPT";#N/A,#N/A,FALSE,"TREND";#N/A,#N/A,FALSE,"%Curve"}</definedName>
    <definedName name="_________www1" localSheetId="2" hidden="1">{#N/A,#N/A,FALSE,"schA"}</definedName>
    <definedName name="_________www1" hidden="1">{#N/A,#N/A,FALSE,"schA"}</definedName>
    <definedName name="________six6" localSheetId="2" hidden="1">{#N/A,#N/A,FALSE,"CRPT";#N/A,#N/A,FALSE,"TREND";#N/A,#N/A,FALSE,"%Curve"}</definedName>
    <definedName name="________six6" hidden="1">{#N/A,#N/A,FALSE,"CRPT";#N/A,#N/A,FALSE,"TREND";#N/A,#N/A,FALSE,"%Curve"}</definedName>
    <definedName name="________www1" localSheetId="2" hidden="1">{#N/A,#N/A,FALSE,"schA"}</definedName>
    <definedName name="________www1" hidden="1">{#N/A,#N/A,FALSE,"schA"}</definedName>
    <definedName name="_______ex1" localSheetId="2" hidden="1">{#N/A,#N/A,FALSE,"Summ";#N/A,#N/A,FALSE,"General"}</definedName>
    <definedName name="_______ex1" hidden="1">{#N/A,#N/A,FALSE,"Summ";#N/A,#N/A,FALSE,"General"}</definedName>
    <definedName name="_______new1" localSheetId="2" hidden="1">{#N/A,#N/A,FALSE,"Summ";#N/A,#N/A,FALSE,"General"}</definedName>
    <definedName name="_______new1" hidden="1">{#N/A,#N/A,FALSE,"Summ";#N/A,#N/A,FALSE,"General"}</definedName>
    <definedName name="_______six6" localSheetId="2" hidden="1">{#N/A,#N/A,FALSE,"CRPT";#N/A,#N/A,FALSE,"TREND";#N/A,#N/A,FALSE,"%Curve"}</definedName>
    <definedName name="_______six6" hidden="1">{#N/A,#N/A,FALSE,"CRPT";#N/A,#N/A,FALSE,"TREND";#N/A,#N/A,FALSE,"%Curve"}</definedName>
    <definedName name="_______www1" localSheetId="2" hidden="1">{#N/A,#N/A,FALSE,"schA"}</definedName>
    <definedName name="_______www1" hidden="1">{#N/A,#N/A,FALSE,"schA"}</definedName>
    <definedName name="______ex1" localSheetId="2" hidden="1">{#N/A,#N/A,FALSE,"Summ";#N/A,#N/A,FALSE,"General"}</definedName>
    <definedName name="______ex1" hidden="1">{#N/A,#N/A,FALSE,"Summ";#N/A,#N/A,FALSE,"General"}</definedName>
    <definedName name="______new1" localSheetId="2" hidden="1">{#N/A,#N/A,FALSE,"Summ";#N/A,#N/A,FALSE,"General"}</definedName>
    <definedName name="______new1" hidden="1">{#N/A,#N/A,FALSE,"Summ";#N/A,#N/A,FALSE,"General"}</definedName>
    <definedName name="______six6" localSheetId="2" hidden="1">{#N/A,#N/A,FALSE,"CRPT";#N/A,#N/A,FALSE,"TREND";#N/A,#N/A,FALSE,"%Curve"}</definedName>
    <definedName name="______six6" hidden="1">{#N/A,#N/A,FALSE,"CRPT";#N/A,#N/A,FALSE,"TREND";#N/A,#N/A,FALSE,"%Curve"}</definedName>
    <definedName name="______www1" localSheetId="2" hidden="1">{#N/A,#N/A,FALSE,"schA"}</definedName>
    <definedName name="______www1" hidden="1">{#N/A,#N/A,FALSE,"schA"}</definedName>
    <definedName name="_____ex1" localSheetId="2" hidden="1">{#N/A,#N/A,FALSE,"Summ";#N/A,#N/A,FALSE,"General"}</definedName>
    <definedName name="_____ex1" hidden="1">{#N/A,#N/A,FALSE,"Summ";#N/A,#N/A,FALSE,"General"}</definedName>
    <definedName name="_____new1" localSheetId="2" hidden="1">{#N/A,#N/A,FALSE,"Summ";#N/A,#N/A,FALSE,"General"}</definedName>
    <definedName name="_____new1" hidden="1">{#N/A,#N/A,FALSE,"Summ";#N/A,#N/A,FALSE,"General"}</definedName>
    <definedName name="_____six6" localSheetId="2" hidden="1">{#N/A,#N/A,FALSE,"CRPT";#N/A,#N/A,FALSE,"TREND";#N/A,#N/A,FALSE,"%Curve"}</definedName>
    <definedName name="_____six6" hidden="1">{#N/A,#N/A,FALSE,"CRPT";#N/A,#N/A,FALSE,"TREND";#N/A,#N/A,FALSE,"%Curve"}</definedName>
    <definedName name="_____www1" localSheetId="2" hidden="1">{#N/A,#N/A,FALSE,"schA"}</definedName>
    <definedName name="_____www1" hidden="1">{#N/A,#N/A,FALSE,"schA"}</definedName>
    <definedName name="____ex1" localSheetId="2" hidden="1">{#N/A,#N/A,FALSE,"Summ";#N/A,#N/A,FALSE,"General"}</definedName>
    <definedName name="____ex1" hidden="1">{#N/A,#N/A,FALSE,"Summ";#N/A,#N/A,FALSE,"General"}</definedName>
    <definedName name="____new1" localSheetId="2" hidden="1">{#N/A,#N/A,FALSE,"Summ";#N/A,#N/A,FALSE,"General"}</definedName>
    <definedName name="____new1" hidden="1">{#N/A,#N/A,FALSE,"Summ";#N/A,#N/A,FALSE,"General"}</definedName>
    <definedName name="____six6" localSheetId="2" hidden="1">{#N/A,#N/A,FALSE,"CRPT";#N/A,#N/A,FALSE,"TREND";#N/A,#N/A,FALSE,"%Curve"}</definedName>
    <definedName name="____six6" hidden="1">{#N/A,#N/A,FALSE,"CRPT";#N/A,#N/A,FALSE,"TREND";#N/A,#N/A,FALSE,"%Curve"}</definedName>
    <definedName name="____www1" localSheetId="2" hidden="1">{#N/A,#N/A,FALSE,"schA"}</definedName>
    <definedName name="____www1" hidden="1">{#N/A,#N/A,FALSE,"schA"}</definedName>
    <definedName name="___ex1" localSheetId="2" hidden="1">{#N/A,#N/A,FALSE,"Summ";#N/A,#N/A,FALSE,"General"}</definedName>
    <definedName name="___ex1" hidden="1">{#N/A,#N/A,FALSE,"Summ";#N/A,#N/A,FALSE,"General"}</definedName>
    <definedName name="___new1" localSheetId="2" hidden="1">{#N/A,#N/A,FALSE,"Summ";#N/A,#N/A,FALSE,"General"}</definedName>
    <definedName name="___new1" hidden="1">{#N/A,#N/A,FALSE,"Summ";#N/A,#N/A,FALSE,"General"}</definedName>
    <definedName name="___six6" localSheetId="2" hidden="1">{#N/A,#N/A,FALSE,"CRPT";#N/A,#N/A,FALSE,"TREND";#N/A,#N/A,FALSE,"%Curve"}</definedName>
    <definedName name="___six6" hidden="1">{#N/A,#N/A,FALSE,"CRPT";#N/A,#N/A,FALSE,"TREND";#N/A,#N/A,FALSE,"%Curve"}</definedName>
    <definedName name="___www1" localSheetId="2" hidden="1">{#N/A,#N/A,FALSE,"schA"}</definedName>
    <definedName name="___www1" hidden="1">{#N/A,#N/A,FALSE,"schA"}</definedName>
    <definedName name="__123Graph_A" hidden="1">#REF!</definedName>
    <definedName name="__123Graph_ABUDG6_DSCRPR" hidden="1">#REF!</definedName>
    <definedName name="__123Graph_ABUDG6_ESCRPR1" hidden="1">#REF!</definedName>
    <definedName name="__123Graph_B" hidden="1">#REF!</definedName>
    <definedName name="__123Graph_BBUDG6_DSCRPR" hidden="1">#REF!</definedName>
    <definedName name="__123Graph_BBUDG6_ESCRPR1" hidden="1">#REF!</definedName>
    <definedName name="__123Graph_D" hidden="1">#REF!</definedName>
    <definedName name="__123Graph_ECURRENT" hidden="1">#REF!</definedName>
    <definedName name="__123Graph_X" hidden="1">#REF!</definedName>
    <definedName name="__123Graph_XBUDG6_DSCRPR" hidden="1">#REF!</definedName>
    <definedName name="__123Graph_XBUDG6_ESCRPR1" hidden="1">#REF!</definedName>
    <definedName name="__ex1" localSheetId="2" hidden="1">{#N/A,#N/A,FALSE,"Summ";#N/A,#N/A,FALSE,"General"}</definedName>
    <definedName name="__ex1" hidden="1">{#N/A,#N/A,FALSE,"Summ";#N/A,#N/A,FALSE,"General"}</definedName>
    <definedName name="__new1" localSheetId="2" hidden="1">{#N/A,#N/A,FALSE,"Summ";#N/A,#N/A,FALSE,"General"}</definedName>
    <definedName name="__new1" hidden="1">{#N/A,#N/A,FALSE,"Summ";#N/A,#N/A,FALSE,"General"}</definedName>
    <definedName name="__six6" localSheetId="2" hidden="1">{#N/A,#N/A,FALSE,"CRPT";#N/A,#N/A,FALSE,"TREND";#N/A,#N/A,FALSE,"%Curve"}</definedName>
    <definedName name="__six6" hidden="1">{#N/A,#N/A,FALSE,"CRPT";#N/A,#N/A,FALSE,"TREND";#N/A,#N/A,FALSE,"%Curve"}</definedName>
    <definedName name="__www1" localSheetId="2" hidden="1">{#N/A,#N/A,FALSE,"schA"}</definedName>
    <definedName name="__www1" hidden="1">{#N/A,#N/A,FALSE,"schA"}</definedName>
    <definedName name="_1__123Graph_ABUDG6_D_ESCRPR" hidden="1">#REF!</definedName>
    <definedName name="_2__123Graph_ABUDG6_Dtons_inv" hidden="1">#REF!</definedName>
    <definedName name="_3__123Graph_ABUDG6_Dtons_inv" hidden="1">#REF!</definedName>
    <definedName name="_3__123Graph_BBUDG6_D_ESCRPR" hidden="1">#REF!</definedName>
    <definedName name="_4__123Graph_ABUDG6_Dtons_inv" hidden="1">#REF!</definedName>
    <definedName name="_4__123Graph_BBUDG6_Dtons_inv" hidden="1">#REF!</definedName>
    <definedName name="_5__123Graph_CBUDG6_D_ESCRPR" hidden="1">#REF!</definedName>
    <definedName name="_6__123Graph_CBUDG6_D_ESCRPR" hidden="1">#REF!</definedName>
    <definedName name="_6__123Graph_DBUDG6_D_ESCRPR" hidden="1">#REF!</definedName>
    <definedName name="_7__123Graph_CBUDG6_D_ESCRPR" hidden="1">#REF!</definedName>
    <definedName name="_7__123Graph_DBUDG6_D_ESCRPR" hidden="1">#REF!</definedName>
    <definedName name="_7__123Graph_XBUDG6_D_ESCRPR" hidden="1">#REF!</definedName>
    <definedName name="_8__123Graph_DBUDG6_D_ESCRPR" hidden="1">#REF!</definedName>
    <definedName name="_8__123Graph_XBUDG6_Dtons_inv" hidden="1">#REF!</definedName>
    <definedName name="_ex1" localSheetId="2" hidden="1">{#N/A,#N/A,FALSE,"Summ";#N/A,#N/A,FALSE,"General"}</definedName>
    <definedName name="_ex1" hidden="1">{#N/A,#N/A,FALSE,"Summ";#N/A,#N/A,FALSE,"General"}</definedName>
    <definedName name="_Fill" hidden="1">#REF!</definedName>
    <definedName name="_Key1" hidden="1">#REF!</definedName>
    <definedName name="_Key2" hidden="1">#REF!</definedName>
    <definedName name="_new1" localSheetId="2" hidden="1">{#N/A,#N/A,FALSE,"Summ";#N/A,#N/A,FALSE,"General"}</definedName>
    <definedName name="_new1" hidden="1">{#N/A,#N/A,FALSE,"Summ";#N/A,#N/A,FALSE,"General"}</definedName>
    <definedName name="_Parse_In" hidden="1">#REF!</definedName>
    <definedName name="_six6" localSheetId="2" hidden="1">{#N/A,#N/A,FALSE,"CRPT";#N/A,#N/A,FALSE,"TREND";#N/A,#N/A,FALSE,"%Curve"}</definedName>
    <definedName name="_six6" hidden="1">{#N/A,#N/A,FALSE,"CRPT";#N/A,#N/A,FALSE,"TREND";#N/A,#N/A,FALSE,"%Curve"}</definedName>
    <definedName name="_Sort" hidden="1">#REF!</definedName>
    <definedName name="_www1" localSheetId="2" hidden="1">{#N/A,#N/A,FALSE,"schA"}</definedName>
    <definedName name="_www1" hidden="1">{#N/A,#N/A,FALSE,"schA"}</definedName>
    <definedName name="a" localSheetId="2" hidden="1">{#N/A,#N/A,FALSE,"Coversheet";#N/A,#N/A,FALSE,"QA"}</definedName>
    <definedName name="a" hidden="1">{#N/A,#N/A,FALSE,"Coversheet";#N/A,#N/A,FALSE,"QA"}</definedName>
    <definedName name="aaa"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2" hidden="1">{#N/A,#N/A,FALSE,"Coversheet";#N/A,#N/A,FALSE,"QA"}</definedName>
    <definedName name="AAAAAAAAAAAAAA" hidden="1">{#N/A,#N/A,FALSE,"Coversheet";#N/A,#N/A,FALSE,"QA"}</definedName>
    <definedName name="anscount" hidden="1">1</definedName>
    <definedName name="b" localSheetId="2" hidden="1">{#N/A,#N/A,FALSE,"Coversheet";#N/A,#N/A,FALSE,"QA"}</definedName>
    <definedName name="b" hidden="1">{#N/A,#N/A,FALSE,"Coversheet";#N/A,#N/A,FALSE,"QA"}</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localSheetId="2" hidden="1">{#N/A,#N/A,FALSE,"Cover Sheet";"Use of Equipment",#N/A,FALSE,"Area C";"Equipment Hours",#N/A,FALSE,"All";"Summary",#N/A,FALSE,"All"}</definedName>
    <definedName name="BL" hidden="1">{#N/A,#N/A,FALSE,"Cover Sheet";"Use of Equipment",#N/A,FALSE,"Area C";"Equipment Hours",#N/A,FALSE,"All";"Summary",#N/A,FALSE,"All"}</definedName>
    <definedName name="blet" localSheetId="2" hidden="1">{#N/A,#N/A,FALSE,"Cover Sheet";"Use of Equipment",#N/A,FALSE,"Area C";"Equipment Hours",#N/A,FALSE,"All";"Summary",#N/A,FALSE,"All"}</definedName>
    <definedName name="blet" hidden="1">{#N/A,#N/A,FALSE,"Cover Sheet";"Use of Equipment",#N/A,FALSE,"Area C";"Equipment Hours",#N/A,FALSE,"All";"Summary",#N/A,FALSE,"All"}</definedName>
    <definedName name="bleth" localSheetId="2"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CIQWBGuid" hidden="1">"6df3e850-8dab-470e-b8f1-07d8a1fa8102"</definedName>
    <definedName name="DELETE01" localSheetId="2" hidden="1">{#N/A,#N/A,FALSE,"Coversheet";#N/A,#N/A,FALSE,"QA"}</definedName>
    <definedName name="DELETE01" hidden="1">{#N/A,#N/A,FALSE,"Coversheet";#N/A,#N/A,FALSE,"QA"}</definedName>
    <definedName name="DELETE02" localSheetId="2" hidden="1">{#N/A,#N/A,FALSE,"Schedule F";#N/A,#N/A,FALSE,"Schedule G"}</definedName>
    <definedName name="DELETE02" hidden="1">{#N/A,#N/A,FALSE,"Schedule F";#N/A,#N/A,FALSE,"Schedule G"}</definedName>
    <definedName name="Delete06" localSheetId="2" hidden="1">{#N/A,#N/A,FALSE,"Coversheet";#N/A,#N/A,FALSE,"QA"}</definedName>
    <definedName name="Delete06" hidden="1">{#N/A,#N/A,FALSE,"Coversheet";#N/A,#N/A,FALSE,"QA"}</definedName>
    <definedName name="Delete09" localSheetId="2" hidden="1">{#N/A,#N/A,FALSE,"Coversheet";#N/A,#N/A,FALSE,"QA"}</definedName>
    <definedName name="Delete09" hidden="1">{#N/A,#N/A,FALSE,"Coversheet";#N/A,#N/A,FALSE,"QA"}</definedName>
    <definedName name="Delete1" localSheetId="2" hidden="1">{#N/A,#N/A,FALSE,"Coversheet";#N/A,#N/A,FALSE,"QA"}</definedName>
    <definedName name="Delete1" hidden="1">{#N/A,#N/A,FALSE,"Coversheet";#N/A,#N/A,FALSE,"QA"}</definedName>
    <definedName name="Delete10" localSheetId="2" hidden="1">{#N/A,#N/A,FALSE,"Schedule F";#N/A,#N/A,FALSE,"Schedule G"}</definedName>
    <definedName name="Delete10" hidden="1">{#N/A,#N/A,FALSE,"Schedule F";#N/A,#N/A,FALSE,"Schedule G"}</definedName>
    <definedName name="Delete21" localSheetId="2" hidden="1">{#N/A,#N/A,FALSE,"Coversheet";#N/A,#N/A,FALSE,"QA"}</definedName>
    <definedName name="Delete21" hidden="1">{#N/A,#N/A,FALSE,"Coversheet";#N/A,#N/A,FALSE,"QA"}</definedName>
    <definedName name="df" localSheetId="2" hidden="1">{#N/A,#N/A,FALSE,"CESTSUM";#N/A,#N/A,FALSE,"est sum A";#N/A,#N/A,FALSE,"est detail A"}</definedName>
    <definedName name="df" hidden="1">{#N/A,#N/A,FALSE,"CESTSUM";#N/A,#N/A,FALSE,"est sum A";#N/A,#N/A,FALSE,"est detail A"}</definedName>
    <definedName name="DFIT" localSheetId="2" hidden="1">{#N/A,#N/A,FALSE,"Coversheet";#N/A,#N/A,FALSE,"QA"}</definedName>
    <definedName name="DFIT" hidden="1">{#N/A,#N/A,FALSE,"Coversheet";#N/A,#N/A,FALSE,"QA"}</definedName>
    <definedName name="DUDE" hidden="1">#REF!</definedName>
    <definedName name="ee" localSheetId="2" hidden="1">{#N/A,#N/A,FALSE,"Month ";#N/A,#N/A,FALSE,"YTD";#N/A,#N/A,FALSE,"12 mo ended"}</definedName>
    <definedName name="ee" hidden="1">{#N/A,#N/A,FALSE,"Month ";#N/A,#N/A,FALSE,"YTD";#N/A,#N/A,FALSE,"12 mo ended"}</definedName>
    <definedName name="error" localSheetId="2" hidden="1">{#N/A,#N/A,FALSE,"Coversheet";#N/A,#N/A,FALSE,"QA"}</definedName>
    <definedName name="error" hidden="1">{#N/A,#N/A,FALSE,"Coversheet";#N/A,#N/A,FALSE,"QA"}</definedName>
    <definedName name="Estimate" localSheetId="2" hidden="1">{#N/A,#N/A,FALSE,"Summ";#N/A,#N/A,FALSE,"General"}</definedName>
    <definedName name="Estimate" hidden="1">{#N/A,#N/A,FALSE,"Summ";#N/A,#N/A,FALSE,"General"}</definedName>
    <definedName name="ex" localSheetId="2" hidden="1">{#N/A,#N/A,FALSE,"Summ";#N/A,#N/A,FALSE,"General"}</definedName>
    <definedName name="ex" hidden="1">{#N/A,#N/A,FALSE,"Summ";#N/A,#N/A,FALSE,"General"}</definedName>
    <definedName name="F" hidden="1">#REF!</definedName>
    <definedName name="fdasfda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2" hidden="1">{#N/A,#N/A,FALSE,"Month ";#N/A,#N/A,FALSE,"YTD";#N/A,#N/A,FALSE,"12 mo ended"}</definedName>
    <definedName name="fdsafdasfdsa" hidden="1">{#N/A,#N/A,FALSE,"Month ";#N/A,#N/A,FALSE,"YTD";#N/A,#N/A,FALSE,"12 mo ended"}</definedName>
    <definedName name="ffff" localSheetId="2" hidden="1">{#N/A,#N/A,FALSE,"Coversheet";#N/A,#N/A,FALSE,"QA"}</definedName>
    <definedName name="ffff" hidden="1">{#N/A,#N/A,FALSE,"Coversheet";#N/A,#N/A,FALSE,"QA"}</definedName>
    <definedName name="fffgf" localSheetId="2" hidden="1">{#N/A,#N/A,FALSE,"Coversheet";#N/A,#N/A,FALSE,"QA"}</definedName>
    <definedName name="fffgf" hidden="1">{#N/A,#N/A,FALSE,"Coversheet";#N/A,#N/A,FALSE,"QA"}</definedName>
    <definedName name="gary" localSheetId="2" hidden="1">{#N/A,#N/A,FALSE,"Cover Sheet";"Use of Equipment",#N/A,FALSE,"Area C";"Equipment Hours",#N/A,FALSE,"All";"Summary",#N/A,FALSE,"All"}</definedName>
    <definedName name="gary" hidden="1">{#N/A,#N/A,FALSE,"Cover Sheet";"Use of Equipment",#N/A,FALSE,"Area C";"Equipment Hours",#N/A,FALSE,"All";"Summary",#N/A,FALSE,"All"}</definedName>
    <definedName name="helllo" localSheetId="2" hidden="1">{#N/A,#N/A,FALSE,"Pg 6b CustCount_Gas";#N/A,#N/A,FALSE,"QA";#N/A,#N/A,FALSE,"Report";#N/A,#N/A,FALSE,"forecast"}</definedName>
    <definedName name="helllo" hidden="1">{#N/A,#N/A,FALSE,"Pg 6b CustCount_Gas";#N/A,#N/A,FALSE,"QA";#N/A,#N/A,FALSE,"Report";#N/A,#N/A,FALSE,"forecast"}</definedName>
    <definedName name="Hello"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2" hidden="1">{#N/A,#N/A,FALSE,"Coversheet";#N/A,#N/A,FALSE,"QA"}</definedName>
    <definedName name="HELP" hidden="1">{#N/A,#N/A,FALSE,"Coversheet";#N/A,#N/A,FALSE,"QA"}</definedName>
    <definedName name="income_satement_ytd" localSheetId="2"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2"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2"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2" hidden="1">{#N/A,#N/A,FALSE,"Summ";#N/A,#N/A,FALSE,"General"}</definedName>
    <definedName name="jfkljsdkljiejgr" hidden="1">{#N/A,#N/A,FALSE,"Summ";#N/A,#N/A,FALSE,"General"}</definedName>
    <definedName name="k"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ookup" localSheetId="2" hidden="1">{#N/A,#N/A,FALSE,"Coversheet";#N/A,#N/A,FALSE,"QA"}</definedName>
    <definedName name="lookup" hidden="1">{#N/A,#N/A,FALSE,"Coversheet";#N/A,#N/A,FALSE,"QA"}</definedName>
    <definedName name="Miller" localSheetId="2" hidden="1">{#N/A,#N/A,FALSE,"Expenditures";#N/A,#N/A,FALSE,"Property Placed In-Service";#N/A,#N/A,FALSE,"CWIP Balances"}</definedName>
    <definedName name="Miller" hidden="1">{#N/A,#N/A,FALSE,"Expenditures";#N/A,#N/A,FALSE,"Property Placed In-Service";#N/A,#N/A,FALSE,"CWIP Balances"}</definedName>
    <definedName name="new" localSheetId="2" hidden="1">{#N/A,#N/A,FALSE,"Summ";#N/A,#N/A,FALSE,"General"}</definedName>
    <definedName name="new" hidden="1">{#N/A,#N/A,FALSE,"Summ";#N/A,#N/A,FALSE,"General"}</definedName>
    <definedName name="NOYT" localSheetId="2" hidden="1">{#N/A,#N/A,FALSE,"Cover Sheet";"Use of Equipment",#N/A,FALSE,"Area C";"Equipment Hours",#N/A,FALSE,"All";"Summary",#N/A,FALSE,"All"}</definedName>
    <definedName name="NOYT" hidden="1">{#N/A,#N/A,FALSE,"Cover Sheet";"Use of Equipment",#N/A,FALSE,"Area C";"Equipment Hours",#N/A,FALSE,"All";"Summary",#N/A,FALSE,"All"}</definedName>
    <definedName name="p"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4">'Exh CTM-6 (Rate Design)'!$A$1:$U$392</definedName>
    <definedName name="_xlnm.Print_Area" localSheetId="2">'Exh CTM-6 (Tariff)'!$A$1:$X$199</definedName>
    <definedName name="_xlnm.Print_Area" localSheetId="8">'Exh CTM-6 (TVR Rate Design)'!$A$1:$U$136</definedName>
    <definedName name="_xlnm.Print_Titles" localSheetId="4">'Exh CTM-6 (Rate Design)'!$A:$B,'Exh CTM-6 (Rate Design)'!$1:$10</definedName>
    <definedName name="_xlnm.Print_Titles" localSheetId="2">'Exh CTM-6 (Tariff)'!$A:$C,'Exh CTM-6 (Tariff)'!$1:$7</definedName>
    <definedName name="_xlnm.Print_Titles" localSheetId="8">'Exh CTM-6 (TVR Rate Design)'!$A:$B,'Exh CTM-6 (TVR Rate Design)'!$1:$10</definedName>
    <definedName name="q" localSheetId="2" hidden="1">{#N/A,#N/A,FALSE,"Coversheet";#N/A,#N/A,FALSE,"QA"}</definedName>
    <definedName name="q" hidden="1">{#N/A,#N/A,FALSE,"Coversheet";#N/A,#N/A,FALSE,"QA"}</definedName>
    <definedName name="qqq" localSheetId="2" hidden="1">{#N/A,#N/A,FALSE,"schA"}</definedName>
    <definedName name="qqq" hidden="1">{#N/A,#N/A,FALSE,"schA"}</definedName>
    <definedName name="rec_weco_gl_contract_aug99" localSheetId="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sdlfhsdlhfkl" localSheetId="2" hidden="1">{#N/A,#N/A,FALSE,"Summ";#N/A,#N/A,FALSE,"General"}</definedName>
    <definedName name="sdlfhsdlhfkl" hidden="1">{#N/A,#N/A,FALSE,"Summ";#N/A,#N/A,FALSE,"General"}</definedName>
    <definedName name="seven" localSheetId="2" hidden="1">{#N/A,#N/A,FALSE,"CRPT";#N/A,#N/A,FALSE,"TREND";#N/A,#N/A,FALSE,"%Curve"}</definedName>
    <definedName name="seven" hidden="1">{#N/A,#N/A,FALSE,"CRPT";#N/A,#N/A,FALSE,"TREND";#N/A,#N/A,FALSE,"%Curve"}</definedName>
    <definedName name="six" localSheetId="2" hidden="1">{#N/A,#N/A,FALSE,"Drill Sites";"WP 212",#N/A,FALSE,"MWAG EOR";"WP 213",#N/A,FALSE,"MWAG EOR";#N/A,#N/A,FALSE,"Misc. Facility";#N/A,#N/A,FALSE,"WWTP"}</definedName>
    <definedName name="six" hidden="1">{#N/A,#N/A,FALSE,"Drill Sites";"WP 212",#N/A,FALSE,"MWAG EOR";"WP 213",#N/A,FALSE,"MWAG EOR";#N/A,#N/A,FALSE,"Misc. Facility";#N/A,#N/A,FALSE,"WWTP"}</definedName>
    <definedName name="sue" localSheetId="2" hidden="1">{#N/A,#N/A,FALSE,"Cover Sheet";"Use of Equipment",#N/A,FALSE,"Area C";"Equipment Hours",#N/A,FALSE,"All";"Summary",#N/A,FALSE,"All"}</definedName>
    <definedName name="sue" hidden="1">{#N/A,#N/A,FALSE,"Cover Sheet";"Use of Equipment",#N/A,FALSE,"Area C";"Equipment Hours",#N/A,FALSE,"All";"Summary",#N/A,FALSE,"All"}</definedName>
    <definedName name="susan" localSheetId="2" hidden="1">{#N/A,#N/A,FALSE,"Cover Sheet";"Use of Equipment",#N/A,FALSE,"Area C";"Equipment Hours",#N/A,FALSE,"All";"Summary",#N/A,FALSE,"All"}</definedName>
    <definedName name="susan" hidden="1">{#N/A,#N/A,FALSE,"Cover Sheet";"Use of Equipment",#N/A,FALSE,"Area C";"Equipment Hours",#N/A,FALSE,"All";"Summary",#N/A,FALSE,"All"}</definedName>
    <definedName name="t" localSheetId="2" hidden="1">{#N/A,#N/A,FALSE,"CESTSUM";#N/A,#N/A,FALSE,"est sum A";#N/A,#N/A,FALSE,"est detail A"}</definedName>
    <definedName name="t" hidden="1">{#N/A,#N/A,FALSE,"CESTSUM";#N/A,#N/A,FALSE,"est sum A";#N/A,#N/A,FALSE,"est detail A"}</definedName>
    <definedName name="tem" localSheetId="2" hidden="1">{#N/A,#N/A,FALSE,"Summ";#N/A,#N/A,FALSE,"General"}</definedName>
    <definedName name="tem" hidden="1">{#N/A,#N/A,FALSE,"Summ";#N/A,#N/A,FALSE,"General"}</definedName>
    <definedName name="TEMP" localSheetId="2" hidden="1">{#N/A,#N/A,FALSE,"Summ";#N/A,#N/A,FALSE,"General"}</definedName>
    <definedName name="TEMP" hidden="1">{#N/A,#N/A,FALSE,"Summ";#N/A,#N/A,FALSE,"General"}</definedName>
    <definedName name="Temp1" localSheetId="2" hidden="1">{#N/A,#N/A,FALSE,"CESTSUM";#N/A,#N/A,FALSE,"est sum A";#N/A,#N/A,FALSE,"est detail A"}</definedName>
    <definedName name="Temp1" hidden="1">{#N/A,#N/A,FALSE,"CESTSUM";#N/A,#N/A,FALSE,"est sum A";#N/A,#N/A,FALSE,"est detail A"}</definedName>
    <definedName name="temp2" localSheetId="2" hidden="1">{#N/A,#N/A,FALSE,"CESTSUM";#N/A,#N/A,FALSE,"est sum A";#N/A,#N/A,FALSE,"est detail A"}</definedName>
    <definedName name="temp2" hidden="1">{#N/A,#N/A,FALSE,"CESTSUM";#N/A,#N/A,FALSE,"est sum A";#N/A,#N/A,FALSE,"est detail A"}</definedName>
    <definedName name="tr" localSheetId="2"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localSheetId="2" hidden="1">{#N/A,#N/A,FALSE,"Summ";#N/A,#N/A,FALSE,"General"}</definedName>
    <definedName name="u" hidden="1">{#N/A,#N/A,FALSE,"Summ";#N/A,#N/A,FALSE,"General"}</definedName>
    <definedName name="v" localSheetId="2" hidden="1">{#N/A,#N/A,FALSE,"Coversheet";#N/A,#N/A,FALSE,"QA"}</definedName>
    <definedName name="v" hidden="1">{#N/A,#N/A,FALSE,"Coversheet";#N/A,#N/A,FALSE,"QA"}</definedName>
    <definedName name="Value" localSheetId="2" hidden="1">{#N/A,#N/A,FALSE,"Summ";#N/A,#N/A,FALSE,"General"}</definedName>
    <definedName name="Value" hidden="1">{#N/A,#N/A,FALSE,"Summ";#N/A,#N/A,FALSE,"General"}</definedName>
    <definedName name="w" localSheetId="2" hidden="1">{#N/A,#N/A,FALSE,"Schedule F";#N/A,#N/A,FALSE,"Schedule G"}</definedName>
    <definedName name="w" hidden="1">{#N/A,#N/A,FALSE,"Schedule F";#N/A,#N/A,FALSE,"Schedule G"}</definedName>
    <definedName name="we" localSheetId="2" hidden="1">{#N/A,#N/A,FALSE,"Pg 6b CustCount_Gas";#N/A,#N/A,FALSE,"QA";#N/A,#N/A,FALSE,"Report";#N/A,#N/A,FALSE,"forecast"}</definedName>
    <definedName name="we" hidden="1">{#N/A,#N/A,FALSE,"Pg 6b CustCount_Gas";#N/A,#N/A,FALSE,"QA";#N/A,#N/A,FALSE,"Report";#N/A,#N/A,FALSE,"forecast"}</definedName>
    <definedName name="WH" localSheetId="2" hidden="1">{#N/A,#N/A,FALSE,"Coversheet";#N/A,#N/A,FALSE,"QA"}</definedName>
    <definedName name="WH" hidden="1">{#N/A,#N/A,FALSE,"Coversheet";#N/A,#N/A,FALSE,"QA"}</definedName>
    <definedName name="wrn.1._.Bi._.Monthly._.CR." localSheetId="2"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2"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2" hidden="1">{#N/A,#N/A,FALSE,"CRPT";#N/A,#N/A,FALSE,"TREND";#N/A,#N/A,FALSE,"%Curve"}</definedName>
    <definedName name="wrn.AAI." hidden="1">{#N/A,#N/A,FALSE,"CRPT";#N/A,#N/A,FALSE,"TREND";#N/A,#N/A,FALSE,"%Curve"}</definedName>
    <definedName name="wrn.AAI._.Report." localSheetId="2" hidden="1">{#N/A,#N/A,FALSE,"CRPT";#N/A,#N/A,FALSE,"TREND";#N/A,#N/A,FALSE,"% CURVE"}</definedName>
    <definedName name="wrn.AAI._.Report." hidden="1">{#N/A,#N/A,FALSE,"CRPT";#N/A,#N/A,FALSE,"TREND";#N/A,#N/A,FALSE,"% CURVE"}</definedName>
    <definedName name="wrn.Annual._.Cost._.Adjustment." localSheetId="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2"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2"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2"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2" hidden="1">{#N/A,#N/A,FALSE,"Cost Adjustment "}</definedName>
    <definedName name="wrn.Cost._.Adjustment." hidden="1">{#N/A,#N/A,FALSE,"Cost Adjustment "}</definedName>
    <definedName name="wrn.Customer._.Counts._.Electric."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2" hidden="1">{#N/A,#N/A,FALSE,"Pg 6b CustCount_Gas";#N/A,#N/A,FALSE,"QA";#N/A,#N/A,FALSE,"Report";#N/A,#N/A,FALSE,"forecast"}</definedName>
    <definedName name="wrn.Customer._.Counts._.Gas." hidden="1">{#N/A,#N/A,FALSE,"Pg 6b CustCount_Gas";#N/A,#N/A,FALSE,"QA";#N/A,#N/A,FALSE,"Report";#N/A,#N/A,FALSE,"forecast"}</definedName>
    <definedName name="wrn.Depreciation." localSheetId="2"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2" hidden="1">{#N/A,#N/A,FALSE,"schA"}</definedName>
    <definedName name="wrn.ECR." hidden="1">{#N/A,#N/A,FALSE,"schA"}</definedName>
    <definedName name="wrn.ESTIMATE." localSheetId="2" hidden="1">{#N/A,#N/A,FALSE,"CESTSUM";#N/A,#N/A,FALSE,"est sum A";#N/A,#N/A,FALSE,"est detail A"}</definedName>
    <definedName name="wrn.ESTIMATE." hidden="1">{#N/A,#N/A,FALSE,"CESTSUM";#N/A,#N/A,FALSE,"est sum A";#N/A,#N/A,FALSE,"est detail A"}</definedName>
    <definedName name="wrn.Forecast." localSheetId="2"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2" hidden="1">{#N/A,#N/A,TRUE,"CoverPage";#N/A,#N/A,TRUE,"Gas";#N/A,#N/A,TRUE,"Power";#N/A,#N/A,TRUE,"Historical DJ Mthly Prices"}</definedName>
    <definedName name="wrn.Fundamental." hidden="1">{#N/A,#N/A,TRUE,"CoverPage";#N/A,#N/A,TRUE,"Gas";#N/A,#N/A,TRUE,"Power";#N/A,#N/A,TRUE,"Historical DJ Mthly Prices"}</definedName>
    <definedName name="wrn.Fundamental2" localSheetId="2" hidden="1">{#N/A,#N/A,TRUE,"CoverPage";#N/A,#N/A,TRUE,"Gas";#N/A,#N/A,TRUE,"Power";#N/A,#N/A,TRUE,"Historical DJ Mthly Prices"}</definedName>
    <definedName name="wrn.Fundamental2" hidden="1">{#N/A,#N/A,TRUE,"CoverPage";#N/A,#N/A,TRUE,"Gas";#N/A,#N/A,TRUE,"Power";#N/A,#N/A,TRUE,"Historical DJ Mthly Prices"}</definedName>
    <definedName name="wrn.IEO." localSheetId="2" hidden="1">{#N/A,#N/A,FALSE,"SUMMARY";#N/A,#N/A,FALSE,"AE7616";#N/A,#N/A,FALSE,"AE7617";#N/A,#N/A,FALSE,"AE7618";#N/A,#N/A,FALSE,"AE7619"}</definedName>
    <definedName name="wrn.IEO." hidden="1">{#N/A,#N/A,FALSE,"SUMMARY";#N/A,#N/A,FALSE,"AE7616";#N/A,#N/A,FALSE,"AE7617";#N/A,#N/A,FALSE,"AE7618";#N/A,#N/A,FALSE,"AE7619"}</definedName>
    <definedName name="wrn.Incentive._.Overhead." localSheetId="2" hidden="1">{#N/A,#N/A,FALSE,"Coversheet";#N/A,#N/A,FALSE,"QA"}</definedName>
    <definedName name="wrn.Incentive._.Overhead." hidden="1">{#N/A,#N/A,FALSE,"Coversheet";#N/A,#N/A,FALSE,"QA"}</definedName>
    <definedName name="wrn.limit_reports." localSheetId="2" hidden="1">{#N/A,#N/A,FALSE,"Schedule F";#N/A,#N/A,FALSE,"Schedule G"}</definedName>
    <definedName name="wrn.limit_reports." hidden="1">{#N/A,#N/A,FALSE,"Schedule F";#N/A,#N/A,FALSE,"Schedule G"}</definedName>
    <definedName name="wrn.MARGIN_WO_QTR." localSheetId="2" hidden="1">{#N/A,#N/A,FALSE,"Month ";#N/A,#N/A,FALSE,"YTD";#N/A,#N/A,FALSE,"12 mo ended"}</definedName>
    <definedName name="wrn.MARGIN_WO_QTR." hidden="1">{#N/A,#N/A,FALSE,"Month ";#N/A,#N/A,FALSE,"YTD";#N/A,#N/A,FALSE,"12 mo ended"}</definedName>
    <definedName name="wrn.Mining._.Flexibility." localSheetId="2"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2"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localSheetId="2"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2"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2" hidden="1">{#N/A,#N/A,FALSE,"BASE";#N/A,#N/A,FALSE,"LOOPS";#N/A,#N/A,FALSE,"PLC"}</definedName>
    <definedName name="wrn.Project._.Services." hidden="1">{#N/A,#N/A,FALSE,"BASE";#N/A,#N/A,FALSE,"LOOPS";#N/A,#N/A,FALSE,"PLC"}</definedName>
    <definedName name="wrn.SCHEDULE." localSheetId="2" hidden="1">{#N/A,#N/A,FALSE,"7617 Fab";#N/A,#N/A,FALSE,"7617 NSK"}</definedName>
    <definedName name="wrn.SCHEDULE." hidden="1">{#N/A,#N/A,FALSE,"7617 Fab";#N/A,#N/A,FALSE,"7617 NSK"}</definedName>
    <definedName name="wrn.Semi._.Annual._.Cost._.Adj." localSheetId="2"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2"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2"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2" hidden="1">{#N/A,#N/A,FALSE,"2002 Small Tool OH";#N/A,#N/A,FALSE,"QA"}</definedName>
    <definedName name="wrn.Small._.Tools._.Overhead." hidden="1">{#N/A,#N/A,FALSE,"2002 Small Tool OH";#N/A,#N/A,FALSE,"QA"}</definedName>
    <definedName name="wrn.Summary." localSheetId="2" hidden="1">{#N/A,#N/A,FALSE,"Summ";#N/A,#N/A,FALSE,"General"}</definedName>
    <definedName name="wrn.Summary." hidden="1">{#N/A,#N/A,FALSE,"Summ";#N/A,#N/A,FALSE,"General"}</definedName>
    <definedName name="wrn.test." localSheetId="2"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2"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2"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2" hidden="1">{#N/A,#N/A,FALSE,"Expenditures";#N/A,#N/A,FALSE,"Property Placed In-Service";#N/A,#N/A,FALSE,"CWIP Balances"}</definedName>
    <definedName name="wrn.USIM_Data_Abbrev3." hidden="1">{#N/A,#N/A,FALSE,"Expenditures";#N/A,#N/A,FALSE,"Property Placed In-Service";#N/A,#N/A,FALSE,"CWIP Balances"}</definedName>
    <definedName name="wrn.VERIFY." localSheetId="2"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2" hidden="1">{#N/A,#N/A,FALSE,"schA"}</definedName>
    <definedName name="www" hidden="1">{#N/A,#N/A,FALSE,"schA"}</definedName>
    <definedName name="x" localSheetId="2" hidden="1">{#N/A,#N/A,FALSE,"Coversheet";#N/A,#N/A,FALSE,"QA"}</definedName>
    <definedName name="x" hidden="1">{#N/A,#N/A,FALSE,"Coversheet";#N/A,#N/A,FALSE,"QA"}</definedName>
    <definedName name="xx" localSheetId="2"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2" hidden="1">{#N/A,#N/A,FALSE,"Summ";#N/A,#N/A,FALSE,"General"}</definedName>
    <definedName name="yuf" hidden="1">{#N/A,#N/A,FALSE,"Summ";#N/A,#N/A,FALSE,"General"}</definedName>
    <definedName name="z" localSheetId="2" hidden="1">{#N/A,#N/A,FALSE,"Coversheet";#N/A,#N/A,FALSE,"QA"}</definedName>
    <definedName name="z" hidden="1">{#N/A,#N/A,FALSE,"Coversheet";#N/A,#N/A,FALSE,"QA"}</definedName>
    <definedName name="zzz"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 i="8" l="1"/>
  <c r="Q14" i="8"/>
  <c r="Q15" i="8"/>
  <c r="Q16" i="8"/>
  <c r="Q17" i="8"/>
  <c r="Q18" i="8"/>
  <c r="Q19" i="8"/>
  <c r="Q20" i="8"/>
  <c r="Q21" i="8"/>
  <c r="Q22" i="8"/>
  <c r="Q23" i="8"/>
  <c r="Q24" i="8"/>
  <c r="Q25" i="8"/>
  <c r="Q13" i="8"/>
  <c r="Q9" i="2" l="1"/>
  <c r="I14" i="8" l="1"/>
  <c r="T25" i="8" l="1"/>
  <c r="T24" i="8"/>
  <c r="T23" i="8"/>
  <c r="T22" i="8"/>
  <c r="T21" i="8"/>
  <c r="T20" i="8"/>
  <c r="T19" i="8"/>
  <c r="T18" i="8"/>
  <c r="T17" i="8"/>
  <c r="T16" i="8"/>
  <c r="T15" i="8"/>
  <c r="T14" i="8"/>
  <c r="T13" i="8"/>
  <c r="N14" i="8"/>
  <c r="N15" i="8"/>
  <c r="N16" i="8"/>
  <c r="N17" i="8"/>
  <c r="N18" i="8"/>
  <c r="N19" i="8"/>
  <c r="N20" i="8"/>
  <c r="N21" i="8"/>
  <c r="N22" i="8"/>
  <c r="N23" i="8"/>
  <c r="N24" i="8"/>
  <c r="N25" i="8"/>
  <c r="N13" i="8"/>
  <c r="M27" i="8"/>
  <c r="M25" i="8"/>
  <c r="M24" i="8"/>
  <c r="M23" i="8"/>
  <c r="M22" i="8"/>
  <c r="M21" i="8"/>
  <c r="M20" i="8"/>
  <c r="M19" i="8"/>
  <c r="M18" i="8"/>
  <c r="M17" i="8"/>
  <c r="M16" i="8"/>
  <c r="M15" i="8"/>
  <c r="M14" i="8"/>
  <c r="M13" i="8"/>
  <c r="S13" i="2" l="1"/>
  <c r="Q12" i="2"/>
  <c r="O25" i="8" l="1"/>
  <c r="O24" i="8"/>
  <c r="O23" i="8"/>
  <c r="O22" i="8"/>
  <c r="O21" i="8"/>
  <c r="O20" i="8"/>
  <c r="O19" i="8"/>
  <c r="O18" i="8"/>
  <c r="O17" i="8"/>
  <c r="O16" i="8"/>
  <c r="O15" i="8"/>
  <c r="O14" i="8"/>
  <c r="O13" i="8"/>
  <c r="P394" i="3"/>
  <c r="O394" i="3"/>
  <c r="G25" i="8"/>
  <c r="L25" i="8" s="1"/>
  <c r="G24" i="8"/>
  <c r="L24" i="8" s="1"/>
  <c r="G23" i="8"/>
  <c r="F23" i="8" s="1"/>
  <c r="G22" i="8"/>
  <c r="F22" i="8" s="1"/>
  <c r="G21" i="8"/>
  <c r="F21" i="8" s="1"/>
  <c r="G20" i="8"/>
  <c r="L20" i="8" s="1"/>
  <c r="G19" i="8"/>
  <c r="G18" i="8"/>
  <c r="L18" i="8" s="1"/>
  <c r="G17" i="8"/>
  <c r="G16" i="8"/>
  <c r="G15" i="8"/>
  <c r="G14" i="8"/>
  <c r="G13" i="8"/>
  <c r="L13" i="8" s="1"/>
  <c r="E25" i="8"/>
  <c r="E24" i="8"/>
  <c r="E23" i="8"/>
  <c r="E22" i="8"/>
  <c r="E21" i="8"/>
  <c r="E20" i="8"/>
  <c r="E19" i="8"/>
  <c r="E18" i="8"/>
  <c r="E17" i="8"/>
  <c r="E16" i="8"/>
  <c r="E15" i="8"/>
  <c r="E14" i="8"/>
  <c r="E13" i="8"/>
  <c r="U13" i="2"/>
  <c r="H30" i="2"/>
  <c r="U34" i="2"/>
  <c r="L16" i="8"/>
  <c r="L17" i="8"/>
  <c r="L22" i="8" l="1"/>
  <c r="F16" i="8"/>
  <c r="F15" i="8"/>
  <c r="L15" i="8"/>
  <c r="F17" i="8"/>
  <c r="F19" i="8"/>
  <c r="F20" i="8"/>
  <c r="F24" i="8"/>
  <c r="I24" i="8" s="1"/>
  <c r="F14" i="8"/>
  <c r="F25" i="8"/>
  <c r="I25" i="8" s="1"/>
  <c r="L23" i="8"/>
  <c r="L21" i="8"/>
  <c r="L19" i="8"/>
  <c r="F18" i="8"/>
  <c r="L14" i="8"/>
  <c r="F13" i="8"/>
  <c r="I15" i="8"/>
  <c r="I16" i="8"/>
  <c r="I17" i="8"/>
  <c r="I18" i="8"/>
  <c r="I19" i="8"/>
  <c r="I20" i="8"/>
  <c r="I21" i="8"/>
  <c r="I22" i="8"/>
  <c r="I23" i="8"/>
  <c r="I13" i="8" l="1"/>
  <c r="V24" i="8"/>
  <c r="V25" i="8"/>
  <c r="X42" i="2"/>
  <c r="A3" i="7"/>
  <c r="K9" i="7"/>
  <c r="H9" i="7"/>
  <c r="O9" i="7" s="1"/>
  <c r="R9" i="7" s="1"/>
  <c r="I9" i="7"/>
  <c r="M9" i="7" s="1"/>
  <c r="L9" i="7"/>
  <c r="P9" i="7"/>
  <c r="S9" i="7"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E16" i="7"/>
  <c r="C16" i="7"/>
  <c r="D16" i="7"/>
  <c r="K19" i="7"/>
  <c r="K24" i="7" s="1"/>
  <c r="L19" i="7"/>
  <c r="M19" i="7"/>
  <c r="M24" i="7" s="1"/>
  <c r="K20" i="7"/>
  <c r="M20" i="7"/>
  <c r="L20" i="7"/>
  <c r="K22" i="7"/>
  <c r="L22" i="7"/>
  <c r="M22" i="7"/>
  <c r="K23" i="7"/>
  <c r="L23" i="7"/>
  <c r="M23" i="7"/>
  <c r="D24" i="7"/>
  <c r="E24" i="7"/>
  <c r="E27" i="7" s="1"/>
  <c r="O25" i="7"/>
  <c r="P25" i="7"/>
  <c r="O26" i="7"/>
  <c r="P26" i="7"/>
  <c r="G35" i="7"/>
  <c r="G36" i="7"/>
  <c r="D44" i="7"/>
  <c r="E44" i="7"/>
  <c r="C44" i="7"/>
  <c r="L47" i="7"/>
  <c r="K47" i="7"/>
  <c r="M47" i="7"/>
  <c r="K48" i="7"/>
  <c r="L48" i="7"/>
  <c r="M48" i="7"/>
  <c r="K49" i="7"/>
  <c r="L49" i="7"/>
  <c r="M49" i="7"/>
  <c r="K51" i="7"/>
  <c r="L51" i="7"/>
  <c r="G51" i="7"/>
  <c r="M51" i="7"/>
  <c r="K52" i="7"/>
  <c r="L52" i="7"/>
  <c r="M52" i="7"/>
  <c r="M54" i="7" s="1"/>
  <c r="M53" i="7"/>
  <c r="K53" i="7"/>
  <c r="L53" i="7"/>
  <c r="C54" i="7"/>
  <c r="D54" i="7"/>
  <c r="O55" i="7"/>
  <c r="P55" i="7"/>
  <c r="O56" i="7"/>
  <c r="P56" i="7"/>
  <c r="G60" i="7"/>
  <c r="G67" i="7"/>
  <c r="G68" i="7"/>
  <c r="G69" i="7"/>
  <c r="E77" i="7"/>
  <c r="C77" i="7"/>
  <c r="D77" i="7"/>
  <c r="K80" i="7"/>
  <c r="L80" i="7"/>
  <c r="M80" i="7"/>
  <c r="E87" i="7"/>
  <c r="E90" i="7" s="1"/>
  <c r="K81" i="7"/>
  <c r="L81" i="7"/>
  <c r="L82" i="7"/>
  <c r="K82" i="7"/>
  <c r="M82" i="7"/>
  <c r="K84" i="7"/>
  <c r="L84" i="7"/>
  <c r="M84" i="7"/>
  <c r="L85" i="7"/>
  <c r="M85" i="7"/>
  <c r="K85" i="7"/>
  <c r="L86" i="7"/>
  <c r="K86" i="7"/>
  <c r="M86" i="7"/>
  <c r="C87" i="7"/>
  <c r="L87" i="7"/>
  <c r="O88" i="7"/>
  <c r="P88" i="7"/>
  <c r="O89" i="7"/>
  <c r="P89" i="7"/>
  <c r="G98" i="7"/>
  <c r="G99" i="7"/>
  <c r="G101" i="7"/>
  <c r="G102" i="7"/>
  <c r="D110" i="7"/>
  <c r="C110" i="7"/>
  <c r="E110" i="7"/>
  <c r="K113" i="7"/>
  <c r="M113" i="7"/>
  <c r="M120" i="7" s="1"/>
  <c r="M114" i="7"/>
  <c r="K114" i="7"/>
  <c r="L114" i="7"/>
  <c r="C120" i="7"/>
  <c r="L115" i="7"/>
  <c r="K115" i="7"/>
  <c r="K120" i="7" s="1"/>
  <c r="M115" i="7"/>
  <c r="L117" i="7"/>
  <c r="K117" i="7"/>
  <c r="M117" i="7"/>
  <c r="M118" i="7"/>
  <c r="K118" i="7"/>
  <c r="L118" i="7"/>
  <c r="L119" i="7"/>
  <c r="K119" i="7"/>
  <c r="M119" i="7"/>
  <c r="E120" i="7"/>
  <c r="O121" i="7"/>
  <c r="P121" i="7"/>
  <c r="O122" i="7"/>
  <c r="P122" i="7"/>
  <c r="E123" i="7"/>
  <c r="G126" i="7"/>
  <c r="G133" i="7"/>
  <c r="G134" i="7"/>
  <c r="G135" i="7"/>
  <c r="C10" i="6"/>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D11" i="6"/>
  <c r="C12" i="6"/>
  <c r="D13" i="6"/>
  <c r="C14" i="6"/>
  <c r="C15" i="6" s="1"/>
  <c r="D23" i="6"/>
  <c r="C16" i="6"/>
  <c r="D17" i="6"/>
  <c r="C18" i="6"/>
  <c r="C19" i="6"/>
  <c r="C20" i="6" s="1"/>
  <c r="D21" i="6"/>
  <c r="C22" i="6"/>
  <c r="D22" i="6"/>
  <c r="C23" i="6"/>
  <c r="C24" i="6" s="1"/>
  <c r="C26" i="6"/>
  <c r="H26" i="6"/>
  <c r="C27" i="6"/>
  <c r="C28" i="6" s="1"/>
  <c r="H28" i="6"/>
  <c r="D29" i="6"/>
  <c r="C30" i="6"/>
  <c r="C31" i="6" s="1"/>
  <c r="C32" i="6"/>
  <c r="D33" i="6"/>
  <c r="C34" i="6"/>
  <c r="C35" i="6"/>
  <c r="C36" i="6" s="1"/>
  <c r="H36" i="6"/>
  <c r="H35" i="6" s="1"/>
  <c r="D37" i="6"/>
  <c r="C38" i="6"/>
  <c r="C39" i="6" s="1"/>
  <c r="C40" i="6" s="1"/>
  <c r="D41" i="6"/>
  <c r="C42" i="6"/>
  <c r="D42" i="6"/>
  <c r="C43" i="6"/>
  <c r="C44" i="6" s="1"/>
  <c r="C46" i="6"/>
  <c r="D47" i="6"/>
  <c r="C48" i="6"/>
  <c r="D49" i="6"/>
  <c r="D50" i="6"/>
  <c r="D51" i="6"/>
  <c r="C52" i="6"/>
  <c r="H52" i="6"/>
  <c r="D53" i="6"/>
  <c r="C54" i="6"/>
  <c r="E54" i="6"/>
  <c r="H10" i="6"/>
  <c r="C10" i="5"/>
  <c r="E10" i="5"/>
  <c r="A11" i="5"/>
  <c r="A12" i="5" s="1"/>
  <c r="A13" i="5" s="1"/>
  <c r="A14" i="5" s="1"/>
  <c r="A15" i="5" s="1"/>
  <c r="A16" i="5" s="1"/>
  <c r="A17" i="5" s="1"/>
  <c r="A18" i="5" s="1"/>
  <c r="A19" i="5" s="1"/>
  <c r="C12" i="5"/>
  <c r="H12" i="5"/>
  <c r="E12" i="5"/>
  <c r="C14" i="5"/>
  <c r="H14" i="5"/>
  <c r="E14" i="5"/>
  <c r="C16" i="5"/>
  <c r="E16" i="5"/>
  <c r="C18" i="5"/>
  <c r="A20" i="5"/>
  <c r="A21" i="5" s="1"/>
  <c r="A22" i="5" s="1"/>
  <c r="A23" i="5" s="1"/>
  <c r="A24" i="5" s="1"/>
  <c r="A25" i="5" s="1"/>
  <c r="A26" i="5" s="1"/>
  <c r="A27" i="5" s="1"/>
  <c r="A28" i="5" s="1"/>
  <c r="A29" i="5" s="1"/>
  <c r="A30" i="5" s="1"/>
  <c r="A31" i="5" s="1"/>
  <c r="A32" i="5" s="1"/>
  <c r="A33" i="5" s="1"/>
  <c r="A34" i="5" s="1"/>
  <c r="A35" i="5" s="1"/>
  <c r="A36" i="5" s="1"/>
  <c r="A37" i="5" s="1"/>
  <c r="A38" i="5" s="1"/>
  <c r="A39" i="5" s="1"/>
  <c r="A40" i="5" s="1"/>
  <c r="A41" i="5" s="1"/>
  <c r="C20" i="5"/>
  <c r="C22" i="5"/>
  <c r="E22" i="5"/>
  <c r="H22" i="5"/>
  <c r="C24" i="5"/>
  <c r="E24" i="5"/>
  <c r="C26" i="5"/>
  <c r="C28" i="5"/>
  <c r="E28" i="5"/>
  <c r="C30" i="5"/>
  <c r="H30" i="5"/>
  <c r="E30" i="5"/>
  <c r="C32" i="5"/>
  <c r="E32" i="5"/>
  <c r="C36" i="5"/>
  <c r="E36" i="5"/>
  <c r="H36" i="5"/>
  <c r="C38" i="5"/>
  <c r="H32" i="5"/>
  <c r="E50" i="5"/>
  <c r="G50" i="5"/>
  <c r="E51" i="5"/>
  <c r="E52" i="5" s="1"/>
  <c r="G51" i="5"/>
  <c r="H18" i="5" s="1"/>
  <c r="D52" i="5"/>
  <c r="F52" i="5"/>
  <c r="G52" i="5"/>
  <c r="E55" i="5"/>
  <c r="E57" i="5" s="1"/>
  <c r="D57" i="5"/>
  <c r="E56" i="5" s="1"/>
  <c r="F57" i="5"/>
  <c r="C10" i="4"/>
  <c r="A11" i="4"/>
  <c r="A12" i="4"/>
  <c r="A13" i="4" s="1"/>
  <c r="C12" i="4"/>
  <c r="A14" i="4"/>
  <c r="C14" i="4"/>
  <c r="A15" i="4"/>
  <c r="C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C16" i="4"/>
  <c r="C18" i="4"/>
  <c r="C19" i="4"/>
  <c r="C20" i="4"/>
  <c r="C22" i="4"/>
  <c r="C23" i="4"/>
  <c r="C24" i="4"/>
  <c r="C26" i="4"/>
  <c r="C27" i="4" s="1"/>
  <c r="C28" i="4" s="1"/>
  <c r="C30" i="4"/>
  <c r="C31" i="4"/>
  <c r="C32" i="4" s="1"/>
  <c r="C34" i="4"/>
  <c r="C35" i="4" s="1"/>
  <c r="C36" i="4" s="1"/>
  <c r="C38" i="4"/>
  <c r="C39" i="4" s="1"/>
  <c r="C40" i="4" s="1"/>
  <c r="C42" i="4"/>
  <c r="C43" i="4" s="1"/>
  <c r="C44" i="4" s="1"/>
  <c r="F46" i="4"/>
  <c r="C52" i="4"/>
  <c r="F52" i="4"/>
  <c r="I52" i="4"/>
  <c r="C54" i="4"/>
  <c r="I70" i="4"/>
  <c r="I75" i="4"/>
  <c r="A3" i="3"/>
  <c r="G9" i="3"/>
  <c r="H9" i="3"/>
  <c r="I9" i="3"/>
  <c r="M9" i="3" s="1"/>
  <c r="K9" i="3"/>
  <c r="P9" i="3"/>
  <c r="S9" i="3" s="1"/>
  <c r="B11" i="3"/>
  <c r="A12" i="3"/>
  <c r="A13" i="3" s="1"/>
  <c r="A14" i="3"/>
  <c r="D16" i="3"/>
  <c r="S14" i="3"/>
  <c r="A15" i="3"/>
  <c r="A16" i="3" s="1"/>
  <c r="E16" i="3"/>
  <c r="R15" i="3"/>
  <c r="S15" i="3"/>
  <c r="C16" i="3"/>
  <c r="A17" i="3"/>
  <c r="A18" i="3" s="1"/>
  <c r="A19" i="3" s="1"/>
  <c r="A20" i="3" s="1"/>
  <c r="A21" i="3" s="1"/>
  <c r="C20" i="3"/>
  <c r="C23" i="3" s="1"/>
  <c r="E20" i="3"/>
  <c r="E23" i="3" s="1"/>
  <c r="D20" i="3"/>
  <c r="G21" i="3"/>
  <c r="O21" i="3"/>
  <c r="P21" i="3"/>
  <c r="A22" i="3"/>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G22" i="3"/>
  <c r="O22" i="3"/>
  <c r="P22" i="3"/>
  <c r="D23" i="3"/>
  <c r="B30" i="3"/>
  <c r="C35" i="3"/>
  <c r="E35" i="3"/>
  <c r="S33" i="3"/>
  <c r="S34" i="3" s="1"/>
  <c r="D35" i="3"/>
  <c r="R34" i="3"/>
  <c r="C39" i="3"/>
  <c r="D39" i="3"/>
  <c r="D43" i="3" s="1"/>
  <c r="E39" i="3"/>
  <c r="G40" i="3"/>
  <c r="O40" i="3"/>
  <c r="P40" i="3"/>
  <c r="G41" i="3"/>
  <c r="O41" i="3"/>
  <c r="P41" i="3"/>
  <c r="O42" i="3"/>
  <c r="P42" i="3"/>
  <c r="E43" i="3"/>
  <c r="S53" i="3"/>
  <c r="E58" i="3"/>
  <c r="G59" i="3"/>
  <c r="O59" i="3"/>
  <c r="P59" i="3"/>
  <c r="G60" i="3"/>
  <c r="O60" i="3"/>
  <c r="P60" i="3"/>
  <c r="E61" i="3"/>
  <c r="S63" i="3"/>
  <c r="S64" i="3" s="1"/>
  <c r="C65" i="3"/>
  <c r="D65" i="3"/>
  <c r="E65" i="3"/>
  <c r="R64" i="3"/>
  <c r="S67" i="3"/>
  <c r="S80" i="3"/>
  <c r="C83" i="3"/>
  <c r="C86" i="3" s="1"/>
  <c r="G84" i="3"/>
  <c r="M84" i="3" s="1"/>
  <c r="L84" i="3"/>
  <c r="O84" i="3"/>
  <c r="P84" i="3"/>
  <c r="G85" i="3"/>
  <c r="M85" i="3" s="1"/>
  <c r="L85" i="3"/>
  <c r="O85" i="3"/>
  <c r="P85" i="3"/>
  <c r="S88" i="3"/>
  <c r="R89" i="3"/>
  <c r="S89" i="3"/>
  <c r="S92" i="3"/>
  <c r="S142" i="3" s="1"/>
  <c r="C107" i="3"/>
  <c r="S110" i="3"/>
  <c r="S111" i="3" s="1"/>
  <c r="R111" i="3"/>
  <c r="P118" i="3"/>
  <c r="P120" i="3"/>
  <c r="R127" i="3"/>
  <c r="R128" i="3" s="1"/>
  <c r="S127" i="3"/>
  <c r="S128" i="3"/>
  <c r="K133" i="3"/>
  <c r="L133" i="3"/>
  <c r="M133" i="3"/>
  <c r="O133" i="3"/>
  <c r="P133" i="3"/>
  <c r="K134" i="3"/>
  <c r="L134" i="3"/>
  <c r="M134" i="3"/>
  <c r="O134" i="3"/>
  <c r="P134" i="3"/>
  <c r="R137" i="3"/>
  <c r="S137" i="3"/>
  <c r="S138" i="3" s="1"/>
  <c r="R138" i="3"/>
  <c r="R142" i="3"/>
  <c r="A154" i="3"/>
  <c r="A155" i="3" s="1"/>
  <c r="A156" i="3" s="1"/>
  <c r="A157" i="3" s="1"/>
  <c r="A158" i="3" s="1"/>
  <c r="A159" i="3" s="1"/>
  <c r="A160" i="3" s="1"/>
  <c r="A161" i="3" s="1"/>
  <c r="A162" i="3" s="1"/>
  <c r="A163" i="3" s="1"/>
  <c r="A164" i="3" s="1"/>
  <c r="A165" i="3" s="1"/>
  <c r="A166" i="3" s="1"/>
  <c r="A167" i="3" s="1"/>
  <c r="A168" i="3" s="1"/>
  <c r="A169" i="3" s="1"/>
  <c r="B155" i="3"/>
  <c r="D161" i="3"/>
  <c r="S159" i="3"/>
  <c r="E161" i="3"/>
  <c r="R160" i="3"/>
  <c r="S160" i="3"/>
  <c r="C161" i="3"/>
  <c r="D167" i="3"/>
  <c r="D171" i="3" s="1"/>
  <c r="K168" i="3"/>
  <c r="L168" i="3"/>
  <c r="M168" i="3"/>
  <c r="O168" i="3"/>
  <c r="P168" i="3"/>
  <c r="K169" i="3"/>
  <c r="L169" i="3"/>
  <c r="M169" i="3"/>
  <c r="O169" i="3"/>
  <c r="P169" i="3"/>
  <c r="A170" i="3"/>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L170" i="3"/>
  <c r="M170" i="3"/>
  <c r="O170" i="3"/>
  <c r="P170" i="3"/>
  <c r="C175" i="3"/>
  <c r="E175" i="3"/>
  <c r="S173" i="3"/>
  <c r="S174" i="3" s="1"/>
  <c r="R174" i="3"/>
  <c r="D175" i="3"/>
  <c r="S177" i="3"/>
  <c r="B185" i="3"/>
  <c r="S188" i="3"/>
  <c r="C191" i="3"/>
  <c r="C195" i="3" s="1"/>
  <c r="D191" i="3"/>
  <c r="E191" i="3"/>
  <c r="E195" i="3" s="1"/>
  <c r="G192" i="3"/>
  <c r="M192" i="3" s="1"/>
  <c r="L192" i="3"/>
  <c r="O192" i="3"/>
  <c r="P192" i="3"/>
  <c r="G193" i="3"/>
  <c r="M193" i="3" s="1"/>
  <c r="L193" i="3"/>
  <c r="O193" i="3"/>
  <c r="P193" i="3"/>
  <c r="G194" i="3"/>
  <c r="M194" i="3" s="1"/>
  <c r="L194" i="3"/>
  <c r="O194" i="3"/>
  <c r="P194" i="3"/>
  <c r="D195" i="3"/>
  <c r="S197" i="3"/>
  <c r="S198" i="3" s="1"/>
  <c r="R198" i="3"/>
  <c r="C199" i="3"/>
  <c r="S201" i="3"/>
  <c r="C216" i="3"/>
  <c r="R219" i="3"/>
  <c r="R220" i="3" s="1"/>
  <c r="S219" i="3"/>
  <c r="S220" i="3" s="1"/>
  <c r="P227" i="3"/>
  <c r="P229" i="3"/>
  <c r="B234" i="3"/>
  <c r="S237" i="3"/>
  <c r="E240" i="3"/>
  <c r="E243" i="3" s="1"/>
  <c r="C240" i="3"/>
  <c r="C243" i="3" s="1"/>
  <c r="D240" i="3"/>
  <c r="G241" i="3"/>
  <c r="M241" i="3" s="1"/>
  <c r="L241" i="3"/>
  <c r="O241" i="3"/>
  <c r="P241" i="3"/>
  <c r="G242" i="3"/>
  <c r="M242" i="3" s="1"/>
  <c r="L242" i="3"/>
  <c r="O242" i="3"/>
  <c r="P242" i="3"/>
  <c r="D243" i="3"/>
  <c r="D247" i="3"/>
  <c r="S245" i="3"/>
  <c r="R246" i="3"/>
  <c r="S246" i="3"/>
  <c r="C247" i="3"/>
  <c r="E247" i="3"/>
  <c r="S249" i="3"/>
  <c r="B258" i="3"/>
  <c r="S261" i="3"/>
  <c r="D264" i="3"/>
  <c r="D267" i="3" s="1"/>
  <c r="C264" i="3"/>
  <c r="C267" i="3" s="1"/>
  <c r="E264" i="3"/>
  <c r="G265" i="3"/>
  <c r="L265" i="3" s="1"/>
  <c r="M265" i="3"/>
  <c r="O265" i="3"/>
  <c r="P265" i="3"/>
  <c r="G266" i="3"/>
  <c r="L266" i="3" s="1"/>
  <c r="O266" i="3"/>
  <c r="P266" i="3"/>
  <c r="E267" i="3"/>
  <c r="C270" i="3"/>
  <c r="E270" i="3"/>
  <c r="S269" i="3"/>
  <c r="D270" i="3"/>
  <c r="S272" i="3"/>
  <c r="S274" i="3"/>
  <c r="B283" i="3"/>
  <c r="C289" i="3"/>
  <c r="E289" i="3"/>
  <c r="J24" i="2" s="1"/>
  <c r="G288" i="3"/>
  <c r="L288" i="3" s="1"/>
  <c r="O288" i="3"/>
  <c r="P288" i="3"/>
  <c r="D289" i="3"/>
  <c r="S291" i="3"/>
  <c r="B301" i="3"/>
  <c r="D307" i="3"/>
  <c r="E307" i="3"/>
  <c r="G306" i="3"/>
  <c r="L306" i="3" s="1"/>
  <c r="O306" i="3"/>
  <c r="P306" i="3"/>
  <c r="C307" i="3"/>
  <c r="S309" i="3"/>
  <c r="B317" i="3"/>
  <c r="K321" i="3"/>
  <c r="L321" i="3"/>
  <c r="M321" i="3"/>
  <c r="P321" i="3"/>
  <c r="G322" i="3"/>
  <c r="L322" i="3" s="1"/>
  <c r="O322" i="3"/>
  <c r="P322" i="3"/>
  <c r="O323" i="3"/>
  <c r="P323" i="3"/>
  <c r="O324" i="3"/>
  <c r="P324" i="3"/>
  <c r="E325" i="3"/>
  <c r="J26" i="2" s="1"/>
  <c r="K327" i="3"/>
  <c r="L327" i="3"/>
  <c r="M327" i="3"/>
  <c r="O327" i="3"/>
  <c r="P327" i="3"/>
  <c r="L329" i="3"/>
  <c r="B337" i="3"/>
  <c r="I338" i="3"/>
  <c r="P338" i="3" s="1"/>
  <c r="G340" i="3"/>
  <c r="H340" i="3"/>
  <c r="R340" i="3" s="1"/>
  <c r="I340" i="3"/>
  <c r="S340" i="3" s="1"/>
  <c r="D346" i="3"/>
  <c r="M343" i="3"/>
  <c r="K343" i="3"/>
  <c r="K346" i="3" s="1"/>
  <c r="P343" i="3"/>
  <c r="P346" i="3" s="1"/>
  <c r="P348" i="3" s="1"/>
  <c r="K344" i="3"/>
  <c r="L344" i="3"/>
  <c r="M344" i="3"/>
  <c r="O344" i="3"/>
  <c r="P344" i="3"/>
  <c r="G345" i="3"/>
  <c r="O345" i="3"/>
  <c r="P345" i="3"/>
  <c r="C346" i="3"/>
  <c r="D28" i="2" s="1"/>
  <c r="E346" i="3"/>
  <c r="K356" i="3"/>
  <c r="M356" i="3"/>
  <c r="L356" i="3"/>
  <c r="O356" i="3"/>
  <c r="D361" i="3"/>
  <c r="G359" i="3"/>
  <c r="G360" i="3"/>
  <c r="C361" i="3"/>
  <c r="E361" i="3"/>
  <c r="J34" i="2" s="1"/>
  <c r="L363" i="3"/>
  <c r="M363" i="3"/>
  <c r="M365" i="3"/>
  <c r="L365" i="3"/>
  <c r="L366" i="3"/>
  <c r="M366" i="3"/>
  <c r="O366" i="3"/>
  <c r="P366" i="3"/>
  <c r="E381" i="3"/>
  <c r="M378" i="3"/>
  <c r="L378" i="3"/>
  <c r="G379" i="3"/>
  <c r="L379" i="3" s="1"/>
  <c r="O379" i="3"/>
  <c r="P379" i="3"/>
  <c r="G380" i="3"/>
  <c r="L380" i="3" s="1"/>
  <c r="O380" i="3"/>
  <c r="P380" i="3"/>
  <c r="C381" i="3"/>
  <c r="D381" i="3"/>
  <c r="K381" i="3"/>
  <c r="E30" i="2" s="1"/>
  <c r="N389" i="3"/>
  <c r="A1" i="2"/>
  <c r="C9" i="2"/>
  <c r="D9" i="2"/>
  <c r="G9" i="2"/>
  <c r="J9" i="2"/>
  <c r="A10" i="2"/>
  <c r="A11" i="2" s="1"/>
  <c r="A12" i="2" s="1"/>
  <c r="A13" i="2" s="1"/>
  <c r="A14" i="2" s="1"/>
  <c r="A15" i="2" s="1"/>
  <c r="C12" i="2"/>
  <c r="G12" i="2"/>
  <c r="J12" i="2"/>
  <c r="R14" i="2"/>
  <c r="S12" i="2"/>
  <c r="C13" i="2"/>
  <c r="J13" i="2"/>
  <c r="R13" i="2"/>
  <c r="Y13" i="2"/>
  <c r="Z13" i="2" s="1"/>
  <c r="C14" i="2"/>
  <c r="C15" i="2"/>
  <c r="G15" i="2"/>
  <c r="N15" i="2"/>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3" i="2" s="1"/>
  <c r="A44" i="2" s="1"/>
  <c r="A45" i="2" s="1"/>
  <c r="A46" i="2" s="1"/>
  <c r="A47" i="2" s="1"/>
  <c r="C19" i="2"/>
  <c r="D19" i="2"/>
  <c r="G19" i="2"/>
  <c r="J19" i="2"/>
  <c r="R19" i="2"/>
  <c r="S19" i="2" s="1"/>
  <c r="Y19" i="2"/>
  <c r="Z19" i="2" s="1"/>
  <c r="C20" i="2"/>
  <c r="D20" i="2"/>
  <c r="G20" i="2"/>
  <c r="G22" i="2" s="1"/>
  <c r="J20" i="2"/>
  <c r="R20" i="2"/>
  <c r="Y20" i="2" s="1"/>
  <c r="Z20" i="2" s="1"/>
  <c r="S20" i="2"/>
  <c r="D21" i="2"/>
  <c r="D22" i="2" s="1"/>
  <c r="G21" i="2"/>
  <c r="D24" i="2"/>
  <c r="G24" i="2"/>
  <c r="S26" i="2"/>
  <c r="C28" i="2"/>
  <c r="D30" i="2"/>
  <c r="G30" i="2"/>
  <c r="J30" i="2"/>
  <c r="F32" i="2"/>
  <c r="I32" i="2"/>
  <c r="S34" i="2"/>
  <c r="S30" i="2"/>
  <c r="Z28" i="2"/>
  <c r="A2" i="2"/>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B9" i="1"/>
  <c r="B10" i="1" s="1"/>
  <c r="B11" i="1" s="1"/>
  <c r="B12" i="1" s="1"/>
  <c r="B13" i="1" s="1"/>
  <c r="G14" i="3"/>
  <c r="G15" i="3"/>
  <c r="G18" i="3"/>
  <c r="G19" i="3"/>
  <c r="P13" i="1"/>
  <c r="T13" i="1"/>
  <c r="X13" i="1"/>
  <c r="B16" i="1"/>
  <c r="G33" i="3"/>
  <c r="B17" i="1"/>
  <c r="G34" i="3"/>
  <c r="B18" i="1"/>
  <c r="B19" i="1"/>
  <c r="G37" i="3"/>
  <c r="P19" i="1"/>
  <c r="T19" i="1"/>
  <c r="X19" i="1"/>
  <c r="B20" i="1"/>
  <c r="G38" i="3"/>
  <c r="P20" i="1"/>
  <c r="T20" i="1"/>
  <c r="X20" i="1"/>
  <c r="B23" i="1"/>
  <c r="G53" i="3"/>
  <c r="B24" i="1"/>
  <c r="B25" i="1"/>
  <c r="G55" i="3"/>
  <c r="P25" i="1"/>
  <c r="T25" i="1"/>
  <c r="X25" i="1"/>
  <c r="B26" i="1"/>
  <c r="G56" i="3"/>
  <c r="P26" i="1"/>
  <c r="T26" i="1"/>
  <c r="X26" i="1"/>
  <c r="B27" i="1"/>
  <c r="B50" i="3" s="1"/>
  <c r="G57" i="3"/>
  <c r="P27" i="1"/>
  <c r="T27" i="1"/>
  <c r="X27" i="1"/>
  <c r="B28" i="1"/>
  <c r="B29" i="1"/>
  <c r="G29" i="1"/>
  <c r="J29" i="1"/>
  <c r="B30" i="1"/>
  <c r="G63" i="3"/>
  <c r="P30" i="1"/>
  <c r="X30" i="1"/>
  <c r="B31" i="1"/>
  <c r="G64" i="3"/>
  <c r="P31" i="1"/>
  <c r="X31" i="1"/>
  <c r="B32" i="1"/>
  <c r="B33" i="1"/>
  <c r="G67" i="3"/>
  <c r="B36" i="1"/>
  <c r="B37" i="1"/>
  <c r="B38" i="1"/>
  <c r="G82" i="3"/>
  <c r="P38" i="1"/>
  <c r="T38" i="1"/>
  <c r="X38" i="1"/>
  <c r="B39" i="1"/>
  <c r="B40" i="1"/>
  <c r="G88" i="3"/>
  <c r="P40" i="1"/>
  <c r="X40" i="1"/>
  <c r="B41" i="1"/>
  <c r="G105" i="3"/>
  <c r="P41" i="1"/>
  <c r="X41" i="1"/>
  <c r="B42" i="1"/>
  <c r="G110" i="3"/>
  <c r="B43" i="1"/>
  <c r="G89" i="3"/>
  <c r="P43" i="1"/>
  <c r="X43" i="1"/>
  <c r="B44" i="1"/>
  <c r="G106" i="3"/>
  <c r="P44" i="1"/>
  <c r="X44" i="1"/>
  <c r="B45" i="1"/>
  <c r="G111" i="3"/>
  <c r="B46" i="1"/>
  <c r="B47" i="1"/>
  <c r="G92" i="3"/>
  <c r="B48" i="1"/>
  <c r="B49" i="1"/>
  <c r="B50" i="1"/>
  <c r="G128" i="3"/>
  <c r="B51" i="1"/>
  <c r="B52" i="1"/>
  <c r="G150" i="3"/>
  <c r="I150" i="3" s="1"/>
  <c r="B53" i="1"/>
  <c r="B54" i="1"/>
  <c r="G137" i="3"/>
  <c r="P54" i="1"/>
  <c r="X54" i="1"/>
  <c r="B55" i="1"/>
  <c r="G138" i="3"/>
  <c r="P55" i="1"/>
  <c r="X55" i="1"/>
  <c r="B56" i="1"/>
  <c r="G131" i="3"/>
  <c r="P56" i="1"/>
  <c r="T56" i="1"/>
  <c r="X56" i="1"/>
  <c r="B57" i="1"/>
  <c r="G142" i="3"/>
  <c r="B60" i="1"/>
  <c r="G159" i="3"/>
  <c r="B61" i="1"/>
  <c r="G160" i="3"/>
  <c r="B62" i="1"/>
  <c r="B63" i="1"/>
  <c r="G163" i="3"/>
  <c r="P63" i="1"/>
  <c r="T63" i="1"/>
  <c r="X63" i="1"/>
  <c r="B64" i="1"/>
  <c r="G164" i="3"/>
  <c r="P64" i="1"/>
  <c r="T64" i="1"/>
  <c r="X64" i="1"/>
  <c r="B65" i="1"/>
  <c r="G165" i="3"/>
  <c r="P65" i="1"/>
  <c r="T65" i="1"/>
  <c r="X65" i="1"/>
  <c r="B66" i="1"/>
  <c r="G166" i="3"/>
  <c r="P66" i="1"/>
  <c r="T66" i="1"/>
  <c r="X66" i="1"/>
  <c r="B67" i="1"/>
  <c r="B68" i="1"/>
  <c r="G68" i="1"/>
  <c r="J68" i="1"/>
  <c r="B69" i="1"/>
  <c r="G173" i="3"/>
  <c r="P69" i="1"/>
  <c r="X69" i="1"/>
  <c r="B70" i="1"/>
  <c r="G174" i="3"/>
  <c r="P70" i="1"/>
  <c r="X70" i="1"/>
  <c r="B71" i="1"/>
  <c r="B72" i="1"/>
  <c r="G177" i="3"/>
  <c r="B75" i="1"/>
  <c r="G188" i="3"/>
  <c r="B76" i="1"/>
  <c r="B77" i="1"/>
  <c r="G190" i="3"/>
  <c r="P77" i="1"/>
  <c r="T77" i="1"/>
  <c r="X77" i="1"/>
  <c r="B78" i="1"/>
  <c r="B79" i="1"/>
  <c r="G197" i="3"/>
  <c r="P79" i="1"/>
  <c r="X79" i="1"/>
  <c r="B80" i="1"/>
  <c r="G214" i="3"/>
  <c r="O80" i="1"/>
  <c r="P80" i="1"/>
  <c r="W80" i="1"/>
  <c r="X80" i="1"/>
  <c r="B81" i="1"/>
  <c r="G219" i="3"/>
  <c r="B82" i="1"/>
  <c r="G198" i="3"/>
  <c r="P82" i="1"/>
  <c r="X82" i="1"/>
  <c r="B83" i="1"/>
  <c r="G215" i="3"/>
  <c r="O83" i="1"/>
  <c r="P83" i="1"/>
  <c r="W83" i="1"/>
  <c r="X83" i="1"/>
  <c r="B84" i="1"/>
  <c r="G220" i="3"/>
  <c r="B85" i="1"/>
  <c r="B86" i="1"/>
  <c r="G201" i="3"/>
  <c r="H201" i="3" s="1"/>
  <c r="F86" i="1" s="1"/>
  <c r="G86" i="1" s="1"/>
  <c r="B89" i="1"/>
  <c r="G237" i="3"/>
  <c r="B90" i="1"/>
  <c r="B91" i="1"/>
  <c r="G239" i="3"/>
  <c r="P91" i="1"/>
  <c r="T91" i="1"/>
  <c r="X91" i="1"/>
  <c r="B92" i="1"/>
  <c r="B93" i="1"/>
  <c r="G245" i="3"/>
  <c r="P93" i="1"/>
  <c r="X93" i="1"/>
  <c r="B94" i="1"/>
  <c r="G246" i="3"/>
  <c r="P94" i="1"/>
  <c r="X94" i="1"/>
  <c r="B95" i="1"/>
  <c r="B96" i="1"/>
  <c r="G249" i="3"/>
  <c r="B99" i="1"/>
  <c r="G261" i="3"/>
  <c r="B100" i="1"/>
  <c r="B101" i="1"/>
  <c r="G263" i="3"/>
  <c r="P101" i="1"/>
  <c r="T101" i="1"/>
  <c r="X101" i="1"/>
  <c r="B102" i="1"/>
  <c r="B103" i="1"/>
  <c r="G269" i="3"/>
  <c r="P103" i="1"/>
  <c r="X103" i="1"/>
  <c r="B104" i="1"/>
  <c r="B105" i="1"/>
  <c r="G272" i="3"/>
  <c r="B106" i="1"/>
  <c r="B107" i="1"/>
  <c r="G274" i="3"/>
  <c r="G338" i="3"/>
  <c r="F110" i="1"/>
  <c r="G110" i="1"/>
  <c r="I110" i="1"/>
  <c r="J110" i="1"/>
  <c r="A111" i="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B111" i="1"/>
  <c r="P111" i="1"/>
  <c r="T111" i="1"/>
  <c r="X111" i="1"/>
  <c r="B112" i="1"/>
  <c r="B113" i="1"/>
  <c r="B114" i="1" s="1"/>
  <c r="B115" i="1" s="1"/>
  <c r="B116" i="1" s="1"/>
  <c r="B117" i="1" s="1"/>
  <c r="B118" i="1" s="1"/>
  <c r="B119" i="1" s="1"/>
  <c r="B120" i="1" s="1"/>
  <c r="B121" i="1" s="1"/>
  <c r="B122" i="1" s="1"/>
  <c r="B123" i="1" s="1"/>
  <c r="I113" i="1"/>
  <c r="J113" i="1" s="1"/>
  <c r="G113" i="1"/>
  <c r="I116" i="1"/>
  <c r="J116" i="1" s="1"/>
  <c r="G116" i="1"/>
  <c r="I121" i="1"/>
  <c r="J121" i="1" s="1"/>
  <c r="I122" i="1"/>
  <c r="G122" i="1"/>
  <c r="J122" i="1"/>
  <c r="G123" i="1"/>
  <c r="I123" i="1"/>
  <c r="J123" i="1" s="1"/>
  <c r="B126" i="1"/>
  <c r="G287" i="3"/>
  <c r="P126" i="1"/>
  <c r="T126" i="1"/>
  <c r="X126" i="1"/>
  <c r="B127" i="1"/>
  <c r="B128" i="1"/>
  <c r="G291" i="3"/>
  <c r="P128" i="1"/>
  <c r="X128" i="1"/>
  <c r="B129" i="1"/>
  <c r="B130" i="1"/>
  <c r="B131" i="1"/>
  <c r="B134" i="1"/>
  <c r="G305" i="3"/>
  <c r="P134" i="1"/>
  <c r="T134" i="1"/>
  <c r="X134" i="1"/>
  <c r="B135" i="1"/>
  <c r="B136" i="1"/>
  <c r="G309" i="3"/>
  <c r="P136" i="1"/>
  <c r="X136" i="1"/>
  <c r="B139" i="1"/>
  <c r="G319" i="3"/>
  <c r="F139" i="1"/>
  <c r="F142" i="1" s="1"/>
  <c r="G142" i="1" s="1"/>
  <c r="G139" i="1"/>
  <c r="P139" i="1"/>
  <c r="T139" i="1"/>
  <c r="X139" i="1"/>
  <c r="B142" i="1"/>
  <c r="P142" i="1"/>
  <c r="T142" i="1"/>
  <c r="X142" i="1"/>
  <c r="B147" i="1"/>
  <c r="B148" i="1"/>
  <c r="B149" i="1" s="1"/>
  <c r="B150" i="1" s="1"/>
  <c r="B151" i="1" s="1"/>
  <c r="B152" i="1" s="1"/>
  <c r="B153" i="1" s="1"/>
  <c r="B154" i="1" s="1"/>
  <c r="B155" i="1" s="1"/>
  <c r="B156" i="1" s="1"/>
  <c r="P150" i="1"/>
  <c r="T150" i="1"/>
  <c r="X150" i="1"/>
  <c r="D152" i="1"/>
  <c r="D153" i="1"/>
  <c r="D155" i="1"/>
  <c r="D156" i="1"/>
  <c r="B159" i="1"/>
  <c r="B160" i="1" s="1"/>
  <c r="B161" i="1"/>
  <c r="B162" i="1"/>
  <c r="B163" i="1" s="1"/>
  <c r="B164" i="1" s="1"/>
  <c r="B165" i="1" s="1"/>
  <c r="B166" i="1" s="1"/>
  <c r="B167" i="1" s="1"/>
  <c r="B168" i="1" s="1"/>
  <c r="B169" i="1" s="1"/>
  <c r="B170" i="1" s="1"/>
  <c r="P162" i="1"/>
  <c r="T162" i="1"/>
  <c r="X162" i="1"/>
  <c r="D164" i="1"/>
  <c r="D165" i="1"/>
  <c r="D167" i="1"/>
  <c r="D168" i="1"/>
  <c r="C170" i="1"/>
  <c r="D170" i="1"/>
  <c r="B173" i="1"/>
  <c r="B174" i="1"/>
  <c r="B175" i="1" s="1"/>
  <c r="B176" i="1" s="1"/>
  <c r="B177" i="1" s="1"/>
  <c r="P176" i="1"/>
  <c r="T176" i="1"/>
  <c r="X176" i="1"/>
  <c r="B178" i="1"/>
  <c r="D178" i="1"/>
  <c r="B179" i="1"/>
  <c r="B180" i="1" s="1"/>
  <c r="B181" i="1" s="1"/>
  <c r="B182" i="1" s="1"/>
  <c r="B183" i="1" s="1"/>
  <c r="B184" i="1" s="1"/>
  <c r="D179" i="1"/>
  <c r="D180" i="1"/>
  <c r="D182" i="1"/>
  <c r="D183" i="1"/>
  <c r="D184" i="1"/>
  <c r="B188" i="1"/>
  <c r="B189" i="1" s="1"/>
  <c r="B190" i="1"/>
  <c r="B191" i="1"/>
  <c r="B192" i="1" s="1"/>
  <c r="B193" i="1" s="1"/>
  <c r="B194" i="1" s="1"/>
  <c r="B195" i="1" s="1"/>
  <c r="B196" i="1" s="1"/>
  <c r="B197" i="1" s="1"/>
  <c r="B198" i="1" s="1"/>
  <c r="B199" i="1" s="1"/>
  <c r="P191" i="1"/>
  <c r="T191" i="1"/>
  <c r="X191" i="1"/>
  <c r="D193" i="1"/>
  <c r="D194" i="1"/>
  <c r="D196" i="1"/>
  <c r="D197" i="1"/>
  <c r="C199" i="1"/>
  <c r="D199" i="1"/>
  <c r="U24" i="8" l="1"/>
  <c r="X24" i="8" s="1"/>
  <c r="T27" i="8"/>
  <c r="E27" i="8"/>
  <c r="F114" i="1"/>
  <c r="G112" i="1"/>
  <c r="G118" i="1"/>
  <c r="I118" i="1"/>
  <c r="J118" i="1" s="1"/>
  <c r="G115" i="1"/>
  <c r="I115" i="1"/>
  <c r="J115" i="1" s="1"/>
  <c r="L305" i="3"/>
  <c r="L307" i="3" s="1"/>
  <c r="K305" i="3"/>
  <c r="K307" i="3" s="1"/>
  <c r="M305" i="3"/>
  <c r="K338" i="3"/>
  <c r="L338" i="3"/>
  <c r="M338" i="3"/>
  <c r="K291" i="3"/>
  <c r="K293" i="3" s="1"/>
  <c r="L291" i="3"/>
  <c r="G298" i="3"/>
  <c r="H291" i="3"/>
  <c r="M291" i="3"/>
  <c r="G121" i="1"/>
  <c r="I112" i="1"/>
  <c r="J112" i="1" s="1"/>
  <c r="L309" i="3"/>
  <c r="L311" i="3" s="1"/>
  <c r="H309" i="3"/>
  <c r="K309" i="3"/>
  <c r="M309" i="3"/>
  <c r="L249" i="3"/>
  <c r="K249" i="3"/>
  <c r="M249" i="3"/>
  <c r="H249" i="3"/>
  <c r="H245" i="3"/>
  <c r="K245" i="3"/>
  <c r="L245" i="3"/>
  <c r="M245" i="3"/>
  <c r="M247" i="3" s="1"/>
  <c r="K166" i="3"/>
  <c r="L166" i="3"/>
  <c r="M166" i="3"/>
  <c r="L160" i="3"/>
  <c r="M160" i="3"/>
  <c r="H160" i="3"/>
  <c r="K160" i="3"/>
  <c r="S14" i="2"/>
  <c r="Y14" i="2"/>
  <c r="Z14" i="2" s="1"/>
  <c r="L381" i="3"/>
  <c r="L274" i="3"/>
  <c r="H274" i="3"/>
  <c r="K274" i="3"/>
  <c r="M274" i="3"/>
  <c r="L190" i="3"/>
  <c r="L191" i="3" s="1"/>
  <c r="L195" i="3" s="1"/>
  <c r="K190" i="3"/>
  <c r="K191" i="3" s="1"/>
  <c r="K195" i="3" s="1"/>
  <c r="M190" i="3"/>
  <c r="M191" i="3" s="1"/>
  <c r="M195" i="3" s="1"/>
  <c r="M174" i="3"/>
  <c r="H174" i="3"/>
  <c r="K174" i="3"/>
  <c r="L174" i="3"/>
  <c r="L173" i="3"/>
  <c r="K173" i="3"/>
  <c r="K175" i="3" s="1"/>
  <c r="G181" i="3" s="1"/>
  <c r="M173" i="3"/>
  <c r="M175" i="3" s="1"/>
  <c r="H173" i="3"/>
  <c r="L164" i="3"/>
  <c r="K164" i="3"/>
  <c r="G180" i="3" s="1"/>
  <c r="M164" i="3"/>
  <c r="I151" i="3"/>
  <c r="I152" i="3" s="1"/>
  <c r="I52" i="1"/>
  <c r="G42" i="7"/>
  <c r="G14" i="7"/>
  <c r="G75" i="7"/>
  <c r="K14" i="3"/>
  <c r="K16" i="3" s="1"/>
  <c r="M14" i="3"/>
  <c r="H14" i="3"/>
  <c r="L14" i="3"/>
  <c r="L360" i="3"/>
  <c r="M360" i="3"/>
  <c r="L345" i="3"/>
  <c r="M345" i="3"/>
  <c r="M346" i="3" s="1"/>
  <c r="M348" i="3" s="1"/>
  <c r="K348" i="3"/>
  <c r="J42" i="4"/>
  <c r="I42" i="6"/>
  <c r="I28" i="5"/>
  <c r="L272" i="3"/>
  <c r="M272" i="3"/>
  <c r="H272" i="3"/>
  <c r="K272" i="3"/>
  <c r="K219" i="3"/>
  <c r="K221" i="3" s="1"/>
  <c r="L219" i="3"/>
  <c r="L165" i="3"/>
  <c r="K165" i="3"/>
  <c r="M165" i="3"/>
  <c r="L142" i="3"/>
  <c r="L143" i="3" s="1"/>
  <c r="H142" i="3"/>
  <c r="G143" i="3"/>
  <c r="K142" i="3"/>
  <c r="K143" i="3" s="1"/>
  <c r="L138" i="3"/>
  <c r="K138" i="3"/>
  <c r="H138" i="3"/>
  <c r="K137" i="3"/>
  <c r="K139" i="3" s="1"/>
  <c r="H137" i="3"/>
  <c r="L137" i="3"/>
  <c r="M137" i="3"/>
  <c r="M56" i="3"/>
  <c r="L56" i="3"/>
  <c r="K56" i="3"/>
  <c r="M37" i="3"/>
  <c r="L37" i="3"/>
  <c r="K37" i="3"/>
  <c r="L319" i="3"/>
  <c r="K319" i="3"/>
  <c r="M319" i="3"/>
  <c r="R319" i="3"/>
  <c r="G297" i="3"/>
  <c r="K287" i="3"/>
  <c r="K289" i="3" s="1"/>
  <c r="L287" i="3"/>
  <c r="L289" i="3" s="1"/>
  <c r="M287" i="3"/>
  <c r="M220" i="3"/>
  <c r="K220" i="3"/>
  <c r="L220" i="3"/>
  <c r="G108" i="7"/>
  <c r="L33" i="3"/>
  <c r="H33" i="3"/>
  <c r="K33" i="3"/>
  <c r="M33" i="3"/>
  <c r="I46" i="6"/>
  <c r="I30" i="5"/>
  <c r="J46" i="4"/>
  <c r="L359" i="3"/>
  <c r="M359" i="3"/>
  <c r="F36" i="5"/>
  <c r="G52" i="4"/>
  <c r="H52" i="4" s="1"/>
  <c r="N111" i="1" s="1"/>
  <c r="F52" i="6"/>
  <c r="G28" i="2"/>
  <c r="M329" i="3"/>
  <c r="P329" i="3" s="1"/>
  <c r="O329" i="3"/>
  <c r="C325" i="3"/>
  <c r="O201" i="3"/>
  <c r="I201" i="3"/>
  <c r="K131" i="3"/>
  <c r="K132" i="3" s="1"/>
  <c r="K135" i="3" s="1"/>
  <c r="G132" i="3"/>
  <c r="K110" i="3"/>
  <c r="M105" i="3"/>
  <c r="L105" i="3"/>
  <c r="K105" i="3"/>
  <c r="A2" i="7"/>
  <c r="A2" i="3"/>
  <c r="A2" i="4" s="1"/>
  <c r="A2" i="5" s="1"/>
  <c r="A2" i="6" s="1"/>
  <c r="L246" i="3"/>
  <c r="H246" i="3"/>
  <c r="K246" i="3"/>
  <c r="M246" i="3"/>
  <c r="K237" i="3"/>
  <c r="L237" i="3"/>
  <c r="H237" i="3"/>
  <c r="M237" i="3"/>
  <c r="M215" i="3"/>
  <c r="K215" i="3"/>
  <c r="L215" i="3"/>
  <c r="K198" i="3"/>
  <c r="H198" i="3"/>
  <c r="M198" i="3"/>
  <c r="G225" i="3"/>
  <c r="K214" i="3"/>
  <c r="K216" i="3" s="1"/>
  <c r="K223" i="3" s="1"/>
  <c r="M214" i="3"/>
  <c r="L214" i="3"/>
  <c r="L216" i="3" s="1"/>
  <c r="M159" i="3"/>
  <c r="H159" i="3"/>
  <c r="K159" i="3"/>
  <c r="L159" i="3"/>
  <c r="L161" i="3" s="1"/>
  <c r="H92" i="3"/>
  <c r="K92" i="3"/>
  <c r="M92" i="3"/>
  <c r="K263" i="3"/>
  <c r="K264" i="3" s="1"/>
  <c r="K267" i="3" s="1"/>
  <c r="L263" i="3"/>
  <c r="L264" i="3" s="1"/>
  <c r="L267" i="3" s="1"/>
  <c r="M263" i="3"/>
  <c r="M264" i="3" s="1"/>
  <c r="K197" i="3"/>
  <c r="K199" i="3" s="1"/>
  <c r="G207" i="3" s="1"/>
  <c r="H197" i="3"/>
  <c r="G224" i="3"/>
  <c r="M177" i="3"/>
  <c r="H177" i="3"/>
  <c r="K177" i="3"/>
  <c r="L177" i="3"/>
  <c r="G15" i="7"/>
  <c r="G76" i="7"/>
  <c r="G43" i="7"/>
  <c r="M15" i="3"/>
  <c r="H15" i="3"/>
  <c r="K15" i="3"/>
  <c r="L15" i="3"/>
  <c r="F32" i="5"/>
  <c r="G32" i="5" s="1"/>
  <c r="F48" i="6"/>
  <c r="G48" i="4"/>
  <c r="G34" i="2"/>
  <c r="K269" i="3"/>
  <c r="K270" i="3" s="1"/>
  <c r="G280" i="3" s="1"/>
  <c r="L269" i="3"/>
  <c r="L270" i="3" s="1"/>
  <c r="H269" i="3"/>
  <c r="M269" i="3"/>
  <c r="M270" i="3" s="1"/>
  <c r="M261" i="3"/>
  <c r="H261" i="3"/>
  <c r="K261" i="3"/>
  <c r="K276" i="3" s="1"/>
  <c r="L261" i="3"/>
  <c r="H64" i="3"/>
  <c r="K64" i="3"/>
  <c r="M64" i="3"/>
  <c r="L64" i="3"/>
  <c r="S9" i="2"/>
  <c r="Y9" i="2"/>
  <c r="J38" i="4"/>
  <c r="I38" i="6"/>
  <c r="I26" i="5"/>
  <c r="F30" i="5"/>
  <c r="G30" i="5" s="1"/>
  <c r="G46" i="4"/>
  <c r="F46" i="6"/>
  <c r="I34" i="6"/>
  <c r="I24" i="5"/>
  <c r="J34" i="4"/>
  <c r="K239" i="3"/>
  <c r="K240" i="3" s="1"/>
  <c r="K243" i="3" s="1"/>
  <c r="K82" i="3"/>
  <c r="K83" i="3" s="1"/>
  <c r="K86" i="3" s="1"/>
  <c r="K55" i="3"/>
  <c r="L55" i="3"/>
  <c r="M55" i="3"/>
  <c r="K38" i="3"/>
  <c r="M38" i="3"/>
  <c r="L38" i="3"/>
  <c r="D34" i="2"/>
  <c r="Z26" i="2"/>
  <c r="P356" i="3"/>
  <c r="O343" i="3"/>
  <c r="O346" i="3" s="1"/>
  <c r="S338" i="3"/>
  <c r="E216" i="3"/>
  <c r="F23" i="6"/>
  <c r="G23" i="4"/>
  <c r="L92" i="3"/>
  <c r="K106" i="3"/>
  <c r="H88" i="3"/>
  <c r="K88" i="3"/>
  <c r="G115" i="3"/>
  <c r="G80" i="3"/>
  <c r="G127" i="3"/>
  <c r="H53" i="3"/>
  <c r="M53" i="3"/>
  <c r="K53" i="3"/>
  <c r="L53" i="3"/>
  <c r="Z30" i="2"/>
  <c r="S28" i="2"/>
  <c r="J21" i="2"/>
  <c r="J22" i="2" s="1"/>
  <c r="R15" i="2"/>
  <c r="R338" i="3"/>
  <c r="G323" i="3"/>
  <c r="P325" i="3"/>
  <c r="F28" i="5"/>
  <c r="F42" i="6"/>
  <c r="G42" i="4"/>
  <c r="I22" i="5"/>
  <c r="J22" i="5" s="1"/>
  <c r="J30" i="4"/>
  <c r="I30" i="6"/>
  <c r="D216" i="3"/>
  <c r="D199" i="3"/>
  <c r="I23" i="6"/>
  <c r="J23" i="4"/>
  <c r="L163" i="3"/>
  <c r="M163" i="3"/>
  <c r="M167" i="3" s="1"/>
  <c r="M171" i="3" s="1"/>
  <c r="K163" i="3"/>
  <c r="H128" i="3"/>
  <c r="M128" i="3"/>
  <c r="H67" i="3"/>
  <c r="L67" i="3"/>
  <c r="M67" i="3"/>
  <c r="K67" i="3"/>
  <c r="L63" i="3"/>
  <c r="K63" i="3"/>
  <c r="K65" i="3" s="1"/>
  <c r="G74" i="3" s="1"/>
  <c r="M63" i="3"/>
  <c r="M65" i="3" s="1"/>
  <c r="H63" i="3"/>
  <c r="Z34" i="2"/>
  <c r="R24" i="2"/>
  <c r="Y12" i="2"/>
  <c r="Z12" i="2" s="1"/>
  <c r="L343" i="3"/>
  <c r="L346" i="3" s="1"/>
  <c r="L348" i="3" s="1"/>
  <c r="H28" i="2" s="1"/>
  <c r="J35" i="4"/>
  <c r="I35" i="6"/>
  <c r="M266" i="3"/>
  <c r="D221" i="3"/>
  <c r="I20" i="5"/>
  <c r="J26" i="4"/>
  <c r="I26" i="6"/>
  <c r="J26" i="6" s="1"/>
  <c r="A1" i="7"/>
  <c r="A1" i="3"/>
  <c r="A1" i="4" s="1"/>
  <c r="A1" i="5" s="1"/>
  <c r="A1" i="6" s="1"/>
  <c r="O338" i="3"/>
  <c r="G324" i="3"/>
  <c r="J43" i="4"/>
  <c r="I43" i="6"/>
  <c r="P228" i="3"/>
  <c r="O230" i="3"/>
  <c r="L198" i="3"/>
  <c r="H74" i="4"/>
  <c r="E44" i="6" s="1"/>
  <c r="E42" i="6" s="1"/>
  <c r="G42" i="6" s="1"/>
  <c r="V134" i="1" s="1"/>
  <c r="G75" i="4"/>
  <c r="H73" i="4" s="1"/>
  <c r="L239" i="3"/>
  <c r="L240" i="3" s="1"/>
  <c r="L243" i="3" s="1"/>
  <c r="M239" i="3"/>
  <c r="M240" i="3" s="1"/>
  <c r="M243" i="3" s="1"/>
  <c r="H150" i="3"/>
  <c r="G151" i="3"/>
  <c r="G152" i="3" s="1"/>
  <c r="H89" i="3"/>
  <c r="K89" i="3"/>
  <c r="L19" i="3"/>
  <c r="K19" i="3"/>
  <c r="M19" i="3"/>
  <c r="R21" i="2"/>
  <c r="M380" i="3"/>
  <c r="M379" i="3"/>
  <c r="M381" i="3" s="1"/>
  <c r="K325" i="3"/>
  <c r="K331" i="3" s="1"/>
  <c r="F31" i="6"/>
  <c r="G31" i="4"/>
  <c r="L228" i="3"/>
  <c r="C221" i="3"/>
  <c r="G116" i="3"/>
  <c r="I32" i="5"/>
  <c r="I48" i="6"/>
  <c r="J48" i="4"/>
  <c r="I52" i="6"/>
  <c r="J52" i="6" s="1"/>
  <c r="I36" i="5"/>
  <c r="J52" i="4"/>
  <c r="I38" i="5"/>
  <c r="I54" i="6"/>
  <c r="J54" i="4"/>
  <c r="M322" i="3"/>
  <c r="J39" i="4"/>
  <c r="I39" i="6"/>
  <c r="F34" i="6"/>
  <c r="G34" i="4"/>
  <c r="F24" i="5"/>
  <c r="G24" i="5" s="1"/>
  <c r="R101" i="1" s="1"/>
  <c r="I31" i="6"/>
  <c r="J31" i="4"/>
  <c r="M227" i="3"/>
  <c r="P230" i="3"/>
  <c r="M229" i="3" s="1"/>
  <c r="I15" i="6"/>
  <c r="J15" i="4"/>
  <c r="L201" i="3"/>
  <c r="M201" i="3"/>
  <c r="L188" i="3"/>
  <c r="H188" i="3"/>
  <c r="K188" i="3"/>
  <c r="M111" i="3"/>
  <c r="K111" i="3"/>
  <c r="L111" i="3"/>
  <c r="K57" i="3"/>
  <c r="M57" i="3"/>
  <c r="L57" i="3"/>
  <c r="M34" i="3"/>
  <c r="G109" i="7"/>
  <c r="H34" i="3"/>
  <c r="K34" i="3"/>
  <c r="L34" i="3"/>
  <c r="L18" i="3"/>
  <c r="L20" i="3" s="1"/>
  <c r="L23" i="3" s="1"/>
  <c r="K18" i="3"/>
  <c r="K20" i="3" s="1"/>
  <c r="K23" i="3" s="1"/>
  <c r="K24" i="3" s="1"/>
  <c r="M18" i="3"/>
  <c r="M20" i="3" s="1"/>
  <c r="J28" i="2"/>
  <c r="D325" i="3"/>
  <c r="O321" i="3"/>
  <c r="O325" i="3" s="1"/>
  <c r="O331" i="3" s="1"/>
  <c r="O319" i="3"/>
  <c r="I319" i="3"/>
  <c r="M306" i="3"/>
  <c r="M288" i="3"/>
  <c r="K201" i="3"/>
  <c r="M188" i="3"/>
  <c r="E167" i="3"/>
  <c r="E171" i="3" s="1"/>
  <c r="F38" i="6"/>
  <c r="G38" i="4"/>
  <c r="F26" i="5"/>
  <c r="E221" i="3"/>
  <c r="D58" i="3"/>
  <c r="D61" i="3" s="1"/>
  <c r="I32" i="4"/>
  <c r="I46" i="4"/>
  <c r="K46" i="4" s="1"/>
  <c r="I20" i="4"/>
  <c r="F35" i="6"/>
  <c r="G35" i="4"/>
  <c r="F30" i="6"/>
  <c r="F22" i="5"/>
  <c r="G30" i="4"/>
  <c r="E128" i="3"/>
  <c r="L119" i="3"/>
  <c r="P119" i="3"/>
  <c r="F10" i="5"/>
  <c r="F10" i="6"/>
  <c r="G10" i="4"/>
  <c r="L9" i="3"/>
  <c r="O9" i="3"/>
  <c r="R9" i="3" s="1"/>
  <c r="F20" i="5"/>
  <c r="G26" i="4"/>
  <c r="F26" i="6"/>
  <c r="F22" i="6"/>
  <c r="G22" i="4"/>
  <c r="F18" i="5"/>
  <c r="C128" i="3"/>
  <c r="K128" i="3" s="1"/>
  <c r="L41" i="3"/>
  <c r="M41" i="3"/>
  <c r="I10" i="6"/>
  <c r="J10" i="4"/>
  <c r="I10" i="5"/>
  <c r="H46" i="4"/>
  <c r="C90" i="3"/>
  <c r="C388" i="3" s="1"/>
  <c r="D139" i="3"/>
  <c r="E139" i="3"/>
  <c r="I12" i="6"/>
  <c r="J12" i="4"/>
  <c r="I12" i="5"/>
  <c r="F43" i="6"/>
  <c r="G43" i="4"/>
  <c r="C132" i="3"/>
  <c r="C135" i="3" s="1"/>
  <c r="L131" i="3"/>
  <c r="L132" i="3" s="1"/>
  <c r="L135" i="3" s="1"/>
  <c r="M131" i="3"/>
  <c r="M132" i="3" s="1"/>
  <c r="M135" i="3" s="1"/>
  <c r="O121" i="3"/>
  <c r="L118" i="3" s="1"/>
  <c r="E107" i="3"/>
  <c r="L60" i="3"/>
  <c r="M60" i="3"/>
  <c r="G89" i="7"/>
  <c r="G26" i="7"/>
  <c r="G56" i="7"/>
  <c r="M22" i="3"/>
  <c r="G122" i="7"/>
  <c r="L22" i="3"/>
  <c r="K52" i="4"/>
  <c r="F39" i="6"/>
  <c r="G39" i="4"/>
  <c r="C167" i="3"/>
  <c r="C171" i="3" s="1"/>
  <c r="E112" i="3"/>
  <c r="C112" i="3"/>
  <c r="L40" i="3"/>
  <c r="M40" i="3"/>
  <c r="G88" i="7"/>
  <c r="G25" i="7"/>
  <c r="G55" i="7"/>
  <c r="G121" i="7"/>
  <c r="M21" i="3"/>
  <c r="L21" i="3"/>
  <c r="E38" i="5"/>
  <c r="H38" i="5"/>
  <c r="J38" i="5" s="1"/>
  <c r="I14" i="6"/>
  <c r="I14" i="5"/>
  <c r="J14" i="4"/>
  <c r="L59" i="3"/>
  <c r="M59" i="3"/>
  <c r="G42" i="3"/>
  <c r="J69" i="4"/>
  <c r="I36" i="4"/>
  <c r="E20" i="5"/>
  <c r="G20" i="5" s="1"/>
  <c r="R77" i="1" s="1"/>
  <c r="H20" i="5"/>
  <c r="J20" i="5" s="1"/>
  <c r="D34" i="5"/>
  <c r="D40" i="5" s="1"/>
  <c r="L120" i="3"/>
  <c r="D43" i="6"/>
  <c r="C55" i="7"/>
  <c r="C57" i="7" s="1"/>
  <c r="C56" i="7"/>
  <c r="F12" i="6"/>
  <c r="F12" i="5"/>
  <c r="G12" i="5" s="1"/>
  <c r="R19" i="1" s="1"/>
  <c r="G12" i="4"/>
  <c r="J12" i="5"/>
  <c r="I24" i="4"/>
  <c r="G56" i="5"/>
  <c r="G55" i="5"/>
  <c r="G57" i="5" s="1"/>
  <c r="J30" i="5"/>
  <c r="C139" i="3"/>
  <c r="G15" i="4"/>
  <c r="F15" i="6"/>
  <c r="C43" i="3"/>
  <c r="J73" i="4"/>
  <c r="J68" i="4"/>
  <c r="F54" i="4"/>
  <c r="F48" i="4"/>
  <c r="H48" i="4" s="1"/>
  <c r="H24" i="5"/>
  <c r="J24" i="5" s="1"/>
  <c r="F28" i="4"/>
  <c r="J36" i="5"/>
  <c r="J32" i="5"/>
  <c r="G36" i="5"/>
  <c r="R111" i="1" s="1"/>
  <c r="G28" i="5"/>
  <c r="R134" i="1" s="1"/>
  <c r="C58" i="3"/>
  <c r="C61" i="3" s="1"/>
  <c r="G70" i="4"/>
  <c r="H68" i="4" s="1"/>
  <c r="F40" i="4"/>
  <c r="F36" i="4"/>
  <c r="F32" i="4"/>
  <c r="F10" i="4"/>
  <c r="I10" i="4"/>
  <c r="D56" i="4"/>
  <c r="H34" i="6"/>
  <c r="J34" i="6" s="1"/>
  <c r="E31" i="6"/>
  <c r="G31" i="6" s="1"/>
  <c r="V93" i="1" s="1"/>
  <c r="V94" i="1" s="1"/>
  <c r="H27" i="6"/>
  <c r="E28" i="6"/>
  <c r="E27" i="6" s="1"/>
  <c r="E36" i="6"/>
  <c r="E35" i="6" s="1"/>
  <c r="G35" i="6" s="1"/>
  <c r="V103" i="1" s="1"/>
  <c r="E10" i="6"/>
  <c r="E48" i="6"/>
  <c r="G48" i="6" s="1"/>
  <c r="E32" i="6"/>
  <c r="E30" i="6" s="1"/>
  <c r="G30" i="6" s="1"/>
  <c r="V91" i="1" s="1"/>
  <c r="E20" i="6"/>
  <c r="E19" i="6" s="1"/>
  <c r="J35" i="6"/>
  <c r="J74" i="4"/>
  <c r="I44" i="4" s="1"/>
  <c r="I54" i="4"/>
  <c r="I48" i="4"/>
  <c r="K48" i="4" s="1"/>
  <c r="J14" i="5"/>
  <c r="G10" i="5"/>
  <c r="R12" i="1" s="1"/>
  <c r="L113" i="7"/>
  <c r="L120" i="7" s="1"/>
  <c r="D120" i="7"/>
  <c r="F20" i="4"/>
  <c r="F12" i="4"/>
  <c r="H12" i="4" s="1"/>
  <c r="N19" i="1" s="1"/>
  <c r="I12" i="4"/>
  <c r="K12" i="4" s="1"/>
  <c r="E26" i="6"/>
  <c r="G26" i="6" s="1"/>
  <c r="V77" i="1" s="1"/>
  <c r="I40" i="4"/>
  <c r="E26" i="5"/>
  <c r="G26" i="5" s="1"/>
  <c r="R126" i="1" s="1"/>
  <c r="H28" i="5"/>
  <c r="J28" i="5" s="1"/>
  <c r="E12" i="6"/>
  <c r="G12" i="6" s="1"/>
  <c r="V19" i="1" s="1"/>
  <c r="C121" i="7"/>
  <c r="C122" i="7"/>
  <c r="C123" i="7"/>
  <c r="I28" i="4"/>
  <c r="G22" i="5"/>
  <c r="R91" i="1" s="1"/>
  <c r="E52" i="6"/>
  <c r="G52" i="6" s="1"/>
  <c r="V111" i="1" s="1"/>
  <c r="E46" i="6"/>
  <c r="G46" i="6" s="1"/>
  <c r="M87" i="7"/>
  <c r="H10" i="5"/>
  <c r="D87" i="7"/>
  <c r="K87" i="7"/>
  <c r="L54" i="7"/>
  <c r="J10" i="6"/>
  <c r="H46" i="6"/>
  <c r="J46" i="6" s="1"/>
  <c r="H44" i="6"/>
  <c r="H42" i="6" s="1"/>
  <c r="J42" i="6" s="1"/>
  <c r="H18" i="6"/>
  <c r="H16" i="5"/>
  <c r="H54" i="6"/>
  <c r="J54" i="6" s="1"/>
  <c r="H12" i="6"/>
  <c r="J12" i="6" s="1"/>
  <c r="E18" i="5"/>
  <c r="H32" i="6"/>
  <c r="H31" i="6" s="1"/>
  <c r="J31" i="6" s="1"/>
  <c r="H20" i="6"/>
  <c r="H19" i="6" s="1"/>
  <c r="E54" i="7"/>
  <c r="E57" i="7" s="1"/>
  <c r="L24" i="7"/>
  <c r="H48" i="6"/>
  <c r="J48" i="6" s="1"/>
  <c r="C88" i="7"/>
  <c r="K54" i="7"/>
  <c r="C90" i="7"/>
  <c r="C89" i="7"/>
  <c r="D57" i="7"/>
  <c r="D27" i="7"/>
  <c r="C24" i="7"/>
  <c r="M81" i="7"/>
  <c r="U25" i="8" l="1"/>
  <c r="X25" i="8" s="1"/>
  <c r="E26" i="2"/>
  <c r="K30" i="2"/>
  <c r="K42" i="4"/>
  <c r="K43" i="4"/>
  <c r="F16" i="4"/>
  <c r="K28" i="2"/>
  <c r="G10" i="6"/>
  <c r="V12" i="1" s="1"/>
  <c r="M93" i="7"/>
  <c r="K10" i="4"/>
  <c r="E18" i="6"/>
  <c r="H54" i="4"/>
  <c r="N139" i="1" s="1"/>
  <c r="N142" i="1" s="1"/>
  <c r="R20" i="1"/>
  <c r="R191" i="1"/>
  <c r="K54" i="4"/>
  <c r="H10" i="4"/>
  <c r="N12" i="1" s="1"/>
  <c r="K88" i="7"/>
  <c r="K90" i="7" s="1"/>
  <c r="K91" i="7" s="1"/>
  <c r="G91" i="7" s="1"/>
  <c r="M88" i="7"/>
  <c r="L88" i="7"/>
  <c r="L90" i="7" s="1"/>
  <c r="L89" i="3"/>
  <c r="D107" i="3"/>
  <c r="H151" i="3"/>
  <c r="H152" i="3" s="1"/>
  <c r="F52" i="1"/>
  <c r="G52" i="1" s="1"/>
  <c r="K167" i="3"/>
  <c r="K171" i="3" s="1"/>
  <c r="G179" i="3"/>
  <c r="H105" i="3"/>
  <c r="H115" i="3" s="1"/>
  <c r="I88" i="3"/>
  <c r="F40" i="1"/>
  <c r="G40" i="1" s="1"/>
  <c r="L58" i="3"/>
  <c r="L61" i="3" s="1"/>
  <c r="L69" i="3" s="1"/>
  <c r="L276" i="3"/>
  <c r="L43" i="7"/>
  <c r="M43" i="7"/>
  <c r="K43" i="7"/>
  <c r="D160" i="1"/>
  <c r="O237" i="3"/>
  <c r="I237" i="3"/>
  <c r="F89" i="1"/>
  <c r="G89" i="1" s="1"/>
  <c r="K35" i="3"/>
  <c r="O137" i="3"/>
  <c r="O139" i="3" s="1"/>
  <c r="I137" i="3"/>
  <c r="F54" i="1"/>
  <c r="H143" i="3"/>
  <c r="F57" i="1" s="1"/>
  <c r="G57" i="1" s="1"/>
  <c r="I142" i="3"/>
  <c r="O142" i="3"/>
  <c r="O143" i="3" s="1"/>
  <c r="M219" i="3"/>
  <c r="M221" i="3" s="1"/>
  <c r="M14" i="7"/>
  <c r="K14" i="7"/>
  <c r="K16" i="7" s="1"/>
  <c r="L14" i="7"/>
  <c r="D147" i="1"/>
  <c r="I173" i="3"/>
  <c r="O173" i="3"/>
  <c r="O175" i="3" s="1"/>
  <c r="H181" i="3" s="1"/>
  <c r="F69" i="1"/>
  <c r="G69" i="1" s="1"/>
  <c r="K247" i="3"/>
  <c r="G255" i="3" s="1"/>
  <c r="O309" i="3"/>
  <c r="I309" i="3"/>
  <c r="F136" i="1"/>
  <c r="G136" i="1" s="1"/>
  <c r="R13" i="1"/>
  <c r="R150" i="1"/>
  <c r="R162" i="1" s="1"/>
  <c r="R176" i="1" s="1"/>
  <c r="H69" i="4"/>
  <c r="L42" i="3"/>
  <c r="M42" i="3"/>
  <c r="L25" i="7"/>
  <c r="M25" i="7"/>
  <c r="K25" i="7"/>
  <c r="K27" i="7" s="1"/>
  <c r="K28" i="7" s="1"/>
  <c r="K89" i="7"/>
  <c r="M89" i="7"/>
  <c r="M90" i="7" s="1"/>
  <c r="M91" i="7" s="1"/>
  <c r="L89" i="7"/>
  <c r="J70" i="4"/>
  <c r="I18" i="5"/>
  <c r="J18" i="5" s="1"/>
  <c r="I22" i="6"/>
  <c r="J22" i="4"/>
  <c r="J15" i="2"/>
  <c r="F54" i="6"/>
  <c r="G54" i="6" s="1"/>
  <c r="V139" i="1" s="1"/>
  <c r="V142" i="1" s="1"/>
  <c r="F38" i="5"/>
  <c r="G54" i="4"/>
  <c r="G26" i="2"/>
  <c r="H26" i="5"/>
  <c r="J26" i="5" s="1"/>
  <c r="D123" i="7"/>
  <c r="H30" i="4"/>
  <c r="N91" i="1" s="1"/>
  <c r="H31" i="4"/>
  <c r="N93" i="1" s="1"/>
  <c r="N94" i="1" s="1"/>
  <c r="F44" i="4"/>
  <c r="J75" i="4"/>
  <c r="G38" i="5"/>
  <c r="R139" i="1" s="1"/>
  <c r="R142" i="1" s="1"/>
  <c r="D128" i="3"/>
  <c r="L128" i="3" s="1"/>
  <c r="H109" i="7"/>
  <c r="O34" i="3"/>
  <c r="I34" i="3"/>
  <c r="F17" i="1"/>
  <c r="G17" i="1" s="1"/>
  <c r="O53" i="3"/>
  <c r="I53" i="3"/>
  <c r="F23" i="1"/>
  <c r="G23" i="1" s="1"/>
  <c r="L106" i="3"/>
  <c r="G73" i="3"/>
  <c r="K58" i="3"/>
  <c r="K61" i="3" s="1"/>
  <c r="E21" i="2"/>
  <c r="K76" i="7"/>
  <c r="M76" i="7"/>
  <c r="L76" i="7"/>
  <c r="D174" i="1"/>
  <c r="L197" i="3"/>
  <c r="L199" i="3" s="1"/>
  <c r="L203" i="3" s="1"/>
  <c r="K161" i="3"/>
  <c r="K179" i="3" s="1"/>
  <c r="O198" i="3"/>
  <c r="I198" i="3"/>
  <c r="F82" i="1"/>
  <c r="G82" i="1" s="1"/>
  <c r="H108" i="7"/>
  <c r="I33" i="3"/>
  <c r="O33" i="3"/>
  <c r="F16" i="1"/>
  <c r="G16" i="1" s="1"/>
  <c r="M39" i="3"/>
  <c r="M43" i="3" s="1"/>
  <c r="M142" i="3"/>
  <c r="M143" i="3" s="1"/>
  <c r="E28" i="2"/>
  <c r="K42" i="7"/>
  <c r="K44" i="7" s="1"/>
  <c r="M42" i="7"/>
  <c r="L42" i="7"/>
  <c r="L44" i="7" s="1"/>
  <c r="D159" i="1"/>
  <c r="I245" i="3"/>
  <c r="O245" i="3"/>
  <c r="F93" i="1"/>
  <c r="G93" i="1" s="1"/>
  <c r="C25" i="7"/>
  <c r="C26" i="7"/>
  <c r="C27" i="7" s="1"/>
  <c r="N20" i="1"/>
  <c r="N191" i="1"/>
  <c r="H26" i="4"/>
  <c r="N77" i="1" s="1"/>
  <c r="C387" i="3"/>
  <c r="D12" i="2"/>
  <c r="I16" i="4"/>
  <c r="I50" i="4" s="1"/>
  <c r="I56" i="4" s="1"/>
  <c r="I62" i="4" s="1"/>
  <c r="M89" i="3"/>
  <c r="K30" i="4"/>
  <c r="K31" i="4"/>
  <c r="K109" i="7"/>
  <c r="L109" i="7"/>
  <c r="M109" i="7"/>
  <c r="D189" i="1"/>
  <c r="L324" i="3"/>
  <c r="M324" i="3"/>
  <c r="Y24" i="2"/>
  <c r="Z24" i="2" s="1"/>
  <c r="S24" i="2"/>
  <c r="Y15" i="2"/>
  <c r="Z15" i="2" s="1"/>
  <c r="Z16" i="2" s="1"/>
  <c r="Z32" i="2" s="1"/>
  <c r="Z36" i="2" s="1"/>
  <c r="Z37" i="2" s="1"/>
  <c r="S15" i="2"/>
  <c r="S16" i="2" s="1"/>
  <c r="H127" i="3"/>
  <c r="G129" i="3"/>
  <c r="M127" i="3"/>
  <c r="M129" i="3" s="1"/>
  <c r="K127" i="3"/>
  <c r="K129" i="3" s="1"/>
  <c r="L127" i="3"/>
  <c r="M106" i="3"/>
  <c r="M107" i="3" s="1"/>
  <c r="M114" i="3" s="1"/>
  <c r="I261" i="3"/>
  <c r="O261" i="3"/>
  <c r="F99" i="1"/>
  <c r="G99" i="1" s="1"/>
  <c r="K15" i="7"/>
  <c r="L15" i="7"/>
  <c r="M15" i="7"/>
  <c r="D148" i="1"/>
  <c r="O197" i="3"/>
  <c r="I197" i="3"/>
  <c r="F79" i="1"/>
  <c r="G79" i="1" s="1"/>
  <c r="I159" i="3"/>
  <c r="O159" i="3"/>
  <c r="F60" i="1"/>
  <c r="G60" i="1" s="1"/>
  <c r="K107" i="3"/>
  <c r="L35" i="3"/>
  <c r="I138" i="3"/>
  <c r="O138" i="3"/>
  <c r="F55" i="1"/>
  <c r="G55" i="1" s="1"/>
  <c r="J52" i="1"/>
  <c r="I249" i="3"/>
  <c r="O249" i="3"/>
  <c r="F96" i="1"/>
  <c r="G96" i="1" s="1"/>
  <c r="K23" i="4"/>
  <c r="V20" i="1"/>
  <c r="V191" i="1"/>
  <c r="H34" i="4"/>
  <c r="N101" i="1" s="1"/>
  <c r="H35" i="4"/>
  <c r="N103" i="1" s="1"/>
  <c r="K93" i="7"/>
  <c r="K26" i="4"/>
  <c r="K38" i="4"/>
  <c r="K39" i="4"/>
  <c r="H30" i="6"/>
  <c r="J30" i="6" s="1"/>
  <c r="H38" i="4"/>
  <c r="N126" i="1" s="1"/>
  <c r="H39" i="4"/>
  <c r="N128" i="1" s="1"/>
  <c r="L122" i="7"/>
  <c r="M122" i="7"/>
  <c r="K122" i="7"/>
  <c r="H111" i="3"/>
  <c r="L121" i="3"/>
  <c r="H110" i="3"/>
  <c r="F14" i="6"/>
  <c r="F14" i="5"/>
  <c r="G14" i="5" s="1"/>
  <c r="R25" i="1" s="1"/>
  <c r="R26" i="1" s="1"/>
  <c r="R27" i="1" s="1"/>
  <c r="G14" i="4"/>
  <c r="G13" i="2"/>
  <c r="M23" i="3"/>
  <c r="K203" i="3"/>
  <c r="H75" i="4"/>
  <c r="O67" i="3"/>
  <c r="I67" i="3"/>
  <c r="F33" i="1"/>
  <c r="G33" i="1" s="1"/>
  <c r="L167" i="3"/>
  <c r="L171" i="3" s="1"/>
  <c r="L179" i="3" s="1"/>
  <c r="L80" i="3"/>
  <c r="M80" i="3"/>
  <c r="H80" i="3"/>
  <c r="K80" i="3"/>
  <c r="M161" i="3"/>
  <c r="M179" i="3" s="1"/>
  <c r="L107" i="3"/>
  <c r="L108" i="7"/>
  <c r="L110" i="7" s="1"/>
  <c r="M108" i="7"/>
  <c r="M110" i="7" s="1"/>
  <c r="K108" i="7"/>
  <c r="K110" i="7" s="1"/>
  <c r="D188" i="1"/>
  <c r="I272" i="3"/>
  <c r="O272" i="3"/>
  <c r="F105" i="1"/>
  <c r="G105" i="1" s="1"/>
  <c r="L16" i="3"/>
  <c r="L175" i="3"/>
  <c r="E132" i="3"/>
  <c r="E135" i="3" s="1"/>
  <c r="M307" i="3"/>
  <c r="M311" i="3" s="1"/>
  <c r="D90" i="7"/>
  <c r="L93" i="7" s="1"/>
  <c r="G24" i="3"/>
  <c r="E9" i="2"/>
  <c r="I188" i="3"/>
  <c r="O188" i="3"/>
  <c r="F75" i="1"/>
  <c r="G75" i="1" s="1"/>
  <c r="O89" i="3"/>
  <c r="I89" i="3"/>
  <c r="H106" i="3"/>
  <c r="H116" i="3" s="1"/>
  <c r="F43" i="1"/>
  <c r="G43" i="1" s="1"/>
  <c r="O63" i="3"/>
  <c r="O65" i="3" s="1"/>
  <c r="H74" i="3" s="1"/>
  <c r="I63" i="3"/>
  <c r="F30" i="1"/>
  <c r="G30" i="1" s="1"/>
  <c r="H14" i="7"/>
  <c r="H75" i="7"/>
  <c r="H42" i="7"/>
  <c r="I14" i="3"/>
  <c r="O14" i="3"/>
  <c r="O16" i="3" s="1"/>
  <c r="F9" i="1"/>
  <c r="G9" i="1" s="1"/>
  <c r="G18" i="5"/>
  <c r="R63" i="1" s="1"/>
  <c r="R64" i="1" s="1"/>
  <c r="R65" i="1" s="1"/>
  <c r="R66" i="1" s="1"/>
  <c r="J10" i="5"/>
  <c r="H34" i="5"/>
  <c r="H40" i="5" s="1"/>
  <c r="H46" i="5" s="1"/>
  <c r="E34" i="5"/>
  <c r="E40" i="5" s="1"/>
  <c r="E46" i="5" s="1"/>
  <c r="E34" i="6"/>
  <c r="G34" i="6" s="1"/>
  <c r="V101" i="1" s="1"/>
  <c r="D13" i="2"/>
  <c r="H43" i="6"/>
  <c r="J43" i="6" s="1"/>
  <c r="E43" i="6"/>
  <c r="G43" i="6" s="1"/>
  <c r="V136" i="1" s="1"/>
  <c r="K34" i="4"/>
  <c r="K35" i="4"/>
  <c r="L121" i="7"/>
  <c r="L123" i="7" s="1"/>
  <c r="L124" i="7" s="1"/>
  <c r="M121" i="7"/>
  <c r="M123" i="7" s="1"/>
  <c r="M124" i="7" s="1"/>
  <c r="K121" i="7"/>
  <c r="K123" i="7" s="1"/>
  <c r="K124" i="7" s="1"/>
  <c r="G124" i="7" s="1"/>
  <c r="O88" i="3"/>
  <c r="O90" i="3" s="1"/>
  <c r="H98" i="3" s="1"/>
  <c r="D112" i="3"/>
  <c r="K56" i="7"/>
  <c r="L56" i="7"/>
  <c r="L57" i="7" s="1"/>
  <c r="L58" i="7" s="1"/>
  <c r="M56" i="7"/>
  <c r="D132" i="3"/>
  <c r="D135" i="3" s="1"/>
  <c r="M119" i="3"/>
  <c r="P121" i="3"/>
  <c r="P319" i="3"/>
  <c r="S319" i="3"/>
  <c r="I139" i="1"/>
  <c r="O348" i="3"/>
  <c r="Q28" i="2" s="1"/>
  <c r="K361" i="3"/>
  <c r="K369" i="3" s="1"/>
  <c r="G358" i="3"/>
  <c r="O269" i="3"/>
  <c r="O270" i="3" s="1"/>
  <c r="H280" i="3" s="1"/>
  <c r="I269" i="3"/>
  <c r="F103" i="1"/>
  <c r="G103" i="1" s="1"/>
  <c r="I177" i="3"/>
  <c r="O177" i="3"/>
  <c r="F72" i="1"/>
  <c r="G72" i="1" s="1"/>
  <c r="M267" i="3"/>
  <c r="M276" i="3" s="1"/>
  <c r="M216" i="3"/>
  <c r="I246" i="3"/>
  <c r="O246" i="3"/>
  <c r="F94" i="1"/>
  <c r="G94" i="1" s="1"/>
  <c r="K112" i="3"/>
  <c r="P201" i="3"/>
  <c r="I86" i="1"/>
  <c r="J86" i="1" s="1"/>
  <c r="M138" i="3"/>
  <c r="M139" i="3" s="1"/>
  <c r="M16" i="3"/>
  <c r="O291" i="3"/>
  <c r="I291" i="3"/>
  <c r="H298" i="3"/>
  <c r="F130" i="1" s="1"/>
  <c r="G130" i="1" s="1"/>
  <c r="F128" i="1"/>
  <c r="G128" i="1" s="1"/>
  <c r="R36" i="2"/>
  <c r="K55" i="7"/>
  <c r="K57" i="7" s="1"/>
  <c r="K58" i="7" s="1"/>
  <c r="G58" i="7" s="1"/>
  <c r="L55" i="7"/>
  <c r="M55" i="7"/>
  <c r="M57" i="7" s="1"/>
  <c r="D15" i="2"/>
  <c r="L26" i="7"/>
  <c r="L27" i="7" s="1"/>
  <c r="M26" i="7"/>
  <c r="K26" i="7"/>
  <c r="D14" i="2"/>
  <c r="L24" i="3"/>
  <c r="Y21" i="2"/>
  <c r="Z21" i="2" s="1"/>
  <c r="Z22" i="2" s="1"/>
  <c r="S21" i="2"/>
  <c r="S22" i="2" s="1"/>
  <c r="L227" i="3"/>
  <c r="L229" i="3"/>
  <c r="O128" i="3"/>
  <c r="I128" i="3"/>
  <c r="F50" i="1"/>
  <c r="G50" i="1" s="1"/>
  <c r="F27" i="6"/>
  <c r="G27" i="6" s="1"/>
  <c r="V79" i="1" s="1"/>
  <c r="G27" i="4"/>
  <c r="P331" i="3"/>
  <c r="M58" i="3"/>
  <c r="M61" i="3" s="1"/>
  <c r="M69" i="3" s="1"/>
  <c r="Z9" i="2"/>
  <c r="Y36" i="2"/>
  <c r="H43" i="7"/>
  <c r="H15" i="7"/>
  <c r="H76" i="7"/>
  <c r="O15" i="3"/>
  <c r="I15" i="3"/>
  <c r="F10" i="1"/>
  <c r="G10" i="1" s="1"/>
  <c r="O92" i="3"/>
  <c r="I92" i="3"/>
  <c r="F47" i="1"/>
  <c r="G47" i="1" s="1"/>
  <c r="M110" i="3"/>
  <c r="M112" i="3" s="1"/>
  <c r="P41" i="2"/>
  <c r="K39" i="3"/>
  <c r="K43" i="3" s="1"/>
  <c r="K145" i="3"/>
  <c r="I174" i="3"/>
  <c r="O174" i="3"/>
  <c r="F70" i="1"/>
  <c r="G70" i="1" s="1"/>
  <c r="O274" i="3"/>
  <c r="I274" i="3"/>
  <c r="F107" i="1"/>
  <c r="G107" i="1" s="1"/>
  <c r="M228" i="3"/>
  <c r="M230" i="3" s="1"/>
  <c r="L65" i="3"/>
  <c r="L323" i="3"/>
  <c r="L325" i="3" s="1"/>
  <c r="L331" i="3" s="1"/>
  <c r="Q26" i="2" s="1"/>
  <c r="M323" i="3"/>
  <c r="M325" i="3" s="1"/>
  <c r="M331" i="3" s="1"/>
  <c r="K69" i="3"/>
  <c r="K90" i="3"/>
  <c r="G98" i="3" s="1"/>
  <c r="I64" i="3"/>
  <c r="O64" i="3"/>
  <c r="F31" i="1"/>
  <c r="G31" i="1" s="1"/>
  <c r="M251" i="3"/>
  <c r="L110" i="3"/>
  <c r="L112" i="3" s="1"/>
  <c r="D26" i="2"/>
  <c r="M35" i="3"/>
  <c r="M289" i="3"/>
  <c r="M293" i="3" s="1"/>
  <c r="L39" i="3"/>
  <c r="L43" i="3" s="1"/>
  <c r="L44" i="3" s="1"/>
  <c r="L139" i="3"/>
  <c r="L221" i="3"/>
  <c r="L223" i="3" s="1"/>
  <c r="M75" i="7"/>
  <c r="M77" i="7" s="1"/>
  <c r="K75" i="7"/>
  <c r="K77" i="7" s="1"/>
  <c r="L75" i="7"/>
  <c r="D173" i="1"/>
  <c r="I160" i="3"/>
  <c r="O160" i="3"/>
  <c r="F61" i="1"/>
  <c r="G61" i="1" s="1"/>
  <c r="L247" i="3"/>
  <c r="L251" i="3" s="1"/>
  <c r="K311" i="3"/>
  <c r="L293" i="3"/>
  <c r="G114" i="1"/>
  <c r="I114" i="1"/>
  <c r="J114" i="1" s="1"/>
  <c r="K21" i="2" l="1"/>
  <c r="K26" i="2"/>
  <c r="H19" i="2"/>
  <c r="H20" i="2"/>
  <c r="K13" i="2"/>
  <c r="H15" i="2"/>
  <c r="S32" i="2"/>
  <c r="S36" i="2" s="1"/>
  <c r="S37" i="2" s="1"/>
  <c r="K24" i="2"/>
  <c r="V80" i="1"/>
  <c r="V82" i="1"/>
  <c r="V83" i="1" s="1"/>
  <c r="H13" i="2"/>
  <c r="P63" i="3"/>
  <c r="I30" i="1"/>
  <c r="J30" i="1" s="1"/>
  <c r="P197" i="3"/>
  <c r="I79" i="1"/>
  <c r="J79" i="1" s="1"/>
  <c r="G28" i="7"/>
  <c r="P142" i="3"/>
  <c r="P143" i="3" s="1"/>
  <c r="I143" i="3"/>
  <c r="I57" i="1" s="1"/>
  <c r="J57" i="1" s="1"/>
  <c r="E90" i="3"/>
  <c r="M88" i="3"/>
  <c r="M90" i="3" s="1"/>
  <c r="M94" i="3" s="1"/>
  <c r="I43" i="7"/>
  <c r="I15" i="7"/>
  <c r="I76" i="7"/>
  <c r="P15" i="3"/>
  <c r="I10" i="1"/>
  <c r="J10" i="1" s="1"/>
  <c r="H219" i="3"/>
  <c r="H220" i="3"/>
  <c r="L230" i="3"/>
  <c r="T28" i="2"/>
  <c r="P28" i="2"/>
  <c r="I42" i="7"/>
  <c r="I14" i="7"/>
  <c r="I75" i="7"/>
  <c r="P14" i="3"/>
  <c r="P16" i="3" s="1"/>
  <c r="I9" i="1"/>
  <c r="J9" i="1" s="1"/>
  <c r="P188" i="3"/>
  <c r="I75" i="1"/>
  <c r="J75" i="1" s="1"/>
  <c r="H40" i="6"/>
  <c r="E40" i="6"/>
  <c r="P249" i="3"/>
  <c r="I96" i="1"/>
  <c r="J96" i="1" s="1"/>
  <c r="I127" i="3"/>
  <c r="O127" i="3"/>
  <c r="O129" i="3" s="1"/>
  <c r="H129" i="3"/>
  <c r="F53" i="1" s="1"/>
  <c r="G53" i="1" s="1"/>
  <c r="O247" i="3"/>
  <c r="H255" i="3" s="1"/>
  <c r="M145" i="3"/>
  <c r="P53" i="3"/>
  <c r="I23" i="1"/>
  <c r="J23" i="1" s="1"/>
  <c r="M27" i="7"/>
  <c r="E24" i="2"/>
  <c r="P173" i="3"/>
  <c r="I69" i="1"/>
  <c r="J69" i="1" s="1"/>
  <c r="X28" i="2"/>
  <c r="AB28" i="2" s="1"/>
  <c r="S348" i="3" s="1"/>
  <c r="R42" i="7"/>
  <c r="R43" i="7" s="1"/>
  <c r="O42" i="7"/>
  <c r="F159" i="1"/>
  <c r="G159" i="1" s="1"/>
  <c r="E83" i="3"/>
  <c r="E86" i="3" s="1"/>
  <c r="M82" i="3"/>
  <c r="M83" i="3" s="1"/>
  <c r="M86" i="3" s="1"/>
  <c r="L94" i="3"/>
  <c r="K114" i="3"/>
  <c r="O199" i="3"/>
  <c r="H207" i="3" s="1"/>
  <c r="P261" i="3"/>
  <c r="I99" i="1"/>
  <c r="J99" i="1" s="1"/>
  <c r="P245" i="3"/>
  <c r="I93" i="1"/>
  <c r="J93" i="1" s="1"/>
  <c r="M44" i="3"/>
  <c r="P198" i="3"/>
  <c r="I82" i="1"/>
  <c r="J82" i="1" s="1"/>
  <c r="G54" i="1"/>
  <c r="F51" i="1"/>
  <c r="G51" i="1" s="1"/>
  <c r="N13" i="1"/>
  <c r="N150" i="1"/>
  <c r="N162" i="1" s="1"/>
  <c r="N176" i="1" s="1"/>
  <c r="I80" i="3"/>
  <c r="O80" i="3"/>
  <c r="F36" i="1"/>
  <c r="G36" i="1" s="1"/>
  <c r="G44" i="3"/>
  <c r="K44" i="3"/>
  <c r="X26" i="2"/>
  <c r="D83" i="3"/>
  <c r="D86" i="3" s="1"/>
  <c r="L82" i="3"/>
  <c r="L83" i="3" s="1"/>
  <c r="L86" i="3" s="1"/>
  <c r="H24" i="2"/>
  <c r="E13" i="2"/>
  <c r="P274" i="3"/>
  <c r="I107" i="1"/>
  <c r="J107" i="1" s="1"/>
  <c r="O76" i="7"/>
  <c r="F174" i="1"/>
  <c r="G174" i="1" s="1"/>
  <c r="P177" i="3"/>
  <c r="I72" i="1"/>
  <c r="J72" i="1" s="1"/>
  <c r="O75" i="7"/>
  <c r="O77" i="7" s="1"/>
  <c r="R75" i="7"/>
  <c r="R76" i="7" s="1"/>
  <c r="F173" i="1"/>
  <c r="G173" i="1" s="1"/>
  <c r="I219" i="3"/>
  <c r="K251" i="3"/>
  <c r="E199" i="3"/>
  <c r="M197" i="3"/>
  <c r="M199" i="3" s="1"/>
  <c r="M203" i="3" s="1"/>
  <c r="K14" i="4"/>
  <c r="K15" i="4"/>
  <c r="L16" i="7"/>
  <c r="L28" i="7" s="1"/>
  <c r="P137" i="3"/>
  <c r="I54" i="1"/>
  <c r="P160" i="3"/>
  <c r="I61" i="1"/>
  <c r="J61" i="1" s="1"/>
  <c r="E34" i="2"/>
  <c r="P138" i="3"/>
  <c r="I55" i="1"/>
  <c r="J55" i="1" s="1"/>
  <c r="L77" i="7"/>
  <c r="O15" i="7"/>
  <c r="F148" i="1"/>
  <c r="G148" i="1" s="1"/>
  <c r="H9" i="2"/>
  <c r="J139" i="1"/>
  <c r="I142" i="1"/>
  <c r="J142" i="1" s="1"/>
  <c r="O14" i="7"/>
  <c r="R14" i="7"/>
  <c r="R15" i="7" s="1"/>
  <c r="F147" i="1"/>
  <c r="G147" i="1" s="1"/>
  <c r="O106" i="3"/>
  <c r="F44" i="1"/>
  <c r="G44" i="1" s="1"/>
  <c r="L114" i="3"/>
  <c r="I220" i="3"/>
  <c r="D16" i="2"/>
  <c r="D32" i="2" s="1"/>
  <c r="D36" i="2" s="1"/>
  <c r="O35" i="3"/>
  <c r="P309" i="3"/>
  <c r="I136" i="1"/>
  <c r="J136" i="1" s="1"/>
  <c r="P88" i="3"/>
  <c r="I40" i="1"/>
  <c r="J40" i="1" s="1"/>
  <c r="H14" i="4"/>
  <c r="N25" i="1" s="1"/>
  <c r="N26" i="1" s="1"/>
  <c r="N27" i="1" s="1"/>
  <c r="H15" i="4"/>
  <c r="N30" i="1" s="1"/>
  <c r="N31" i="1" s="1"/>
  <c r="P89" i="3"/>
  <c r="I43" i="1"/>
  <c r="J43" i="1" s="1"/>
  <c r="K15" i="2"/>
  <c r="P67" i="3"/>
  <c r="I33" i="1"/>
  <c r="J33" i="1" s="1"/>
  <c r="O110" i="3"/>
  <c r="F42" i="1"/>
  <c r="G42" i="1" s="1"/>
  <c r="O161" i="3"/>
  <c r="L129" i="3"/>
  <c r="L145" i="3" s="1"/>
  <c r="D37" i="2"/>
  <c r="M44" i="7"/>
  <c r="I108" i="7"/>
  <c r="P33" i="3"/>
  <c r="I16" i="1"/>
  <c r="J16" i="1" s="1"/>
  <c r="K180" i="3"/>
  <c r="E15" i="2"/>
  <c r="I109" i="7"/>
  <c r="P34" i="3"/>
  <c r="I17" i="1"/>
  <c r="J17" i="1" s="1"/>
  <c r="H43" i="4"/>
  <c r="N136" i="1" s="1"/>
  <c r="H42" i="4"/>
  <c r="N134" i="1" s="1"/>
  <c r="F24" i="4"/>
  <c r="F50" i="4" s="1"/>
  <c r="F56" i="4" s="1"/>
  <c r="F62" i="4" s="1"/>
  <c r="M16" i="7"/>
  <c r="H70" i="4"/>
  <c r="P269" i="3"/>
  <c r="P270" i="3" s="1"/>
  <c r="I280" i="3" s="1"/>
  <c r="I103" i="1"/>
  <c r="J103" i="1" s="1"/>
  <c r="M58" i="7"/>
  <c r="P246" i="3"/>
  <c r="I94" i="1"/>
  <c r="J94" i="1" s="1"/>
  <c r="E19" i="2"/>
  <c r="O105" i="3"/>
  <c r="O107" i="3" s="1"/>
  <c r="F41" i="1"/>
  <c r="G41" i="1" s="1"/>
  <c r="L91" i="7"/>
  <c r="E16" i="6"/>
  <c r="H16" i="6"/>
  <c r="P64" i="3"/>
  <c r="I31" i="1"/>
  <c r="J31" i="1" s="1"/>
  <c r="K20" i="2"/>
  <c r="H26" i="2"/>
  <c r="U26" i="2" s="1"/>
  <c r="R331" i="3" s="1"/>
  <c r="O43" i="7"/>
  <c r="F160" i="1"/>
  <c r="G160" i="1" s="1"/>
  <c r="I298" i="3"/>
  <c r="I130" i="1" s="1"/>
  <c r="J130" i="1" s="1"/>
  <c r="P291" i="3"/>
  <c r="I128" i="1"/>
  <c r="J128" i="1" s="1"/>
  <c r="P92" i="3"/>
  <c r="I47" i="1"/>
  <c r="J47" i="1" s="1"/>
  <c r="P128" i="3"/>
  <c r="I50" i="1"/>
  <c r="J50" i="1" s="1"/>
  <c r="K22" i="4"/>
  <c r="P159" i="3"/>
  <c r="P161" i="3" s="1"/>
  <c r="I60" i="1"/>
  <c r="J60" i="1" s="1"/>
  <c r="R108" i="7"/>
  <c r="R109" i="7" s="1"/>
  <c r="O108" i="7"/>
  <c r="O110" i="7" s="1"/>
  <c r="F188" i="1"/>
  <c r="G188" i="1" s="1"/>
  <c r="H12" i="2"/>
  <c r="U28" i="2"/>
  <c r="R348" i="3" s="1"/>
  <c r="P174" i="3"/>
  <c r="I70" i="1"/>
  <c r="J70" i="1" s="1"/>
  <c r="M223" i="3"/>
  <c r="L358" i="3"/>
  <c r="L361" i="3" s="1"/>
  <c r="L369" i="3" s="1"/>
  <c r="M358" i="3"/>
  <c r="M361" i="3" s="1"/>
  <c r="M369" i="3" s="1"/>
  <c r="M120" i="3"/>
  <c r="M118" i="3"/>
  <c r="D90" i="3"/>
  <c r="L88" i="3"/>
  <c r="L90" i="3" s="1"/>
  <c r="P272" i="3"/>
  <c r="I105" i="1"/>
  <c r="J105" i="1" s="1"/>
  <c r="K94" i="3"/>
  <c r="M24" i="3"/>
  <c r="O111" i="3"/>
  <c r="F45" i="1"/>
  <c r="G45" i="1" s="1"/>
  <c r="H27" i="4"/>
  <c r="N79" i="1" s="1"/>
  <c r="O109" i="7"/>
  <c r="F189" i="1"/>
  <c r="G189" i="1" s="1"/>
  <c r="P237" i="3"/>
  <c r="I89" i="1"/>
  <c r="J89" i="1" s="1"/>
  <c r="H21" i="2"/>
  <c r="V13" i="1"/>
  <c r="V150" i="1"/>
  <c r="V162" i="1" s="1"/>
  <c r="V176" i="1" s="1"/>
  <c r="S351" i="3" l="1"/>
  <c r="S349" i="3"/>
  <c r="S350" i="3" s="1"/>
  <c r="K14" i="2"/>
  <c r="L389" i="3"/>
  <c r="E14" i="6"/>
  <c r="G14" i="6" s="1"/>
  <c r="V25" i="1" s="1"/>
  <c r="V26" i="1" s="1"/>
  <c r="V27" i="1" s="1"/>
  <c r="E15" i="6"/>
  <c r="G15" i="6" s="1"/>
  <c r="V30" i="1" s="1"/>
  <c r="V31" i="1" s="1"/>
  <c r="E50" i="6"/>
  <c r="E56" i="6" s="1"/>
  <c r="E62" i="6" s="1"/>
  <c r="P109" i="7"/>
  <c r="I189" i="1"/>
  <c r="J189" i="1" s="1"/>
  <c r="P220" i="3"/>
  <c r="I84" i="1"/>
  <c r="H14" i="2"/>
  <c r="P15" i="7"/>
  <c r="I148" i="1"/>
  <c r="J148" i="1" s="1"/>
  <c r="H14" i="6"/>
  <c r="J14" i="6" s="1"/>
  <c r="H15" i="6"/>
  <c r="J15" i="6" s="1"/>
  <c r="R332" i="3"/>
  <c r="R333" i="3" s="1"/>
  <c r="R334" i="3"/>
  <c r="P219" i="3"/>
  <c r="P221" i="3" s="1"/>
  <c r="I81" i="1"/>
  <c r="W26" i="2"/>
  <c r="AA26" i="2"/>
  <c r="E12" i="2"/>
  <c r="E16" i="2" s="1"/>
  <c r="K389" i="3"/>
  <c r="K12" i="2"/>
  <c r="P175" i="3"/>
  <c r="I181" i="3" s="1"/>
  <c r="P43" i="7"/>
  <c r="I160" i="1"/>
  <c r="J160" i="1" s="1"/>
  <c r="P26" i="2"/>
  <c r="H22" i="2"/>
  <c r="H34" i="2"/>
  <c r="H24" i="6"/>
  <c r="E24" i="6"/>
  <c r="P90" i="3"/>
  <c r="I98" i="3" s="1"/>
  <c r="J27" i="4"/>
  <c r="K27" i="4" s="1"/>
  <c r="I27" i="6"/>
  <c r="J27" i="6" s="1"/>
  <c r="P247" i="3"/>
  <c r="I255" i="3" s="1"/>
  <c r="M28" i="7"/>
  <c r="F84" i="1"/>
  <c r="G84" i="1" s="1"/>
  <c r="O220" i="3"/>
  <c r="H215" i="3"/>
  <c r="I19" i="6"/>
  <c r="J19" i="6" s="1"/>
  <c r="J19" i="4"/>
  <c r="K19" i="4" s="1"/>
  <c r="E388" i="3"/>
  <c r="T26" i="2"/>
  <c r="R351" i="3"/>
  <c r="R349" i="3"/>
  <c r="R350" i="3" s="1"/>
  <c r="O112" i="3"/>
  <c r="E20" i="2"/>
  <c r="E22" i="2" s="1"/>
  <c r="E32" i="2" s="1"/>
  <c r="E36" i="2" s="1"/>
  <c r="O44" i="7"/>
  <c r="O219" i="3"/>
  <c r="F81" i="1"/>
  <c r="G81" i="1" s="1"/>
  <c r="H214" i="3"/>
  <c r="P199" i="3"/>
  <c r="I207" i="3" s="1"/>
  <c r="AB26" i="2"/>
  <c r="S331" i="3" s="1"/>
  <c r="G19" i="4"/>
  <c r="H19" i="4" s="1"/>
  <c r="N40" i="1" s="1"/>
  <c r="F19" i="6"/>
  <c r="G19" i="6" s="1"/>
  <c r="V40" i="1" s="1"/>
  <c r="D388" i="3"/>
  <c r="H23" i="4"/>
  <c r="N69" i="1" s="1"/>
  <c r="N70" i="1" s="1"/>
  <c r="H22" i="4"/>
  <c r="N63" i="1" s="1"/>
  <c r="N64" i="1" s="1"/>
  <c r="N65" i="1" s="1"/>
  <c r="N66" i="1" s="1"/>
  <c r="K19" i="2"/>
  <c r="I18" i="6"/>
  <c r="J18" i="6" s="1"/>
  <c r="I16" i="5"/>
  <c r="J16" i="5" s="1"/>
  <c r="J18" i="4"/>
  <c r="K18" i="4" s="1"/>
  <c r="E387" i="3"/>
  <c r="J14" i="2"/>
  <c r="J16" i="2" s="1"/>
  <c r="J32" i="2" s="1"/>
  <c r="J36" i="2" s="1"/>
  <c r="I110" i="3"/>
  <c r="I111" i="3"/>
  <c r="M121" i="3"/>
  <c r="M389" i="3"/>
  <c r="K9" i="2"/>
  <c r="P35" i="3"/>
  <c r="J54" i="1"/>
  <c r="I51" i="1"/>
  <c r="J51" i="1" s="1"/>
  <c r="S75" i="7"/>
  <c r="S76" i="7" s="1"/>
  <c r="P75" i="7"/>
  <c r="I173" i="1"/>
  <c r="J173" i="1" s="1"/>
  <c r="N80" i="1"/>
  <c r="N82" i="1"/>
  <c r="N83" i="1" s="1"/>
  <c r="P127" i="3"/>
  <c r="P129" i="3" s="1"/>
  <c r="I129" i="3"/>
  <c r="I53" i="1" s="1"/>
  <c r="J53" i="1" s="1"/>
  <c r="I214" i="3"/>
  <c r="O114" i="3"/>
  <c r="E14" i="2"/>
  <c r="K34" i="2"/>
  <c r="S108" i="7"/>
  <c r="S109" i="7" s="1"/>
  <c r="P108" i="7"/>
  <c r="P110" i="7" s="1"/>
  <c r="I188" i="1"/>
  <c r="J188" i="1" s="1"/>
  <c r="O16" i="7"/>
  <c r="P139" i="3"/>
  <c r="P80" i="3"/>
  <c r="I36" i="1"/>
  <c r="J36" i="1" s="1"/>
  <c r="W28" i="2"/>
  <c r="AA28" i="2"/>
  <c r="E38" i="6"/>
  <c r="G38" i="6" s="1"/>
  <c r="V126" i="1" s="1"/>
  <c r="E39" i="6"/>
  <c r="G39" i="6" s="1"/>
  <c r="V128" i="1" s="1"/>
  <c r="P14" i="7"/>
  <c r="P16" i="7" s="1"/>
  <c r="S14" i="7"/>
  <c r="S15" i="7" s="1"/>
  <c r="I147" i="1"/>
  <c r="J147" i="1" s="1"/>
  <c r="F16" i="5"/>
  <c r="G16" i="5" s="1"/>
  <c r="R38" i="1" s="1"/>
  <c r="R56" i="1" s="1"/>
  <c r="G18" i="4"/>
  <c r="H18" i="4" s="1"/>
  <c r="N38" i="1" s="1"/>
  <c r="N56" i="1" s="1"/>
  <c r="F18" i="6"/>
  <c r="G18" i="6" s="1"/>
  <c r="V38" i="1" s="1"/>
  <c r="V56" i="1" s="1"/>
  <c r="G14" i="2"/>
  <c r="G16" i="2" s="1"/>
  <c r="G32" i="2" s="1"/>
  <c r="G36" i="2" s="1"/>
  <c r="D387" i="3"/>
  <c r="I215" i="3"/>
  <c r="H38" i="6"/>
  <c r="J38" i="6" s="1"/>
  <c r="H39" i="6"/>
  <c r="J39" i="6" s="1"/>
  <c r="P42" i="7"/>
  <c r="P44" i="7" s="1"/>
  <c r="S42" i="7"/>
  <c r="S43" i="7" s="1"/>
  <c r="I159" i="1"/>
  <c r="J159" i="1" s="1"/>
  <c r="P76" i="7"/>
  <c r="I174" i="1"/>
  <c r="J174" i="1" s="1"/>
  <c r="P65" i="3"/>
  <c r="I74" i="3" s="1"/>
  <c r="H23" i="6" l="1"/>
  <c r="J23" i="6" s="1"/>
  <c r="H22" i="6"/>
  <c r="J22" i="6" s="1"/>
  <c r="S332" i="3"/>
  <c r="S333" i="3" s="1"/>
  <c r="S334" i="3"/>
  <c r="K16" i="2"/>
  <c r="N55" i="1"/>
  <c r="N41" i="1"/>
  <c r="N54" i="1"/>
  <c r="N43" i="1"/>
  <c r="N44" i="1" s="1"/>
  <c r="K22" i="2"/>
  <c r="J84" i="1"/>
  <c r="P214" i="3"/>
  <c r="I80" i="1"/>
  <c r="I224" i="3"/>
  <c r="P111" i="3"/>
  <c r="I45" i="1"/>
  <c r="J45" i="1" s="1"/>
  <c r="I106" i="3"/>
  <c r="E37" i="2"/>
  <c r="J81" i="1"/>
  <c r="I83" i="1"/>
  <c r="P215" i="3"/>
  <c r="I225" i="3"/>
  <c r="P77" i="7"/>
  <c r="P110" i="3"/>
  <c r="I42" i="1"/>
  <c r="J42" i="1" s="1"/>
  <c r="I105" i="3"/>
  <c r="I63" i="6"/>
  <c r="I64" i="6" s="1"/>
  <c r="J63" i="4"/>
  <c r="J64" i="4" s="1"/>
  <c r="F61" i="6"/>
  <c r="F62" i="6" s="1"/>
  <c r="F45" i="5"/>
  <c r="F46" i="5" s="1"/>
  <c r="G61" i="4"/>
  <c r="G62" i="4" s="1"/>
  <c r="G37" i="2"/>
  <c r="O214" i="3"/>
  <c r="F80" i="1"/>
  <c r="G80" i="1" s="1"/>
  <c r="H224" i="3"/>
  <c r="I61" i="6"/>
  <c r="I62" i="6" s="1"/>
  <c r="J61" i="4"/>
  <c r="J62" i="4" s="1"/>
  <c r="I45" i="5"/>
  <c r="I46" i="5" s="1"/>
  <c r="J37" i="2"/>
  <c r="G63" i="4"/>
  <c r="G64" i="4" s="1"/>
  <c r="F63" i="6"/>
  <c r="F64" i="6" s="1"/>
  <c r="V55" i="1"/>
  <c r="V54" i="1"/>
  <c r="V43" i="1"/>
  <c r="V44" i="1" s="1"/>
  <c r="V41" i="1"/>
  <c r="O221" i="3"/>
  <c r="H16" i="2"/>
  <c r="H32" i="2" s="1"/>
  <c r="O215" i="3"/>
  <c r="F83" i="1"/>
  <c r="G83" i="1" s="1"/>
  <c r="H225" i="3"/>
  <c r="E22" i="6"/>
  <c r="G22" i="6" s="1"/>
  <c r="V63" i="1" s="1"/>
  <c r="V64" i="1" s="1"/>
  <c r="V65" i="1" s="1"/>
  <c r="V66" i="1" s="1"/>
  <c r="E23" i="6"/>
  <c r="G23" i="6" s="1"/>
  <c r="V69" i="1" s="1"/>
  <c r="V70" i="1" s="1"/>
  <c r="H50" i="6"/>
  <c r="H56" i="6" s="1"/>
  <c r="H62" i="6" s="1"/>
  <c r="M46" i="2" l="1"/>
  <c r="H36" i="2"/>
  <c r="M45" i="2" s="1"/>
  <c r="R369" i="3"/>
  <c r="J83" i="1"/>
  <c r="J80" i="1"/>
  <c r="P216" i="3"/>
  <c r="P223" i="3" s="1"/>
  <c r="T34" i="2"/>
  <c r="P34" i="2"/>
  <c r="P105" i="3"/>
  <c r="P107" i="3" s="1"/>
  <c r="I41" i="1"/>
  <c r="J41" i="1" s="1"/>
  <c r="I115" i="3"/>
  <c r="P112" i="3"/>
  <c r="P106" i="3"/>
  <c r="I44" i="1"/>
  <c r="J44" i="1" s="1"/>
  <c r="I116" i="3"/>
  <c r="O216" i="3"/>
  <c r="O223" i="3" s="1"/>
  <c r="K32" i="2"/>
  <c r="P114" i="3" l="1"/>
  <c r="W34" i="2"/>
  <c r="AA34" i="2"/>
  <c r="AB34" i="2"/>
  <c r="N46" i="2"/>
  <c r="K36" i="2"/>
  <c r="R370" i="3"/>
  <c r="P36" i="2"/>
  <c r="M44" i="2"/>
  <c r="H37" i="2"/>
  <c r="M47" i="2"/>
  <c r="P21" i="2" l="1"/>
  <c r="Q21" i="2" s="1"/>
  <c r="P13" i="2"/>
  <c r="Q13" i="2" s="1"/>
  <c r="P24" i="2"/>
  <c r="Q24" i="2" s="1"/>
  <c r="P15" i="2"/>
  <c r="Q15" i="2" s="1"/>
  <c r="P12" i="2"/>
  <c r="P20" i="2"/>
  <c r="Q20" i="2" s="1"/>
  <c r="P9" i="2"/>
  <c r="P14" i="2"/>
  <c r="Q14" i="2" s="1"/>
  <c r="P30" i="2"/>
  <c r="Q30" i="2" s="1"/>
  <c r="P19" i="2"/>
  <c r="Q19" i="2" s="1"/>
  <c r="N47" i="2"/>
  <c r="N44" i="2"/>
  <c r="W36" i="2"/>
  <c r="K37" i="2"/>
  <c r="S369" i="3"/>
  <c r="N45" i="2"/>
  <c r="R371" i="3"/>
  <c r="R363" i="3" s="1"/>
  <c r="T14" i="2" l="1"/>
  <c r="U14" i="2"/>
  <c r="R94" i="3" s="1"/>
  <c r="T12" i="2"/>
  <c r="Q16" i="2"/>
  <c r="U12" i="2"/>
  <c r="T24" i="2"/>
  <c r="U24" i="2"/>
  <c r="T15" i="2"/>
  <c r="U15" i="2"/>
  <c r="R179" i="3" s="1"/>
  <c r="T19" i="2"/>
  <c r="Q22" i="2"/>
  <c r="U19" i="2"/>
  <c r="T13" i="2"/>
  <c r="R69" i="3"/>
  <c r="T9" i="2"/>
  <c r="U9" i="2"/>
  <c r="R24" i="3" s="1"/>
  <c r="T20" i="2"/>
  <c r="U20" i="2"/>
  <c r="R251" i="3" s="1"/>
  <c r="R365" i="3"/>
  <c r="H365" i="3" s="1"/>
  <c r="H363" i="3"/>
  <c r="W24" i="2"/>
  <c r="X24" i="2" s="1"/>
  <c r="W15" i="2"/>
  <c r="X15" i="2" s="1"/>
  <c r="W12" i="2"/>
  <c r="X12" i="2" s="1"/>
  <c r="W20" i="2"/>
  <c r="X20" i="2" s="1"/>
  <c r="W9" i="2"/>
  <c r="X9" i="2" s="1"/>
  <c r="W14" i="2"/>
  <c r="X14" i="2" s="1"/>
  <c r="W19" i="2"/>
  <c r="X19" i="2" s="1"/>
  <c r="W21" i="2"/>
  <c r="X21" i="2" s="1"/>
  <c r="W30" i="2"/>
  <c r="X30" i="2" s="1"/>
  <c r="W13" i="2"/>
  <c r="X13" i="2" s="1"/>
  <c r="S370" i="3"/>
  <c r="T30" i="2"/>
  <c r="U30" i="2"/>
  <c r="T21" i="2"/>
  <c r="U21" i="2"/>
  <c r="R276" i="3" s="1"/>
  <c r="Q32" i="2" l="1"/>
  <c r="P32" i="2" s="1"/>
  <c r="T32" i="2"/>
  <c r="Q36" i="2"/>
  <c r="AA20" i="2"/>
  <c r="AB20" i="2"/>
  <c r="S251" i="3" s="1"/>
  <c r="AA13" i="2"/>
  <c r="AB13" i="2"/>
  <c r="S69" i="3" s="1"/>
  <c r="R277" i="3"/>
  <c r="O363" i="3"/>
  <c r="R381" i="3"/>
  <c r="AA19" i="2"/>
  <c r="X22" i="2"/>
  <c r="X32" i="2" s="1"/>
  <c r="AB19" i="2"/>
  <c r="R25" i="3"/>
  <c r="R70" i="3"/>
  <c r="AA30" i="2"/>
  <c r="AB30" i="2"/>
  <c r="AA21" i="2"/>
  <c r="AB21" i="2"/>
  <c r="S276" i="3" s="1"/>
  <c r="O365" i="3"/>
  <c r="AA14" i="2"/>
  <c r="AB14" i="2"/>
  <c r="S94" i="3" s="1"/>
  <c r="R95" i="3"/>
  <c r="S371" i="3"/>
  <c r="S363" i="3" s="1"/>
  <c r="S365" i="3" s="1"/>
  <c r="I365" i="3" s="1"/>
  <c r="P365" i="3" s="1"/>
  <c r="X16" i="2"/>
  <c r="AA12" i="2"/>
  <c r="AB12" i="2"/>
  <c r="R293" i="3"/>
  <c r="R311" i="3"/>
  <c r="AA15" i="2"/>
  <c r="AB15" i="2"/>
  <c r="S179" i="3" s="1"/>
  <c r="AA24" i="2"/>
  <c r="AB24" i="2"/>
  <c r="R44" i="3"/>
  <c r="U16" i="2"/>
  <c r="R203" i="3"/>
  <c r="U22" i="2"/>
  <c r="R252" i="3"/>
  <c r="AA9" i="2"/>
  <c r="AB9" i="2"/>
  <c r="S24" i="3" s="1"/>
  <c r="R180" i="3"/>
  <c r="U32" i="2" l="1"/>
  <c r="U36" i="2" s="1"/>
  <c r="U41" i="2"/>
  <c r="U37" i="2"/>
  <c r="AA32" i="2"/>
  <c r="W32" i="2"/>
  <c r="X36" i="2"/>
  <c r="R239" i="3"/>
  <c r="H239" i="3" s="1"/>
  <c r="R253" i="3"/>
  <c r="S180" i="3"/>
  <c r="AB22" i="2"/>
  <c r="AB32" i="2" s="1"/>
  <c r="AB36" i="2" s="1"/>
  <c r="AB44" i="2" s="1"/>
  <c r="S203" i="3"/>
  <c r="R312" i="3"/>
  <c r="S95" i="3"/>
  <c r="S70" i="3"/>
  <c r="R382" i="3"/>
  <c r="R383" i="3" s="1"/>
  <c r="H378" i="3"/>
  <c r="S381" i="3"/>
  <c r="S252" i="3"/>
  <c r="S44" i="3"/>
  <c r="AB16" i="2"/>
  <c r="I363" i="3"/>
  <c r="P363" i="3" s="1"/>
  <c r="T36" i="2"/>
  <c r="Q37" i="2"/>
  <c r="R96" i="3"/>
  <c r="R82" i="3"/>
  <c r="R163" i="3"/>
  <c r="R181" i="3"/>
  <c r="R71" i="3"/>
  <c r="R55" i="3"/>
  <c r="R358" i="3"/>
  <c r="R204" i="3"/>
  <c r="R294" i="3"/>
  <c r="R45" i="3"/>
  <c r="S25" i="3"/>
  <c r="S293" i="3"/>
  <c r="S311" i="3"/>
  <c r="S277" i="3"/>
  <c r="R18" i="3"/>
  <c r="R26" i="3"/>
  <c r="R278" i="3"/>
  <c r="R263" i="3"/>
  <c r="H263" i="3" s="1"/>
  <c r="R295" i="3" l="1"/>
  <c r="R287" i="3"/>
  <c r="H287" i="3" s="1"/>
  <c r="S312" i="3"/>
  <c r="S263" i="3"/>
  <c r="S278" i="3"/>
  <c r="AB41" i="2"/>
  <c r="AB37" i="2"/>
  <c r="R359" i="3"/>
  <c r="H358" i="3"/>
  <c r="R313" i="3"/>
  <c r="R305" i="3"/>
  <c r="H305" i="3" s="1"/>
  <c r="R131" i="3"/>
  <c r="H131" i="3" s="1"/>
  <c r="H82" i="3"/>
  <c r="O239" i="3"/>
  <c r="O240" i="3" s="1"/>
  <c r="O243" i="3" s="1"/>
  <c r="O251" i="3" s="1"/>
  <c r="R254" i="3" s="1"/>
  <c r="F91" i="1"/>
  <c r="G91" i="1" s="1"/>
  <c r="S204" i="3"/>
  <c r="S55" i="3"/>
  <c r="S71" i="3"/>
  <c r="R205" i="3"/>
  <c r="R190" i="3"/>
  <c r="H190" i="3" s="1"/>
  <c r="S294" i="3"/>
  <c r="S82" i="3"/>
  <c r="S131" i="3" s="1"/>
  <c r="S96" i="3"/>
  <c r="S26" i="3"/>
  <c r="S18" i="3"/>
  <c r="S19" i="3" s="1"/>
  <c r="AA36" i="2"/>
  <c r="X37" i="2"/>
  <c r="R56" i="3"/>
  <c r="H55" i="3"/>
  <c r="R19" i="3"/>
  <c r="H19" i="3" s="1"/>
  <c r="H18" i="3"/>
  <c r="R164" i="3"/>
  <c r="H163" i="3"/>
  <c r="S253" i="3"/>
  <c r="S239" i="3"/>
  <c r="I239" i="3" s="1"/>
  <c r="I263" i="3"/>
  <c r="O263" i="3"/>
  <c r="O264" i="3" s="1"/>
  <c r="O267" i="3" s="1"/>
  <c r="O276" i="3" s="1"/>
  <c r="R279" i="3" s="1"/>
  <c r="F101" i="1"/>
  <c r="G101" i="1" s="1"/>
  <c r="S382" i="3"/>
  <c r="S383" i="3" s="1"/>
  <c r="I378" i="3"/>
  <c r="S358" i="3"/>
  <c r="S359" i="3" s="1"/>
  <c r="S360" i="3" s="1"/>
  <c r="O378" i="3"/>
  <c r="O381" i="3" s="1"/>
  <c r="R384" i="3" s="1"/>
  <c r="R378" i="3"/>
  <c r="R46" i="3"/>
  <c r="R37" i="3"/>
  <c r="S45" i="3"/>
  <c r="S181" i="3"/>
  <c r="S163" i="3"/>
  <c r="P239" i="3" l="1"/>
  <c r="P240" i="3" s="1"/>
  <c r="P243" i="3" s="1"/>
  <c r="P251" i="3" s="1"/>
  <c r="S254" i="3" s="1"/>
  <c r="I91" i="1"/>
  <c r="J91" i="1" s="1"/>
  <c r="P263" i="3"/>
  <c r="P264" i="3" s="1"/>
  <c r="P267" i="3" s="1"/>
  <c r="P276" i="3" s="1"/>
  <c r="S279" i="3" s="1"/>
  <c r="I101" i="1"/>
  <c r="J101" i="1" s="1"/>
  <c r="O190" i="3"/>
  <c r="O191" i="3" s="1"/>
  <c r="O195" i="3" s="1"/>
  <c r="O203" i="3" s="1"/>
  <c r="R206" i="3" s="1"/>
  <c r="F77" i="1"/>
  <c r="G77" i="1" s="1"/>
  <c r="S56" i="3"/>
  <c r="S57" i="3"/>
  <c r="R57" i="3"/>
  <c r="H57" i="3" s="1"/>
  <c r="H56" i="3"/>
  <c r="S165" i="3"/>
  <c r="S166" i="3" s="1"/>
  <c r="S164" i="3"/>
  <c r="S37" i="3"/>
  <c r="S38" i="3" s="1"/>
  <c r="S46" i="3"/>
  <c r="R38" i="3"/>
  <c r="H38" i="3" s="1"/>
  <c r="H37" i="3"/>
  <c r="O18" i="3"/>
  <c r="I18" i="3"/>
  <c r="F12" i="1"/>
  <c r="G12" i="1" s="1"/>
  <c r="S190" i="3"/>
  <c r="I190" i="3" s="1"/>
  <c r="S205" i="3"/>
  <c r="S313" i="3"/>
  <c r="S305" i="3"/>
  <c r="I305" i="3" s="1"/>
  <c r="P378" i="3"/>
  <c r="P381" i="3" s="1"/>
  <c r="S384" i="3" s="1"/>
  <c r="S378" i="3"/>
  <c r="I163" i="3"/>
  <c r="O163" i="3"/>
  <c r="F63" i="1"/>
  <c r="G63" i="1" s="1"/>
  <c r="I131" i="3"/>
  <c r="H132" i="3"/>
  <c r="F56" i="1" s="1"/>
  <c r="G56" i="1" s="1"/>
  <c r="O131" i="3"/>
  <c r="O132" i="3" s="1"/>
  <c r="O135" i="3" s="1"/>
  <c r="O145" i="3" s="1"/>
  <c r="R165" i="3"/>
  <c r="H164" i="3"/>
  <c r="I19" i="3"/>
  <c r="O19" i="3"/>
  <c r="F13" i="1"/>
  <c r="G13" i="1" s="1"/>
  <c r="O358" i="3"/>
  <c r="I358" i="3"/>
  <c r="P358" i="3" s="1"/>
  <c r="O287" i="3"/>
  <c r="O289" i="3" s="1"/>
  <c r="O293" i="3" s="1"/>
  <c r="R296" i="3" s="1"/>
  <c r="H297" i="3"/>
  <c r="F131" i="1" s="1"/>
  <c r="G131" i="1" s="1"/>
  <c r="F126" i="1"/>
  <c r="G126" i="1" s="1"/>
  <c r="I82" i="3"/>
  <c r="O82" i="3"/>
  <c r="O83" i="3" s="1"/>
  <c r="O86" i="3" s="1"/>
  <c r="O94" i="3" s="1"/>
  <c r="F38" i="1"/>
  <c r="G38" i="1" s="1"/>
  <c r="O305" i="3"/>
  <c r="O307" i="3" s="1"/>
  <c r="O311" i="3" s="1"/>
  <c r="R314" i="3" s="1"/>
  <c r="F134" i="1"/>
  <c r="G134" i="1" s="1"/>
  <c r="O55" i="3"/>
  <c r="I55" i="3"/>
  <c r="F25" i="1"/>
  <c r="G25" i="1" s="1"/>
  <c r="S287" i="3"/>
  <c r="I287" i="3" s="1"/>
  <c r="S295" i="3"/>
  <c r="R360" i="3"/>
  <c r="H360" i="3" s="1"/>
  <c r="H359" i="3"/>
  <c r="R97" i="3" l="1"/>
  <c r="P287" i="3"/>
  <c r="P289" i="3" s="1"/>
  <c r="P293" i="3" s="1"/>
  <c r="S296" i="3" s="1"/>
  <c r="I297" i="3"/>
  <c r="I131" i="1" s="1"/>
  <c r="J131" i="1" s="1"/>
  <c r="I126" i="1"/>
  <c r="J126" i="1" s="1"/>
  <c r="I359" i="3"/>
  <c r="P359" i="3" s="1"/>
  <c r="P361" i="3" s="1"/>
  <c r="P369" i="3" s="1"/>
  <c r="S372" i="3" s="1"/>
  <c r="O359" i="3"/>
  <c r="O361" i="3" s="1"/>
  <c r="O369" i="3" s="1"/>
  <c r="R372" i="3" s="1"/>
  <c r="P305" i="3"/>
  <c r="P307" i="3" s="1"/>
  <c r="P311" i="3" s="1"/>
  <c r="S314" i="3" s="1"/>
  <c r="I134" i="1"/>
  <c r="J134" i="1" s="1"/>
  <c r="I38" i="3"/>
  <c r="O38" i="3"/>
  <c r="F20" i="1"/>
  <c r="G20" i="1" s="1"/>
  <c r="P190" i="3"/>
  <c r="P191" i="3" s="1"/>
  <c r="P195" i="3" s="1"/>
  <c r="P203" i="3" s="1"/>
  <c r="S206" i="3" s="1"/>
  <c r="I77" i="1"/>
  <c r="J77" i="1" s="1"/>
  <c r="P131" i="3"/>
  <c r="P132" i="3" s="1"/>
  <c r="P135" i="3" s="1"/>
  <c r="P145" i="3" s="1"/>
  <c r="I132" i="3"/>
  <c r="I56" i="1" s="1"/>
  <c r="J56" i="1" s="1"/>
  <c r="P82" i="3"/>
  <c r="P83" i="3" s="1"/>
  <c r="P86" i="3" s="1"/>
  <c r="P94" i="3" s="1"/>
  <c r="S97" i="3" s="1"/>
  <c r="I38" i="1"/>
  <c r="J38" i="1" s="1"/>
  <c r="O360" i="3"/>
  <c r="I360" i="3"/>
  <c r="P360" i="3" s="1"/>
  <c r="P55" i="3"/>
  <c r="I25" i="1"/>
  <c r="J25" i="1" s="1"/>
  <c r="P19" i="3"/>
  <c r="I13" i="1"/>
  <c r="J13" i="1" s="1"/>
  <c r="P163" i="3"/>
  <c r="I63" i="1"/>
  <c r="J63" i="1" s="1"/>
  <c r="P18" i="3"/>
  <c r="I12" i="1"/>
  <c r="J12" i="1" s="1"/>
  <c r="I56" i="3"/>
  <c r="O56" i="3"/>
  <c r="H73" i="3" s="1"/>
  <c r="F26" i="1"/>
  <c r="G26" i="1" s="1"/>
  <c r="I164" i="3"/>
  <c r="O164" i="3"/>
  <c r="F64" i="1"/>
  <c r="G64" i="1" s="1"/>
  <c r="O20" i="3"/>
  <c r="I57" i="3"/>
  <c r="O57" i="3"/>
  <c r="F27" i="1"/>
  <c r="G27" i="1" s="1"/>
  <c r="R166" i="3"/>
  <c r="H166" i="3" s="1"/>
  <c r="H165" i="3"/>
  <c r="I37" i="3"/>
  <c r="O37" i="3"/>
  <c r="F19" i="1"/>
  <c r="G19" i="1" s="1"/>
  <c r="O39" i="3" l="1"/>
  <c r="P38" i="3"/>
  <c r="I20" i="1"/>
  <c r="J20" i="1" s="1"/>
  <c r="P56" i="3"/>
  <c r="P58" i="3" s="1"/>
  <c r="P61" i="3" s="1"/>
  <c r="P69" i="3" s="1"/>
  <c r="S72" i="3" s="1"/>
  <c r="I26" i="1"/>
  <c r="J26" i="1" s="1"/>
  <c r="O58" i="3"/>
  <c r="O61" i="3" s="1"/>
  <c r="O69" i="3" s="1"/>
  <c r="R72" i="3" s="1"/>
  <c r="R126" i="7"/>
  <c r="R113" i="7" s="1"/>
  <c r="O43" i="3"/>
  <c r="P37" i="3"/>
  <c r="P39" i="3" s="1"/>
  <c r="I19" i="1"/>
  <c r="J19" i="1" s="1"/>
  <c r="O165" i="3"/>
  <c r="I165" i="3"/>
  <c r="F65" i="1"/>
  <c r="G65" i="1" s="1"/>
  <c r="P164" i="3"/>
  <c r="I64" i="1"/>
  <c r="J64" i="1" s="1"/>
  <c r="P20" i="3"/>
  <c r="P57" i="3"/>
  <c r="I27" i="1"/>
  <c r="J27" i="1" s="1"/>
  <c r="R30" i="7"/>
  <c r="O23" i="3"/>
  <c r="O24" i="3" s="1"/>
  <c r="O166" i="3"/>
  <c r="H180" i="3" s="1"/>
  <c r="I166" i="3"/>
  <c r="F66" i="1"/>
  <c r="G66" i="1" s="1"/>
  <c r="P166" i="3" l="1"/>
  <c r="I66" i="1"/>
  <c r="J66" i="1" s="1"/>
  <c r="H24" i="3"/>
  <c r="R27" i="3"/>
  <c r="H179" i="3"/>
  <c r="O167" i="3"/>
  <c r="O171" i="3" s="1"/>
  <c r="O179" i="3" s="1"/>
  <c r="R182" i="3" s="1"/>
  <c r="H113" i="7"/>
  <c r="R114" i="7"/>
  <c r="P165" i="3"/>
  <c r="I179" i="3" s="1"/>
  <c r="I65" i="1"/>
  <c r="J65" i="1" s="1"/>
  <c r="R60" i="7"/>
  <c r="R47" i="7" s="1"/>
  <c r="R93" i="7"/>
  <c r="R80" i="7" s="1"/>
  <c r="R19" i="7"/>
  <c r="P43" i="3"/>
  <c r="S126" i="7"/>
  <c r="I180" i="3"/>
  <c r="O44" i="3"/>
  <c r="R47" i="3" s="1"/>
  <c r="H44" i="3"/>
  <c r="I73" i="3"/>
  <c r="S30" i="7"/>
  <c r="P23" i="3"/>
  <c r="P24" i="3" s="1"/>
  <c r="I44" i="3" l="1"/>
  <c r="P44" i="3"/>
  <c r="S47" i="3" s="1"/>
  <c r="I24" i="3"/>
  <c r="S27" i="3"/>
  <c r="H19" i="7"/>
  <c r="R20" i="7"/>
  <c r="S93" i="7"/>
  <c r="S60" i="7"/>
  <c r="R81" i="7"/>
  <c r="H80" i="7"/>
  <c r="H47" i="7"/>
  <c r="R48" i="7"/>
  <c r="O389" i="3"/>
  <c r="H114" i="7"/>
  <c r="R115" i="7"/>
  <c r="O113" i="7"/>
  <c r="P167" i="3"/>
  <c r="P171" i="3" s="1"/>
  <c r="P179" i="3" s="1"/>
  <c r="S182" i="3" s="1"/>
  <c r="O391" i="3" l="1"/>
  <c r="R49" i="7"/>
  <c r="H48" i="7"/>
  <c r="O114" i="7"/>
  <c r="F193" i="1"/>
  <c r="G193" i="1" s="1"/>
  <c r="H126" i="7"/>
  <c r="F199" i="1" s="1"/>
  <c r="G199" i="1" s="1"/>
  <c r="R82" i="7"/>
  <c r="H81" i="7"/>
  <c r="P389" i="3"/>
  <c r="R22" i="7"/>
  <c r="H20" i="7"/>
  <c r="O19" i="7"/>
  <c r="F152" i="1"/>
  <c r="G152" i="1" s="1"/>
  <c r="O47" i="7"/>
  <c r="H60" i="7"/>
  <c r="F170" i="1" s="1"/>
  <c r="G170" i="1" s="1"/>
  <c r="O80" i="7"/>
  <c r="F178" i="1"/>
  <c r="G178" i="1" s="1"/>
  <c r="H115" i="7"/>
  <c r="R117" i="7"/>
  <c r="P391" i="3" l="1"/>
  <c r="P395" i="3"/>
  <c r="R84" i="7"/>
  <c r="H82" i="7"/>
  <c r="O20" i="7"/>
  <c r="F153" i="1"/>
  <c r="G153" i="1" s="1"/>
  <c r="O115" i="7"/>
  <c r="F194" i="1"/>
  <c r="G194" i="1" s="1"/>
  <c r="H135" i="7"/>
  <c r="H133" i="7"/>
  <c r="H117" i="7"/>
  <c r="R118" i="7"/>
  <c r="R23" i="7"/>
  <c r="H23" i="7" s="1"/>
  <c r="H22" i="7"/>
  <c r="O48" i="7"/>
  <c r="F164" i="1"/>
  <c r="G164" i="1" s="1"/>
  <c r="H35" i="7"/>
  <c r="O81" i="7"/>
  <c r="F179" i="1"/>
  <c r="G179" i="1" s="1"/>
  <c r="R51" i="7"/>
  <c r="H49" i="7"/>
  <c r="O23" i="7" l="1"/>
  <c r="F156" i="1"/>
  <c r="G156" i="1" s="1"/>
  <c r="H118" i="7"/>
  <c r="R119" i="7"/>
  <c r="H119" i="7" s="1"/>
  <c r="O49" i="7"/>
  <c r="F165" i="1"/>
  <c r="G165" i="1" s="1"/>
  <c r="H69" i="7"/>
  <c r="R85" i="7"/>
  <c r="H84" i="7"/>
  <c r="S19" i="7"/>
  <c r="O117" i="7"/>
  <c r="H51" i="7"/>
  <c r="R52" i="7"/>
  <c r="O82" i="7"/>
  <c r="F180" i="1"/>
  <c r="G180" i="1" s="1"/>
  <c r="H101" i="7"/>
  <c r="H98" i="7"/>
  <c r="H67" i="7"/>
  <c r="O22" i="7"/>
  <c r="O24" i="7" s="1"/>
  <c r="H36" i="7"/>
  <c r="F155" i="1"/>
  <c r="G155" i="1" s="1"/>
  <c r="O27" i="7" l="1"/>
  <c r="O28" i="7" s="1"/>
  <c r="H28" i="7" s="1"/>
  <c r="R31" i="7"/>
  <c r="O119" i="7"/>
  <c r="F197" i="1"/>
  <c r="G197" i="1" s="1"/>
  <c r="H52" i="7"/>
  <c r="R53" i="7"/>
  <c r="H53" i="7" s="1"/>
  <c r="O51" i="7"/>
  <c r="S20" i="7"/>
  <c r="I19" i="7"/>
  <c r="O84" i="7"/>
  <c r="F182" i="1"/>
  <c r="G182" i="1" s="1"/>
  <c r="O118" i="7"/>
  <c r="O120" i="7" s="1"/>
  <c r="H134" i="7"/>
  <c r="F196" i="1"/>
  <c r="G196" i="1" s="1"/>
  <c r="R86" i="7"/>
  <c r="H86" i="7" s="1"/>
  <c r="H102" i="7" s="1"/>
  <c r="H85" i="7"/>
  <c r="S113" i="7"/>
  <c r="O123" i="7" l="1"/>
  <c r="O124" i="7" s="1"/>
  <c r="H124" i="7" s="1"/>
  <c r="R127" i="7"/>
  <c r="O52" i="7"/>
  <c r="H68" i="7"/>
  <c r="F167" i="1"/>
  <c r="G167" i="1" s="1"/>
  <c r="P19" i="7"/>
  <c r="I152" i="1"/>
  <c r="J152" i="1" s="1"/>
  <c r="S22" i="7"/>
  <c r="I20" i="7"/>
  <c r="I35" i="7" s="1"/>
  <c r="S47" i="7"/>
  <c r="S114" i="7"/>
  <c r="I113" i="7"/>
  <c r="O86" i="7"/>
  <c r="F184" i="1"/>
  <c r="G184" i="1" s="1"/>
  <c r="H99" i="7"/>
  <c r="O85" i="7"/>
  <c r="F183" i="1"/>
  <c r="G183" i="1" s="1"/>
  <c r="S80" i="7"/>
  <c r="O53" i="7"/>
  <c r="F168" i="1"/>
  <c r="G168" i="1" s="1"/>
  <c r="S81" i="7" l="1"/>
  <c r="I80" i="7"/>
  <c r="P113" i="7"/>
  <c r="S115" i="7"/>
  <c r="I114" i="7"/>
  <c r="S48" i="7"/>
  <c r="I47" i="7"/>
  <c r="P20" i="7"/>
  <c r="I153" i="1"/>
  <c r="J153" i="1" s="1"/>
  <c r="S23" i="7"/>
  <c r="I23" i="7" s="1"/>
  <c r="I22" i="7"/>
  <c r="O87" i="7"/>
  <c r="O54" i="7"/>
  <c r="O57" i="7" l="1"/>
  <c r="O58" i="7" s="1"/>
  <c r="H58" i="7" s="1"/>
  <c r="R61" i="7"/>
  <c r="S49" i="7"/>
  <c r="I48" i="7"/>
  <c r="P114" i="7"/>
  <c r="I193" i="1"/>
  <c r="J193" i="1" s="1"/>
  <c r="S117" i="7"/>
  <c r="I115" i="7"/>
  <c r="I133" i="7" s="1"/>
  <c r="P22" i="7"/>
  <c r="I36" i="7"/>
  <c r="I155" i="1"/>
  <c r="J155" i="1" s="1"/>
  <c r="P23" i="7"/>
  <c r="I156" i="1"/>
  <c r="J156" i="1" s="1"/>
  <c r="R94" i="7"/>
  <c r="O90" i="7"/>
  <c r="O91" i="7" s="1"/>
  <c r="H91" i="7" s="1"/>
  <c r="I126" i="7"/>
  <c r="I199" i="1" s="1"/>
  <c r="J199" i="1" s="1"/>
  <c r="P80" i="7"/>
  <c r="I178" i="1"/>
  <c r="J178" i="1" s="1"/>
  <c r="I60" i="7"/>
  <c r="I170" i="1" s="1"/>
  <c r="J170" i="1" s="1"/>
  <c r="P47" i="7"/>
  <c r="S82" i="7"/>
  <c r="I81" i="7"/>
  <c r="S118" i="7" l="1"/>
  <c r="I117" i="7"/>
  <c r="P117" i="7" s="1"/>
  <c r="S51" i="7"/>
  <c r="I49" i="7"/>
  <c r="P81" i="7"/>
  <c r="I179" i="1"/>
  <c r="J179" i="1" s="1"/>
  <c r="P48" i="7"/>
  <c r="I164" i="1"/>
  <c r="J164" i="1" s="1"/>
  <c r="P24" i="7"/>
  <c r="S84" i="7"/>
  <c r="I82" i="7"/>
  <c r="I98" i="7" s="1"/>
  <c r="P115" i="7"/>
  <c r="I194" i="1"/>
  <c r="J194" i="1" s="1"/>
  <c r="I135" i="7"/>
  <c r="P27" i="7" l="1"/>
  <c r="P28" i="7" s="1"/>
  <c r="I28" i="7" s="1"/>
  <c r="S31" i="7"/>
  <c r="P82" i="7"/>
  <c r="I180" i="1"/>
  <c r="J180" i="1" s="1"/>
  <c r="I101" i="7"/>
  <c r="S85" i="7"/>
  <c r="I84" i="7"/>
  <c r="P49" i="7"/>
  <c r="I165" i="1"/>
  <c r="J165" i="1" s="1"/>
  <c r="I69" i="7"/>
  <c r="S52" i="7"/>
  <c r="I51" i="7"/>
  <c r="P51" i="7" s="1"/>
  <c r="I67" i="7"/>
  <c r="S119" i="7"/>
  <c r="I119" i="7" s="1"/>
  <c r="I118" i="7"/>
  <c r="P119" i="7" l="1"/>
  <c r="I197" i="1"/>
  <c r="J197" i="1" s="1"/>
  <c r="S86" i="7"/>
  <c r="I86" i="7" s="1"/>
  <c r="I102" i="7" s="1"/>
  <c r="I85" i="7"/>
  <c r="S53" i="7"/>
  <c r="I53" i="7" s="1"/>
  <c r="I52" i="7"/>
  <c r="P118" i="7"/>
  <c r="I134" i="7"/>
  <c r="I196" i="1"/>
  <c r="J196" i="1" s="1"/>
  <c r="P84" i="7"/>
  <c r="I182" i="1"/>
  <c r="J182" i="1" s="1"/>
  <c r="P120" i="7" l="1"/>
  <c r="P52" i="7"/>
  <c r="I68" i="7"/>
  <c r="I167" i="1"/>
  <c r="J167" i="1" s="1"/>
  <c r="I99" i="7"/>
  <c r="P85" i="7"/>
  <c r="I183" i="1"/>
  <c r="J183" i="1" s="1"/>
  <c r="P53" i="7"/>
  <c r="P54" i="7" s="1"/>
  <c r="I168" i="1"/>
  <c r="J168" i="1" s="1"/>
  <c r="P86" i="7"/>
  <c r="I184" i="1"/>
  <c r="J184" i="1" s="1"/>
  <c r="P123" i="7"/>
  <c r="P124" i="7" s="1"/>
  <c r="I124" i="7" s="1"/>
  <c r="S127" i="7"/>
  <c r="P87" i="7" l="1"/>
  <c r="S61" i="7"/>
  <c r="P57" i="7"/>
  <c r="P58" i="7" s="1"/>
  <c r="I58" i="7" s="1"/>
  <c r="S94" i="7"/>
  <c r="P90" i="7"/>
  <c r="P91" i="7" s="1"/>
  <c r="I91" i="7" s="1"/>
  <c r="V21" i="8" l="1"/>
  <c r="U21" i="8" s="1"/>
  <c r="X21" i="8" s="1"/>
  <c r="N27" i="8"/>
  <c r="V15" i="8"/>
  <c r="U15" i="8" s="1"/>
  <c r="X15" i="8" s="1"/>
  <c r="V13" i="8"/>
  <c r="U13" i="8" s="1"/>
  <c r="X13" i="8" s="1"/>
  <c r="V14" i="8"/>
  <c r="U14" i="8" s="1"/>
  <c r="X14" i="8" s="1"/>
  <c r="V17" i="8"/>
  <c r="U17" i="8" s="1"/>
  <c r="X17" i="8" s="1"/>
  <c r="V22" i="8"/>
  <c r="U22" i="8" s="1"/>
  <c r="X22" i="8" s="1"/>
  <c r="O27" i="8"/>
  <c r="F27" i="8"/>
  <c r="I27" i="8" s="1"/>
  <c r="V16" i="8"/>
  <c r="U16" i="8" s="1"/>
  <c r="X16" i="8" s="1"/>
  <c r="V19" i="8"/>
  <c r="U19" i="8" s="1"/>
  <c r="X19" i="8" s="1"/>
  <c r="G27" i="8"/>
  <c r="L27" i="8"/>
  <c r="V18" i="8"/>
  <c r="U18" i="8" s="1"/>
  <c r="X18" i="8" s="1"/>
  <c r="V23" i="8"/>
  <c r="U23" i="8" s="1"/>
  <c r="X23" i="8" s="1"/>
  <c r="V20" i="8"/>
  <c r="U20" i="8" s="1"/>
  <c r="X20" i="8" s="1"/>
  <c r="R22" i="8" l="1"/>
  <c r="J27" i="8"/>
  <c r="J25" i="8"/>
  <c r="J21" i="8"/>
  <c r="J20" i="8"/>
  <c r="J18" i="8"/>
  <c r="J17" i="8"/>
  <c r="J16" i="8"/>
  <c r="J24" i="8"/>
  <c r="J14" i="8"/>
  <c r="J23" i="8"/>
  <c r="J22" i="8"/>
  <c r="J19" i="8"/>
  <c r="J15" i="8"/>
  <c r="J13" i="8"/>
  <c r="U27" i="8"/>
  <c r="X27" i="8" s="1"/>
  <c r="Y13" i="8" s="1"/>
  <c r="V27" i="8"/>
  <c r="R20" i="8" l="1"/>
  <c r="R14" i="8"/>
  <c r="R17" i="8"/>
  <c r="R13" i="8"/>
  <c r="R19" i="8"/>
  <c r="R16" i="8"/>
  <c r="R24" i="8"/>
  <c r="R18" i="8"/>
  <c r="R25" i="8"/>
  <c r="R23" i="8"/>
  <c r="R15" i="8"/>
  <c r="R21" i="8"/>
  <c r="R27" i="8"/>
  <c r="Y21" i="8"/>
  <c r="Y17" i="8"/>
  <c r="Y15" i="8"/>
  <c r="Y14" i="8"/>
  <c r="Y24" i="8"/>
  <c r="Y19" i="8"/>
  <c r="Y22" i="8"/>
  <c r="Y16" i="8"/>
  <c r="Y18" i="8"/>
  <c r="Y27" i="8"/>
  <c r="Y25" i="8"/>
  <c r="Y20" i="8"/>
  <c r="Y2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tc={40FC5324-F0F1-4B58-BF4C-CEC6C7C23A73}</author>
  </authors>
  <commentList>
    <comment ref="R110"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Per agreement cannot have discount for more than 45%</t>
      </text>
    </comment>
  </commentList>
</comments>
</file>

<file path=xl/sharedStrings.xml><?xml version="1.0" encoding="utf-8"?>
<sst xmlns="http://schemas.openxmlformats.org/spreadsheetml/2006/main" count="1437" uniqueCount="476">
  <si>
    <t>Schedule 324</t>
  </si>
  <si>
    <t>Off-Peak kWh</t>
  </si>
  <si>
    <t>On-Peak kWh</t>
  </si>
  <si>
    <t>Summer</t>
  </si>
  <si>
    <t>Winter</t>
  </si>
  <si>
    <t xml:space="preserve"> / kWh</t>
  </si>
  <si>
    <t>Energy Charge ( / kWh)</t>
  </si>
  <si>
    <t>Basic Charge ( / Month) - Three Phase</t>
  </si>
  <si>
    <t>Basic Charge ( / Month) - One Phase</t>
  </si>
  <si>
    <t>General Service (Secondary Voltage, Demand 50 kW and less)</t>
  </si>
  <si>
    <t xml:space="preserve">(324) </t>
  </si>
  <si>
    <t>Time of Use Tariffs: (included in above "08 (24) (324)"):</t>
  </si>
  <si>
    <t>Schedule 327</t>
  </si>
  <si>
    <t>Super Off-Peak kWh</t>
  </si>
  <si>
    <t>Residential Service</t>
  </si>
  <si>
    <t xml:space="preserve">(327) </t>
  </si>
  <si>
    <t>Schedule 317</t>
  </si>
  <si>
    <t xml:space="preserve">(317) </t>
  </si>
  <si>
    <t>Schedule 307</t>
  </si>
  <si>
    <t xml:space="preserve">(307) </t>
  </si>
  <si>
    <t>Time of Use Tariffs: (included in above "7 (307) (317) (327)"):</t>
  </si>
  <si>
    <t>449-I</t>
  </si>
  <si>
    <t>Schedule 449</t>
  </si>
  <si>
    <t>Customer Charge ( / Month)</t>
  </si>
  <si>
    <t>Retail Wheeling Service &amp; Back Up Distribution Service</t>
  </si>
  <si>
    <t>449 / 459</t>
  </si>
  <si>
    <t>448-I</t>
  </si>
  <si>
    <t>Schedule 448</t>
  </si>
  <si>
    <t>Power Supplier Choice &amp; Back Up Distribution Service</t>
  </si>
  <si>
    <t>448 / 458</t>
  </si>
  <si>
    <t xml:space="preserve"> / kVa</t>
  </si>
  <si>
    <t>Schedule 49</t>
  </si>
  <si>
    <t xml:space="preserve">Demand Charge ( / kVa) </t>
  </si>
  <si>
    <t>Energy Charge ( / kWh) - All kWh</t>
  </si>
  <si>
    <t>General Service (High Voltage)</t>
  </si>
  <si>
    <t>49</t>
  </si>
  <si>
    <t>46-A</t>
  </si>
  <si>
    <t>Schedule 46</t>
  </si>
  <si>
    <t>Minimum Charge - Energy</t>
  </si>
  <si>
    <t>Minimum Charge - Demand</t>
  </si>
  <si>
    <t>Demand Charge ( / kVa)</t>
  </si>
  <si>
    <t>Interruptible Service (High Voltage)</t>
  </si>
  <si>
    <t>46</t>
  </si>
  <si>
    <t>---</t>
  </si>
  <si>
    <t>Secondary Voltage  Consumption (&lt;=350 kW Peak Demand)</t>
  </si>
  <si>
    <t>Secondary Voltage  Consumption (&gt;350 kW Peak Demand)</t>
  </si>
  <si>
    <t>Primary Voltage Consumption</t>
  </si>
  <si>
    <t>Interim Distribution Charge</t>
  </si>
  <si>
    <t>Substation Land Fixed Charge Rate (FCR)</t>
  </si>
  <si>
    <t>Underground Feeder O&amp;M Rate</t>
  </si>
  <si>
    <t>Overhead Feeder O&amp;M Rate</t>
  </si>
  <si>
    <t>Substation A&amp;G Rate</t>
  </si>
  <si>
    <t>Substation A&amp;G OH Rate</t>
  </si>
  <si>
    <t>Substation O&amp;M Rate</t>
  </si>
  <si>
    <t>Energy Charge</t>
  </si>
  <si>
    <t>Basic Charge</t>
  </si>
  <si>
    <t>Special Contract</t>
  </si>
  <si>
    <t>43-A</t>
  </si>
  <si>
    <t>Schedule 43</t>
  </si>
  <si>
    <t>Reactive Power Charge ( / kVarh)</t>
  </si>
  <si>
    <t>Critical Demand Charge ( / kW) - All kW (Sch 43 vs. Winter 31)</t>
  </si>
  <si>
    <t xml:space="preserve"> / kW</t>
  </si>
  <si>
    <t>Demand Charge ( / kW)  - All kW</t>
  </si>
  <si>
    <t>Basic Charge ( / Month)</t>
  </si>
  <si>
    <t>Interruptible Service for All Electric Schools (Primary Voltage)</t>
  </si>
  <si>
    <t>43</t>
  </si>
  <si>
    <t>Schedule 35</t>
  </si>
  <si>
    <t>Demand Charge ( / kW) - Apr to Sep - All kW</t>
  </si>
  <si>
    <t>Demand Charge ( / kW) - Oct to Mar - All kW</t>
  </si>
  <si>
    <t>Seasonal Irrigation &amp; Drainage Service (Primary Voltage)</t>
  </si>
  <si>
    <t>35</t>
  </si>
  <si>
    <t>Schedule 31</t>
  </si>
  <si>
    <t>31-B</t>
  </si>
  <si>
    <t>Conjunctive Maximum Demand Charge</t>
  </si>
  <si>
    <t>Delivery Demand Charge</t>
  </si>
  <si>
    <t>Demand Charge ( / kW) - Apr to Sep</t>
  </si>
  <si>
    <t>Demand Charge ( / kW) - Oct to Mar</t>
  </si>
  <si>
    <t>General Service (Primary Voltage)</t>
  </si>
  <si>
    <t>10 (31)</t>
  </si>
  <si>
    <t>Schedule 29</t>
  </si>
  <si>
    <t>Demand Charge ( / kW) - Apr to Sep - Over 50 kW</t>
  </si>
  <si>
    <t>Demand Charge ( / kW) - Oct to Mar - Over 50 kW</t>
  </si>
  <si>
    <t>Demand Charge ( / kW)  - All - First 50 kW</t>
  </si>
  <si>
    <t>Energy Charge ( / kWh) - Apr to Sep - Over 20,000 kWh</t>
  </si>
  <si>
    <t>Energy Charge ( / kWh) - Apr to Sep - First 20,000 kWh</t>
  </si>
  <si>
    <t>Energy Charge ( / kWh) - Oct to Mar - Over 20,000 kWh</t>
  </si>
  <si>
    <t>Energy Charge ( / kWh) - Oct to Mar - First 20,000 kWh</t>
  </si>
  <si>
    <t>General Service (Secondary Voltage, Demand &gt; 50 kW and &lt;= 350 kW)</t>
  </si>
  <si>
    <t>29</t>
  </si>
  <si>
    <t>Effective Reactive Power Charge</t>
  </si>
  <si>
    <t>Effective Energy Charge</t>
  </si>
  <si>
    <t>Effective Demand Charge - Summer</t>
  </si>
  <si>
    <t>Effective Demand Charge - Winter</t>
  </si>
  <si>
    <t>Effective Basic Charge</t>
  </si>
  <si>
    <t>Schedule 26</t>
  </si>
  <si>
    <t>Energy &amp; Reactive Power Credit (% reduction to all base rates)</t>
  </si>
  <si>
    <t>Demand Charge (credit per kW to all Demand Rates)</t>
  </si>
  <si>
    <t xml:space="preserve"> Basic Charge (in addition to Secondary Voltage Rate)</t>
  </si>
  <si>
    <t>Primary Voltage Adjustment</t>
  </si>
  <si>
    <t>26-B</t>
  </si>
  <si>
    <t>Energy Charge ( / kWh)  - all kWh</t>
  </si>
  <si>
    <t>General Service (Secondary Voltage, Demand &gt; 350 kW)</t>
  </si>
  <si>
    <t>12 (26) (26P)</t>
  </si>
  <si>
    <t>7-B, 25-A</t>
  </si>
  <si>
    <t>Schedule 7A, 25</t>
  </si>
  <si>
    <t>7-B, 25</t>
  </si>
  <si>
    <t>Demand Charge ( / kW) - All - First 50 kW</t>
  </si>
  <si>
    <t>Energy Charge ( / kWh) - All Over 20,000 kWh</t>
  </si>
  <si>
    <t>7A (11) (25)</t>
  </si>
  <si>
    <t>Schedule 24</t>
  </si>
  <si>
    <t>Energy Charge ( / kWh) - Apr to Sep - All kWh</t>
  </si>
  <si>
    <t>Energy Charge ( / kWh) - Oct to Mar - All kWh</t>
  </si>
  <si>
    <t>08 (24) (324)</t>
  </si>
  <si>
    <t>Schedule 7</t>
  </si>
  <si>
    <t>Energy Charge ( / kWh) - Over 600 kWh (Alt)</t>
  </si>
  <si>
    <t>Sheet No. 141WFR</t>
  </si>
  <si>
    <t>Sheet No. 141DCARB</t>
  </si>
  <si>
    <t>Sheet No. 141CGR</t>
  </si>
  <si>
    <t>Energy Charge ( / kWh) - First 600 kWh (Alt)</t>
  </si>
  <si>
    <t>7 (307) (317) (327)</t>
  </si>
  <si>
    <t>r</t>
  </si>
  <si>
    <t>q</t>
  </si>
  <si>
    <t>p</t>
  </si>
  <si>
    <t>o</t>
  </si>
  <si>
    <t>n</t>
  </si>
  <si>
    <t>m</t>
  </si>
  <si>
    <t>l</t>
  </si>
  <si>
    <t>k</t>
  </si>
  <si>
    <t>j</t>
  </si>
  <si>
    <t>i</t>
  </si>
  <si>
    <t>h</t>
  </si>
  <si>
    <t>g = f - d</t>
  </si>
  <si>
    <t>f</t>
  </si>
  <si>
    <t>e = d - c</t>
  </si>
  <si>
    <t>d</t>
  </si>
  <si>
    <t>c</t>
  </si>
  <si>
    <t>b</t>
  </si>
  <si>
    <t>a</t>
  </si>
  <si>
    <t>Tariff
Reference</t>
  </si>
  <si>
    <t>Charge</t>
  </si>
  <si>
    <t>Sheet No.</t>
  </si>
  <si>
    <t>MYRP 2026 Rate Change January 2026</t>
  </si>
  <si>
    <t>MYRP 2026 Rates Effective January 2026</t>
  </si>
  <si>
    <t>MYRP 2025 Rate Change January 2025</t>
  </si>
  <si>
    <t>MYRP 2025 Rates Effective January 2025</t>
  </si>
  <si>
    <t>Effective January 11, 2023</t>
  </si>
  <si>
    <t>Tariff
Rate
Schedule</t>
  </si>
  <si>
    <t>Line No.</t>
  </si>
  <si>
    <t>SCH 141WFP – Wildfire Prevention Cost Recovery Adjustment Tracker</t>
  </si>
  <si>
    <t>SCH 141DCARB Decarbonization Rate Adjustment Tracker</t>
  </si>
  <si>
    <t>SCH 141CGR Clean Generation Resources Tracker</t>
  </si>
  <si>
    <t>Proposed</t>
  </si>
  <si>
    <t>Current Rates</t>
  </si>
  <si>
    <t>Electric Tariffed Rate Components</t>
  </si>
  <si>
    <t>Average Change After Firm Resale adjusted for Unequal Allocation of Change</t>
  </si>
  <si>
    <t>Adjustment to Average Change for Unequal Allocation of Change</t>
  </si>
  <si>
    <t>Average Change After Transportation, Special Contract, Firm Resale</t>
  </si>
  <si>
    <t>Average Change Before Transportation, Special Contract &amp; Firm Resale</t>
  </si>
  <si>
    <t>Exhibit: SEF-4E</t>
  </si>
  <si>
    <t xml:space="preserve">MYRP NET REVENUE CHANGE in Targeted Electrification Pilot Adj </t>
  </si>
  <si>
    <t>cross check</t>
  </si>
  <si>
    <t>MYRP NET REVENUE CHANGE IN BASE RATES BY RATE YEAR</t>
  </si>
  <si>
    <t>MYRP CUMULATIVE REVENUE CHANGE</t>
  </si>
  <si>
    <t>MYRP 2026</t>
  </si>
  <si>
    <t>MYRP 2025</t>
  </si>
  <si>
    <t>Cross check</t>
  </si>
  <si>
    <t>Total Sales</t>
  </si>
  <si>
    <t>-</t>
  </si>
  <si>
    <t>Firm Resale</t>
  </si>
  <si>
    <t>Total Jurisdictional Retail Sales</t>
  </si>
  <si>
    <t>03, 50-59</t>
  </si>
  <si>
    <t>Lighting</t>
  </si>
  <si>
    <t xml:space="preserve">449 / 459 </t>
  </si>
  <si>
    <t>Choice / Retail Wheeling</t>
  </si>
  <si>
    <t>.</t>
  </si>
  <si>
    <t>46 / 49</t>
  </si>
  <si>
    <t>Total High Voltage</t>
  </si>
  <si>
    <t>Total Primary Voltage</t>
  </si>
  <si>
    <t>Interruptible Total Electric Schools</t>
  </si>
  <si>
    <t>Irrigation</t>
  </si>
  <si>
    <t>General Service</t>
  </si>
  <si>
    <t>Primary Voltage</t>
  </si>
  <si>
    <t>Total Secondary Voltage</t>
  </si>
  <si>
    <t>Demand &gt; 50 kW but &lt;= 350 kW</t>
  </si>
  <si>
    <t>Demand &gt; 350 kW</t>
  </si>
  <si>
    <t>Demand &lt;= 50 kW</t>
  </si>
  <si>
    <t>Secondary Voltage</t>
  </si>
  <si>
    <t>Residential</t>
  </si>
  <si>
    <t>v =h + l + n + r + t</t>
  </si>
  <si>
    <t>u = (r + t) / h</t>
  </si>
  <si>
    <t>t</t>
  </si>
  <si>
    <t>s</t>
  </si>
  <si>
    <t>r = h * r</t>
  </si>
  <si>
    <t>p = f + l + n</t>
  </si>
  <si>
    <t>o = (l + n) / f</t>
  </si>
  <si>
    <t>l = k * f</t>
  </si>
  <si>
    <t>g</t>
  </si>
  <si>
    <t>e</t>
  </si>
  <si>
    <t>Proposed
Revenue</t>
  </si>
  <si>
    <t>Proposed Revenue Change
(%)</t>
  </si>
  <si>
    <t>Proposed Targeted Electrification Pilot Revenue
Change</t>
  </si>
  <si>
    <t>Proposed Targeted Electrification Pilot Revenue Change
(%)</t>
  </si>
  <si>
    <t>Proposed
Revenue
Change</t>
  </si>
  <si>
    <t>Proposed Uniform Revenue Change
(%)</t>
  </si>
  <si>
    <t>ECOS Parity Ratio</t>
  </si>
  <si>
    <t>Percent of Uniform Change</t>
  </si>
  <si>
    <t>MYRP 2026 Proforma
Revenue</t>
  </si>
  <si>
    <t>MYRP 2026 F23 Forecast KWh</t>
  </si>
  <si>
    <t>MYRP 2025 Proforma
Revenue</t>
  </si>
  <si>
    <t>MYRP 2025 F23 Forecast KWh</t>
  </si>
  <si>
    <t>Test Year Ending June 2023
Revenue</t>
  </si>
  <si>
    <t>Test Year KWh</t>
  </si>
  <si>
    <t>Schedule</t>
  </si>
  <si>
    <t>Voltage Level</t>
  </si>
  <si>
    <t xml:space="preserve">MYRP 2025 </t>
  </si>
  <si>
    <t>Summary - Rate Spread</t>
  </si>
  <si>
    <t>Electric Summary - Rate Spread</t>
  </si>
  <si>
    <t>Twelve Months ended December 2008</t>
  </si>
  <si>
    <t xml:space="preserve">2024 GRC Test year: 12 Months ended June 30, 2023 and MYRP 2025, MYRP 2026 </t>
  </si>
  <si>
    <t>Twelve Months ended December 2009</t>
  </si>
  <si>
    <t>TOTAL REVENUE</t>
  </si>
  <si>
    <t>TOTAL DEMAND KWs/Kvas + Distribution charge</t>
  </si>
  <si>
    <t>TOTAL ENERGY KWHs</t>
  </si>
  <si>
    <t>Class Average Increase/(Decrease)</t>
  </si>
  <si>
    <t>Class Increase/(Decrease)</t>
  </si>
  <si>
    <t xml:space="preserve">  Total</t>
  </si>
  <si>
    <t>Subtotal</t>
  </si>
  <si>
    <t>Included in volumes above</t>
  </si>
  <si>
    <t>Unbilled</t>
  </si>
  <si>
    <t>Temperature Adjustment</t>
  </si>
  <si>
    <t>Energy Increase/(Decrease)</t>
  </si>
  <si>
    <t>All kWh</t>
  </si>
  <si>
    <t>Average Rate:</t>
  </si>
  <si>
    <t>Street Lighting</t>
  </si>
  <si>
    <t>SCHEDULE 03, 50-59</t>
  </si>
  <si>
    <t>Revenue Deficiency</t>
  </si>
  <si>
    <t>State Utility Tax</t>
  </si>
  <si>
    <t>Reactive Power Charge Increase/(Decrease)</t>
  </si>
  <si>
    <t>Reactive Power Charge</t>
  </si>
  <si>
    <t>Demand Charge Increase/(Decrease)</t>
  </si>
  <si>
    <t>Demand Charge</t>
  </si>
  <si>
    <t>Annual Customer Count</t>
  </si>
  <si>
    <t>Wholesale for Resale</t>
  </si>
  <si>
    <t>SCHEDULE 005</t>
  </si>
  <si>
    <t>Distribution Charge Increase/(Decrease)</t>
  </si>
  <si>
    <t>Distribution Charges</t>
  </si>
  <si>
    <t>Set to COS Basic Charge</t>
  </si>
  <si>
    <t>Customer Charges</t>
  </si>
  <si>
    <t>OATT Charges</t>
  </si>
  <si>
    <t>Total kVa</t>
  </si>
  <si>
    <t>Customer Migration</t>
  </si>
  <si>
    <t>Choice / Retail Wheeling Service</t>
  </si>
  <si>
    <t>Demand Charge (kVa)</t>
  </si>
  <si>
    <t>High Voltage General Service</t>
  </si>
  <si>
    <t>Annual Demand Charge</t>
  </si>
  <si>
    <t>Annual Energy Minimum Charge</t>
  </si>
  <si>
    <t>High Voltage Interruptible Service</t>
  </si>
  <si>
    <t>Avg Demand</t>
  </si>
  <si>
    <t>Reactive Power</t>
  </si>
  <si>
    <t>Critical Charge Increase/(Decrease)</t>
  </si>
  <si>
    <t>Critical Demand</t>
  </si>
  <si>
    <t>All Demand</t>
  </si>
  <si>
    <t>Demand Charges</t>
  </si>
  <si>
    <t>Energy Charges</t>
  </si>
  <si>
    <t>Basic Charge Increase/(Decrease)</t>
  </si>
  <si>
    <t>Primary Voltage Interruptible Schools</t>
  </si>
  <si>
    <t>Summer Demand (Apr to Sep)</t>
  </si>
  <si>
    <t>Winter Demand (Oct to Mar)</t>
  </si>
  <si>
    <t>Primary Voltage General Service</t>
  </si>
  <si>
    <t>Total Demand Cost of Service</t>
  </si>
  <si>
    <t>Distribution</t>
  </si>
  <si>
    <t>Transmission</t>
  </si>
  <si>
    <t>Production</t>
  </si>
  <si>
    <t>Cost of Service Demand Components</t>
  </si>
  <si>
    <t>Conjunctive Delivery Demand Increase/(Decrease)</t>
  </si>
  <si>
    <t>Conjunctive Maximum Demand</t>
  </si>
  <si>
    <t>Conjunctive Delivery Demand</t>
  </si>
  <si>
    <t>Secondary Voltage Large Demand General Service</t>
  </si>
  <si>
    <t>SCHEDULES 10 &amp; 31 (Conjunctive Demand Service Option)</t>
  </si>
  <si>
    <t>Avg Energy Block 2</t>
  </si>
  <si>
    <t>Avg Energy Block 1</t>
  </si>
  <si>
    <t>Summer Demand over 50 kW</t>
  </si>
  <si>
    <t>Winter Demand over 50 kW</t>
  </si>
  <si>
    <t>Temperature Adjustment - Summer</t>
  </si>
  <si>
    <t>Temperature Adjustment - Winter</t>
  </si>
  <si>
    <t>Over 20,000 kWh (Summer Apr to Sep)</t>
  </si>
  <si>
    <t>First 20,000 kWh (Summer Apr to Sep)</t>
  </si>
  <si>
    <t>Over 20,000 kWh (Winter Oct to Mar)</t>
  </si>
  <si>
    <t>First 20,000 kWh (Winter Oct to Mar)</t>
  </si>
  <si>
    <t xml:space="preserve">  Three Phase</t>
  </si>
  <si>
    <t xml:space="preserve">  Single Phase</t>
  </si>
  <si>
    <t>Secondary Voltage Irrigation &amp; Pumping Service</t>
  </si>
  <si>
    <t>Reactive Power Charge Reduction to Base Rates:</t>
  </si>
  <si>
    <t>Energy Charge Reduction to Base Rates:</t>
  </si>
  <si>
    <t>Demand Credit per kW to all Demand:</t>
  </si>
  <si>
    <t>Test Year</t>
  </si>
  <si>
    <t>Adjustments to Secondary Voltage Rates for Delivery at Primary Voltage:</t>
  </si>
  <si>
    <t>Primary Voltage Demand Charge Increase/(Decrease)</t>
  </si>
  <si>
    <t>Primary Adder</t>
  </si>
  <si>
    <t>SCHEDULE 26P</t>
  </si>
  <si>
    <t>SCHEDULES 12 &amp; 26 (Conjunctive Demand Service Option)</t>
  </si>
  <si>
    <t>SCHEDULES 12 &amp; 26</t>
  </si>
  <si>
    <t>All additional kWh</t>
  </si>
  <si>
    <t>Secondary Voltage Small Demand General Service</t>
  </si>
  <si>
    <t>Summer (April to September) kWh</t>
  </si>
  <si>
    <t>Winter (October to March) kWh</t>
  </si>
  <si>
    <t>Secondary Voltage General Service</t>
  </si>
  <si>
    <t xml:space="preserve"> </t>
  </si>
  <si>
    <t>Total</t>
  </si>
  <si>
    <t>Over 600 kWh</t>
  </si>
  <si>
    <t>First 600 kWh</t>
  </si>
  <si>
    <t>l = d * g</t>
  </si>
  <si>
    <t>k = c * f</t>
  </si>
  <si>
    <t>j = d * e</t>
  </si>
  <si>
    <t>i = c * e</t>
  </si>
  <si>
    <t>h = b * e</t>
  </si>
  <si>
    <t>2024 GRC Comments</t>
  </si>
  <si>
    <t xml:space="preserve">Test Year </t>
  </si>
  <si>
    <t>Charges</t>
  </si>
  <si>
    <t>Targets</t>
  </si>
  <si>
    <t>Revenues (Proposed Rates)</t>
  </si>
  <si>
    <t>Revenues (Current Rates)</t>
  </si>
  <si>
    <t>Rates</t>
  </si>
  <si>
    <t>Bill Determinants</t>
  </si>
  <si>
    <t>(Including Effects of Unbilled Revenue, Unbilled MWh and Weather Normalization)</t>
  </si>
  <si>
    <t>Electric Summary - Rate Design</t>
  </si>
  <si>
    <t>Sec Svc 49</t>
  </si>
  <si>
    <t>Sec Svc 46</t>
  </si>
  <si>
    <t>Sec Svc 29</t>
  </si>
  <si>
    <t>Sec Svc 7A/ 11/ 25</t>
  </si>
  <si>
    <t>2026 Forecasted KWHs Load</t>
  </si>
  <si>
    <t>2025 Forecasted KWHs Load</t>
  </si>
  <si>
    <t>Note 1: Transportation and Special Contract are excluded from SCH 141CGR</t>
  </si>
  <si>
    <t>Exhibit: SEF-21-Sch-141CGR</t>
  </si>
  <si>
    <t>Revenue Requirement</t>
  </si>
  <si>
    <t>Transportation (Note 1)</t>
  </si>
  <si>
    <t>Special Contract (Note 1)</t>
  </si>
  <si>
    <t xml:space="preserve">Firm Resale - Small </t>
  </si>
  <si>
    <t>Lights</t>
  </si>
  <si>
    <t>included in 46</t>
  </si>
  <si>
    <t>HV - General Svc (Total)</t>
  </si>
  <si>
    <t>HV - General Svc (kVa Demand Charge)</t>
  </si>
  <si>
    <t>HV - General Svc (kWh Energy Charge)</t>
  </si>
  <si>
    <t>HV - Interruptible Svc (Total)</t>
  </si>
  <si>
    <t>HV - Interruptible Svc (kVa Demand Charge)</t>
  </si>
  <si>
    <t>HV - Interruptible Svc (kWh Energy Charge)</t>
  </si>
  <si>
    <t>Pri Interruptible Svc (Total)</t>
  </si>
  <si>
    <t>Pri Interruptible Svc (KW Demand Charge)</t>
  </si>
  <si>
    <t>Pri Interruptible Svc (kWh Energy Charge)</t>
  </si>
  <si>
    <t>Pri Irrigation Svc (Total)</t>
  </si>
  <si>
    <t>Pri Irrigation Svc (KW Demand Charge)</t>
  </si>
  <si>
    <t>Pri Irrigation Svc (kWh Energy Charge)</t>
  </si>
  <si>
    <t>Pri Gen Svc (Total)</t>
  </si>
  <si>
    <t>Pri Gen Svc (KW Demand Charge)</t>
  </si>
  <si>
    <t>Pri Gen Svc (kWh Energy Charge)</t>
  </si>
  <si>
    <t>included in 7A/11/25</t>
  </si>
  <si>
    <t>Sec Irrigation Svc (Total)</t>
  </si>
  <si>
    <t>Sec Irrigation Svc (kW Demand Charge)</t>
  </si>
  <si>
    <t>Sec Irrigation Svc (kWh Energy Charge)</t>
  </si>
  <si>
    <t>Sec Gen Svc - Large (Total)</t>
  </si>
  <si>
    <t>Sec Gen Svc - Large (KW Demand Charge)</t>
  </si>
  <si>
    <t>Sec Gen Svc - Large (kWh Energy Charge)</t>
  </si>
  <si>
    <t>Sec Gen Svc - Medium (Total)</t>
  </si>
  <si>
    <t>Sec Gen Svc - Medium (KW Demand Charge)</t>
  </si>
  <si>
    <t>Sec Gen Svc - Medium (kWh Energy Charge)</t>
  </si>
  <si>
    <t>Sec Gen Svc - Small (kWh Energy Charge)</t>
  </si>
  <si>
    <t>Residential (kWh Energy Charge)</t>
  </si>
  <si>
    <t>i = g / h</t>
  </si>
  <si>
    <t>g = c * Revenue Requirement</t>
  </si>
  <si>
    <t>f = d / e</t>
  </si>
  <si>
    <t>d = c * Revenue Requirement</t>
  </si>
  <si>
    <t>Total Weighted Allocation (based on Energy_2 and Dem_2B)</t>
  </si>
  <si>
    <t>Schedules</t>
  </si>
  <si>
    <t>Customer Class</t>
  </si>
  <si>
    <t>Allocation of SCH 141CGR Clean Generation Resources Tracker Revenue Requirement to Rate Schedule</t>
  </si>
  <si>
    <t>2026 Avg Customer Counts</t>
  </si>
  <si>
    <t>2025 Avg Customer Counts</t>
  </si>
  <si>
    <t>Exhibit: SEF-23-SCH141DCARB</t>
  </si>
  <si>
    <t>Transportation (kWh Energy Charge)</t>
  </si>
  <si>
    <t>Special Contract (kWh Energy Charge)</t>
  </si>
  <si>
    <t>Firm Resale - Small (kWh Energy Charge)</t>
  </si>
  <si>
    <t>Lights (kWh Energy Charge)</t>
  </si>
  <si>
    <t>Allocation of SCH 141DCARB Decarbonization Rate Adjustment Tracker Revenue Requirement to Rate Schedule</t>
  </si>
  <si>
    <t>Exhibit: SEF-22-Wildfire</t>
  </si>
  <si>
    <t>Transportation</t>
  </si>
  <si>
    <t xml:space="preserve">Special Contract </t>
  </si>
  <si>
    <t>Allocation of SCH 141WFP – Wildfire Prevention Cost Recovery Adjustment Tracker Revenue Requirement to Rate Schedule</t>
  </si>
  <si>
    <t>8.2 : 1</t>
  </si>
  <si>
    <t>PTR:Off-Peak (Winter)</t>
  </si>
  <si>
    <t>*Not a Tariffed Rate, Informational Only</t>
  </si>
  <si>
    <t>2.0 : 1</t>
  </si>
  <si>
    <t>2.3 : 1</t>
  </si>
  <si>
    <t>Y2 P:OP</t>
  </si>
  <si>
    <t>Y1 P:OP</t>
  </si>
  <si>
    <t>TY P:OP</t>
  </si>
  <si>
    <t>Target P:OP</t>
  </si>
  <si>
    <t>On-Peak : Off-Peak Ratios</t>
  </si>
  <si>
    <t>PTR Credit Rate</t>
  </si>
  <si>
    <t>CPP kWh*</t>
  </si>
  <si>
    <t>SCHEDULE 324</t>
  </si>
  <si>
    <t>3.6 : 1</t>
  </si>
  <si>
    <t>6.7 :  1</t>
  </si>
  <si>
    <t>Y2 P:SOP</t>
  </si>
  <si>
    <t>Y1 P:SOP</t>
  </si>
  <si>
    <t>TY P:SOP</t>
  </si>
  <si>
    <t>Tgt. P:SOP</t>
  </si>
  <si>
    <t>1.6 : 1</t>
  </si>
  <si>
    <t>1.7 : 1</t>
  </si>
  <si>
    <t>Y2 OP : SOP</t>
  </si>
  <si>
    <t>Y1 OP : SOP</t>
  </si>
  <si>
    <t>TY OP : SOP</t>
  </si>
  <si>
    <t>Tgt. OP : SOP</t>
  </si>
  <si>
    <t>SCHEDULE 327</t>
  </si>
  <si>
    <t>7.6 : 1</t>
  </si>
  <si>
    <t>PTR</t>
  </si>
  <si>
    <t>1.9 : 1</t>
  </si>
  <si>
    <t>2.2 : 1</t>
  </si>
  <si>
    <t>SCHEDULE 317</t>
  </si>
  <si>
    <t>3.1 : 1</t>
  </si>
  <si>
    <t>4.9 : 1</t>
  </si>
  <si>
    <t>SCHEDULE 307</t>
  </si>
  <si>
    <t>Electric Time of Use Summary - Rate Design</t>
  </si>
  <si>
    <t>Puget Sound Energy</t>
  </si>
  <si>
    <t>2024 General Rate Case Docket No. UE-240004 and UG-240005</t>
  </si>
  <si>
    <t>Proposed
Rate Year Rates
Effective
January 2025</t>
  </si>
  <si>
    <t>Presentational purpose ONLY, rates will only be set for 2025 in 2024 GRC</t>
  </si>
  <si>
    <t>Schedule 141WFP MYRP 2025</t>
  </si>
  <si>
    <t>Schedule 141WFP MYRP 2026</t>
  </si>
  <si>
    <t>2024 GRC Renewable Peak Credit Demand Component</t>
  </si>
  <si>
    <t>Billing Determinants
Source: F2023 January 2025 to December 2025</t>
  </si>
  <si>
    <t>Proposed Rates
Eff 1-1-2025</t>
  </si>
  <si>
    <t>Billing Determinants
Source: F2023 January 2026 to December 2026</t>
  </si>
  <si>
    <t>Proposed Rates
Eff 1-1-2026</t>
  </si>
  <si>
    <t>Schedule 141DCARB MYRP 2025</t>
  </si>
  <si>
    <t>Schedule 141DCARB MYRP 2026</t>
  </si>
  <si>
    <t>2024 GRC Customer Count Allocation (CUST_3)</t>
  </si>
  <si>
    <t>Schedule 141CGR MYRP 2025</t>
  </si>
  <si>
    <t>Schedule 141CGR MYRP 2026</t>
  </si>
  <si>
    <t>Test Year (1)</t>
  </si>
  <si>
    <t>Note 1: Test Year Bill Determinates used for TVR rate design are based on booked sales of energy for January 2024. This is due to the fact that the TVR rates were not effective until October 2023 for residential and January 2024 for general service. Also, do the nature of TVR rates being optional piloted rates, conversion of customers from SCH 07 and SCH 24 to TVR has increased markedly between October 2023 and January 2025. The kWh was annualized consistent with the respective monthly load shapes of SCH 07 and SCH 24. Similarly, MYRP 2025 and MYRP 2024 kWh use the respective schedules monthly forecast energy load shapes.</t>
  </si>
  <si>
    <t>Witness: Dismukes</t>
  </si>
  <si>
    <t>Cumulative</t>
  </si>
  <si>
    <t>Current</t>
  </si>
  <si>
    <t xml:space="preserve">Proposed </t>
  </si>
  <si>
    <t>Percent</t>
  </si>
  <si>
    <t>Relative</t>
  </si>
  <si>
    <t>RY1</t>
  </si>
  <si>
    <t>Revenues</t>
  </si>
  <si>
    <t>Increase</t>
  </si>
  <si>
    <t>Total Revenues</t>
  </si>
  <si>
    <t>Residential Service (Schedule 7)</t>
  </si>
  <si>
    <t>General Service, &lt; 51 kW (Schedule 8/24)</t>
  </si>
  <si>
    <t>General Service, &gt; 350 kW (Schedule 12/26)</t>
  </si>
  <si>
    <t>General Service, 51 - 350 kW (Schedule 7A/11/25)</t>
  </si>
  <si>
    <t>General Service, 51 - 350 kW (Schedule 29)</t>
  </si>
  <si>
    <t>Primary Service, General (Schedule 10/31)</t>
  </si>
  <si>
    <t>Primary Service, Irrigation (Schedule 35)</t>
  </si>
  <si>
    <t>Primary Service, Schools (Schedule 43)</t>
  </si>
  <si>
    <t>Special Contract (Schedule SC)</t>
  </si>
  <si>
    <t>High Voltage Service (Schedule 46/49)</t>
  </si>
  <si>
    <t>Retail Wheeling (Schedule 449/459)</t>
  </si>
  <si>
    <t>Lighting Service (Schedule 50-59)</t>
  </si>
  <si>
    <t>Firm Resale (Schedule 5)</t>
  </si>
  <si>
    <t>Rate Year 1 - 2025</t>
  </si>
  <si>
    <t>Rate Year 2 - 2026</t>
  </si>
  <si>
    <t>Customer Rate Class</t>
  </si>
  <si>
    <t>Prepared by: BML 8/1/2024</t>
  </si>
  <si>
    <t>Docket UE-240004 and UG-240005</t>
  </si>
  <si>
    <t>Checked by: MWD 8/5/2024</t>
  </si>
  <si>
    <t>Revenue</t>
  </si>
  <si>
    <t>Attrition</t>
  </si>
  <si>
    <t>RY2 Revenues</t>
  </si>
  <si>
    <t>Without Increase</t>
  </si>
  <si>
    <t>Exhibit DED-5</t>
  </si>
  <si>
    <t>Source: Exhibit CTM-6</t>
  </si>
  <si>
    <t>Exhibit DED-5: Company's Proposed Electric Revenue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</si>
</sst>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0000_);_(&quot;$&quot;* \(#,##0.000000\);_(&quot;$&quot;* &quot;-&quot;??_);_(@_)"/>
    <numFmt numFmtId="165" formatCode="0.0000%"/>
    <numFmt numFmtId="166" formatCode="_(&quot;$&quot;* #,##0.00000_);_(&quot;$&quot;* \(#,##0.00000\);_(&quot;$&quot;* &quot;-&quot;??_);_(@_)"/>
    <numFmt numFmtId="167" formatCode="_(* #,##0_);_(* \(#,##0\);_(* &quot;-&quot;??_);_(@_)"/>
    <numFmt numFmtId="168" formatCode="_(&quot;$&quot;* #,##0_);_(&quot;$&quot;* \(#,##0\);_(&quot;$&quot;* &quot;-&quot;??_);_(@_)"/>
    <numFmt numFmtId="169" formatCode="0.000"/>
    <numFmt numFmtId="170" formatCode="0.000%"/>
    <numFmt numFmtId="171" formatCode="0.00000%"/>
    <numFmt numFmtId="172" formatCode="0.00_)"/>
    <numFmt numFmtId="173" formatCode="0.000000_)"/>
    <numFmt numFmtId="174" formatCode="0.000000000_)"/>
    <numFmt numFmtId="175" formatCode="0.0000\ \¢"/>
    <numFmt numFmtId="176" formatCode="_(* #,##0.000000_);_(* \(#,##0.000000\);_(* &quot;-&quot;??_);_(@_)"/>
    <numFmt numFmtId="177" formatCode="0.0"/>
    <numFmt numFmtId="178" formatCode="0.0%"/>
  </numFmts>
  <fonts count="16" x14ac:knownFonts="1">
    <font>
      <sz val="12"/>
      <name val="Times New Roman"/>
    </font>
    <font>
      <sz val="11"/>
      <color theme="1"/>
      <name val="Calibri"/>
      <family val="2"/>
      <scheme val="minor"/>
    </font>
    <font>
      <sz val="11"/>
      <color theme="1"/>
      <name val="Calibri"/>
      <family val="2"/>
      <scheme val="minor"/>
    </font>
    <font>
      <sz val="12"/>
      <name val="Times New Roman"/>
      <family val="1"/>
    </font>
    <font>
      <sz val="8"/>
      <name val="Arial"/>
      <family val="2"/>
    </font>
    <font>
      <b/>
      <u/>
      <sz val="8"/>
      <name val="Arial"/>
      <family val="2"/>
    </font>
    <font>
      <b/>
      <sz val="8"/>
      <name val="Arial"/>
      <family val="2"/>
    </font>
    <font>
      <b/>
      <sz val="12"/>
      <name val="Times New Roman"/>
      <family val="1"/>
    </font>
    <font>
      <sz val="10"/>
      <name val="Arial"/>
      <family val="2"/>
    </font>
    <font>
      <i/>
      <sz val="8"/>
      <name val="Arial"/>
      <family val="2"/>
    </font>
    <font>
      <b/>
      <i/>
      <sz val="8"/>
      <name val="Arial"/>
      <family val="2"/>
    </font>
    <font>
      <b/>
      <sz val="10"/>
      <color theme="1"/>
      <name val="Arial"/>
      <family val="2"/>
    </font>
    <font>
      <sz val="10"/>
      <color theme="1"/>
      <name val="Arial"/>
      <family val="2"/>
    </font>
    <font>
      <b/>
      <sz val="10"/>
      <color theme="0"/>
      <name val="Arial"/>
      <family val="2"/>
    </font>
    <font>
      <b/>
      <sz val="10"/>
      <color rgb="FFFFFFFF"/>
      <name val="Arial"/>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solid">
        <fgColor rgb="FF1C2300"/>
        <bgColor indexed="64"/>
      </patternFill>
    </fill>
    <fill>
      <patternFill patternType="solid">
        <fgColor rgb="FF1C230F"/>
        <bgColor rgb="FF000000"/>
      </patternFill>
    </fill>
    <fill>
      <patternFill patternType="solid">
        <fgColor theme="0"/>
        <bgColor rgb="FF000000"/>
      </patternFill>
    </fill>
    <fill>
      <patternFill patternType="solid">
        <fgColor rgb="FFC4D79B"/>
        <bgColor indexed="64"/>
      </patternFill>
    </fill>
    <fill>
      <patternFill patternType="solid">
        <fgColor rgb="FFFFFF00"/>
        <bgColor indexed="64"/>
      </patternFill>
    </fill>
  </fills>
  <borders count="41">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right/>
      <top style="thin">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thin">
        <color indexed="64"/>
      </top>
      <bottom style="double">
        <color indexed="8"/>
      </bottom>
      <diagonal/>
    </border>
    <border>
      <left/>
      <right/>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thin">
        <color theme="0"/>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8" fillId="0" borderId="0"/>
    <xf numFmtId="43" fontId="3"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0" fontId="1" fillId="0" borderId="0"/>
    <xf numFmtId="0" fontId="12" fillId="0" borderId="0"/>
    <xf numFmtId="43" fontId="1" fillId="0" borderId="0" applyFont="0" applyFill="0" applyBorder="0" applyAlignment="0" applyProtection="0"/>
    <xf numFmtId="0" fontId="1" fillId="0" borderId="0"/>
  </cellStyleXfs>
  <cellXfs count="408">
    <xf numFmtId="0" fontId="0" fillId="0" borderId="0" xfId="0"/>
    <xf numFmtId="171" fontId="4" fillId="0" borderId="0" xfId="4" applyNumberFormat="1" applyFont="1" applyFill="1"/>
    <xf numFmtId="170" fontId="4" fillId="0" borderId="0" xfId="4" applyNumberFormat="1" applyFont="1" applyFill="1" applyBorder="1" applyProtection="1"/>
    <xf numFmtId="10" fontId="4" fillId="0" borderId="0" xfId="4" applyNumberFormat="1" applyFont="1" applyFill="1"/>
    <xf numFmtId="9" fontId="4" fillId="0" borderId="0" xfId="4" applyFont="1" applyFill="1" applyBorder="1"/>
    <xf numFmtId="10" fontId="4" fillId="0" borderId="1" xfId="4" applyNumberFormat="1" applyFont="1" applyFill="1" applyBorder="1" applyProtection="1"/>
    <xf numFmtId="9" fontId="4" fillId="0" borderId="0" xfId="4" applyFont="1" applyFill="1" applyProtection="1">
      <protection locked="0"/>
    </xf>
    <xf numFmtId="9" fontId="4" fillId="0" borderId="0" xfId="4" applyFont="1" applyFill="1" applyBorder="1" applyProtection="1"/>
    <xf numFmtId="10" fontId="4" fillId="0" borderId="0" xfId="4" applyNumberFormat="1" applyFont="1" applyFill="1" applyProtection="1">
      <protection locked="0"/>
    </xf>
    <xf numFmtId="9" fontId="4" fillId="0" borderId="28" xfId="4" applyFont="1" applyFill="1" applyBorder="1"/>
    <xf numFmtId="10" fontId="4" fillId="0" borderId="30" xfId="4" applyNumberFormat="1" applyFont="1" applyFill="1" applyBorder="1"/>
    <xf numFmtId="10" fontId="4" fillId="0" borderId="31" xfId="4" applyNumberFormat="1" applyFont="1" applyFill="1" applyBorder="1"/>
    <xf numFmtId="10" fontId="4" fillId="0" borderId="0" xfId="4" applyNumberFormat="1" applyFont="1" applyFill="1" applyBorder="1"/>
    <xf numFmtId="167" fontId="4" fillId="0" borderId="15" xfId="1" applyNumberFormat="1" applyFont="1" applyFill="1" applyBorder="1"/>
    <xf numFmtId="167" fontId="4" fillId="0" borderId="32" xfId="1" applyNumberFormat="1" applyFont="1" applyFill="1" applyBorder="1"/>
    <xf numFmtId="9" fontId="4" fillId="0" borderId="15" xfId="4" applyFont="1" applyFill="1" applyBorder="1"/>
    <xf numFmtId="165" fontId="4" fillId="0" borderId="0" xfId="4" applyNumberFormat="1" applyFont="1" applyFill="1" applyBorder="1"/>
    <xf numFmtId="165" fontId="4" fillId="0" borderId="3" xfId="4" applyNumberFormat="1" applyFont="1" applyFill="1" applyBorder="1"/>
    <xf numFmtId="167" fontId="4" fillId="0" borderId="15" xfId="7" applyNumberFormat="1" applyFont="1" applyFill="1" applyBorder="1"/>
    <xf numFmtId="167" fontId="4" fillId="0" borderId="32" xfId="7" applyNumberFormat="1" applyFont="1" applyFill="1" applyBorder="1"/>
    <xf numFmtId="168" fontId="4" fillId="0" borderId="10" xfId="8" applyNumberFormat="1" applyFont="1" applyFill="1" applyBorder="1"/>
    <xf numFmtId="10" fontId="4" fillId="0" borderId="0" xfId="4" applyNumberFormat="1" applyFont="1" applyFill="1" applyBorder="1" applyAlignment="1">
      <alignment horizontal="center"/>
    </xf>
    <xf numFmtId="177" fontId="4" fillId="0" borderId="0" xfId="9" applyNumberFormat="1" applyFont="1" applyFill="1" applyBorder="1" applyAlignment="1">
      <alignment horizontal="center"/>
    </xf>
    <xf numFmtId="10" fontId="4" fillId="0" borderId="0" xfId="4" applyNumberFormat="1" applyFont="1" applyFill="1" applyProtection="1"/>
    <xf numFmtId="177" fontId="4" fillId="0" borderId="1" xfId="9" applyNumberFormat="1" applyFont="1" applyFill="1" applyBorder="1" applyAlignment="1">
      <alignment horizontal="center"/>
    </xf>
    <xf numFmtId="10" fontId="4" fillId="0" borderId="0" xfId="4" applyNumberFormat="1" applyFont="1" applyFill="1" applyBorder="1" applyProtection="1"/>
    <xf numFmtId="0" fontId="6" fillId="0" borderId="0" xfId="3" applyFont="1"/>
    <xf numFmtId="0" fontId="6" fillId="0" borderId="0" xfId="3" applyFont="1" applyAlignment="1">
      <alignment horizontal="center"/>
    </xf>
    <xf numFmtId="0" fontId="6" fillId="0" borderId="0" xfId="3" applyFont="1" applyAlignment="1">
      <alignment horizontal="left"/>
    </xf>
    <xf numFmtId="0" fontId="6" fillId="0" borderId="0" xfId="3" applyFont="1" applyAlignment="1">
      <alignment horizontal="centerContinuous"/>
    </xf>
    <xf numFmtId="0" fontId="6" fillId="0" borderId="5" xfId="3" applyFont="1" applyBorder="1" applyAlignment="1">
      <alignment horizontal="center"/>
    </xf>
    <xf numFmtId="0" fontId="6" fillId="0" borderId="4" xfId="3" applyFont="1" applyBorder="1" applyAlignment="1">
      <alignment horizontal="centerContinuous"/>
    </xf>
    <xf numFmtId="0" fontId="6" fillId="0" borderId="3" xfId="3" applyFont="1" applyBorder="1" applyAlignment="1">
      <alignment horizontal="centerContinuous"/>
    </xf>
    <xf numFmtId="0" fontId="6" fillId="0" borderId="2" xfId="3" applyFont="1" applyBorder="1" applyAlignment="1">
      <alignment horizontal="centerContinuous"/>
    </xf>
    <xf numFmtId="0" fontId="6" fillId="0" borderId="1" xfId="3" quotePrefix="1" applyFont="1" applyBorder="1" applyAlignment="1">
      <alignment horizontal="center" wrapText="1"/>
    </xf>
    <xf numFmtId="0" fontId="6" fillId="0" borderId="1" xfId="3" applyFont="1" applyBorder="1" applyAlignment="1">
      <alignment horizontal="center" wrapText="1"/>
    </xf>
    <xf numFmtId="0" fontId="6" fillId="0" borderId="0" xfId="3" applyFont="1" applyAlignment="1">
      <alignment horizontal="center" wrapText="1"/>
    </xf>
    <xf numFmtId="0" fontId="4" fillId="0" borderId="0" xfId="3" applyFont="1" applyAlignment="1">
      <alignment horizontal="center"/>
    </xf>
    <xf numFmtId="0" fontId="4" fillId="0" borderId="0" xfId="3" applyFont="1" applyAlignment="1">
      <alignment horizontal="center" wrapText="1"/>
    </xf>
    <xf numFmtId="0" fontId="4" fillId="0" borderId="0" xfId="3" applyFont="1"/>
    <xf numFmtId="0" fontId="4" fillId="0" borderId="0" xfId="3" applyFont="1" applyAlignment="1">
      <alignment horizontal="left"/>
    </xf>
    <xf numFmtId="0" fontId="4" fillId="0" borderId="0" xfId="3" quotePrefix="1" applyFont="1" applyAlignment="1">
      <alignment horizontal="left" indent="1"/>
    </xf>
    <xf numFmtId="44" fontId="4" fillId="0" borderId="0" xfId="3" applyNumberFormat="1" applyFont="1"/>
    <xf numFmtId="0" fontId="4" fillId="0" borderId="0" xfId="3" quotePrefix="1" applyFont="1" applyAlignment="1">
      <alignment horizontal="left"/>
    </xf>
    <xf numFmtId="164" fontId="4" fillId="0" borderId="0" xfId="3" applyNumberFormat="1" applyFont="1"/>
    <xf numFmtId="0" fontId="4" fillId="0" borderId="0" xfId="3" quotePrefix="1" applyFont="1" applyAlignment="1">
      <alignment horizontal="center"/>
    </xf>
    <xf numFmtId="0" fontId="4" fillId="0" borderId="0" xfId="3" applyFont="1" applyAlignment="1">
      <alignment horizontal="left" indent="2"/>
    </xf>
    <xf numFmtId="166" fontId="4" fillId="0" borderId="0" xfId="3" applyNumberFormat="1" applyFont="1"/>
    <xf numFmtId="0" fontId="4" fillId="0" borderId="0" xfId="3" quotePrefix="1" applyFont="1" applyAlignment="1">
      <alignment horizontal="left" indent="2"/>
    </xf>
    <xf numFmtId="10" fontId="4" fillId="0" borderId="0" xfId="3" applyNumberFormat="1" applyFont="1"/>
    <xf numFmtId="0" fontId="4" fillId="0" borderId="0" xfId="3" applyFont="1" applyAlignment="1">
      <alignment horizontal="left" indent="1"/>
    </xf>
    <xf numFmtId="165" fontId="4" fillId="0" borderId="0" xfId="3" applyNumberFormat="1" applyFont="1"/>
    <xf numFmtId="9" fontId="4" fillId="0" borderId="0" xfId="3" applyNumberFormat="1" applyFont="1"/>
    <xf numFmtId="0" fontId="5" fillId="0" borderId="0" xfId="3" applyFont="1"/>
    <xf numFmtId="0" fontId="6" fillId="0" borderId="0" xfId="3" quotePrefix="1" applyFont="1" applyAlignment="1">
      <alignment horizontal="center"/>
    </xf>
    <xf numFmtId="37" fontId="6" fillId="0" borderId="0" xfId="3" applyNumberFormat="1" applyFont="1" applyAlignment="1">
      <alignment horizontal="centerContinuous"/>
    </xf>
    <xf numFmtId="0" fontId="6" fillId="0" borderId="1" xfId="3" applyFont="1" applyBorder="1" applyAlignment="1">
      <alignment horizontal="center"/>
    </xf>
    <xf numFmtId="37" fontId="6" fillId="0" borderId="4" xfId="3" applyNumberFormat="1" applyFont="1" applyBorder="1" applyAlignment="1">
      <alignment horizontal="center"/>
    </xf>
    <xf numFmtId="0" fontId="6" fillId="0" borderId="3" xfId="3" applyFont="1" applyBorder="1" applyAlignment="1">
      <alignment horizontal="center"/>
    </xf>
    <xf numFmtId="0" fontId="6" fillId="0" borderId="2" xfId="3" applyFont="1" applyBorder="1" applyAlignment="1">
      <alignment horizontal="center"/>
    </xf>
    <xf numFmtId="0" fontId="6" fillId="0" borderId="25" xfId="3" quotePrefix="1" applyFont="1" applyBorder="1" applyAlignment="1">
      <alignment horizontal="center"/>
    </xf>
    <xf numFmtId="0" fontId="4" fillId="0" borderId="0" xfId="3" quotePrefix="1" applyFont="1" applyAlignment="1">
      <alignment horizontal="center" wrapText="1"/>
    </xf>
    <xf numFmtId="37" fontId="4" fillId="0" borderId="0" xfId="3" applyNumberFormat="1" applyFont="1" applyAlignment="1">
      <alignment horizontal="center"/>
    </xf>
    <xf numFmtId="0" fontId="4" fillId="0" borderId="0" xfId="3" applyFont="1" applyAlignment="1">
      <alignment horizontal="centerContinuous"/>
    </xf>
    <xf numFmtId="37" fontId="4" fillId="0" borderId="0" xfId="3" applyNumberFormat="1" applyFont="1" applyAlignment="1">
      <alignment horizontal="centerContinuous"/>
    </xf>
    <xf numFmtId="44" fontId="4" fillId="0" borderId="0" xfId="3" applyNumberFormat="1" applyFont="1" applyProtection="1">
      <protection locked="0"/>
    </xf>
    <xf numFmtId="0" fontId="5" fillId="0" borderId="0" xfId="3" quotePrefix="1" applyFont="1" applyAlignment="1">
      <alignment horizontal="left"/>
    </xf>
    <xf numFmtId="37" fontId="6" fillId="0" borderId="0" xfId="3" applyNumberFormat="1" applyFont="1" applyAlignment="1">
      <alignment horizontal="center"/>
    </xf>
    <xf numFmtId="37" fontId="4" fillId="0" borderId="0" xfId="3" applyNumberFormat="1" applyFont="1"/>
    <xf numFmtId="167" fontId="4" fillId="0" borderId="0" xfId="3" applyNumberFormat="1" applyFont="1"/>
    <xf numFmtId="168" fontId="4" fillId="0" borderId="0" xfId="3" applyNumberFormat="1" applyFont="1"/>
    <xf numFmtId="167" fontId="4" fillId="0" borderId="3" xfId="3" applyNumberFormat="1" applyFont="1" applyBorder="1"/>
    <xf numFmtId="168" fontId="4" fillId="0" borderId="3" xfId="3" applyNumberFormat="1" applyFont="1" applyBorder="1"/>
    <xf numFmtId="164" fontId="4" fillId="0" borderId="0" xfId="3" applyNumberFormat="1" applyFont="1" applyProtection="1">
      <protection locked="0"/>
    </xf>
    <xf numFmtId="5" fontId="4" fillId="0" borderId="0" xfId="3" applyNumberFormat="1" applyFont="1" applyProtection="1">
      <protection locked="0"/>
    </xf>
    <xf numFmtId="167" fontId="4" fillId="0" borderId="0" xfId="3" applyNumberFormat="1" applyFont="1" applyAlignment="1">
      <alignment horizontal="left"/>
    </xf>
    <xf numFmtId="167" fontId="4" fillId="0" borderId="15" xfId="3" applyNumberFormat="1" applyFont="1" applyBorder="1"/>
    <xf numFmtId="164" fontId="4" fillId="0" borderId="15" xfId="3" applyNumberFormat="1" applyFont="1" applyBorder="1" applyProtection="1">
      <protection locked="0"/>
    </xf>
    <xf numFmtId="168" fontId="4" fillId="0" borderId="15" xfId="3" applyNumberFormat="1" applyFont="1" applyBorder="1"/>
    <xf numFmtId="164" fontId="4" fillId="0" borderId="0" xfId="3" applyNumberFormat="1" applyFont="1" applyAlignment="1" applyProtection="1">
      <alignment horizontal="centerContinuous"/>
      <protection locked="0"/>
    </xf>
    <xf numFmtId="0" fontId="4" fillId="0" borderId="16" xfId="3" applyFont="1" applyBorder="1" applyAlignment="1">
      <alignment horizontal="center"/>
    </xf>
    <xf numFmtId="0" fontId="4" fillId="0" borderId="16" xfId="3" applyFont="1" applyBorder="1"/>
    <xf numFmtId="164" fontId="4" fillId="0" borderId="0" xfId="5" applyNumberFormat="1" applyFont="1" applyProtection="1">
      <protection locked="0"/>
    </xf>
    <xf numFmtId="0" fontId="4" fillId="0" borderId="0" xfId="3" applyFont="1" applyAlignment="1">
      <alignment horizontal="right"/>
    </xf>
    <xf numFmtId="5" fontId="4" fillId="0" borderId="0" xfId="3" applyNumberFormat="1" applyFont="1"/>
    <xf numFmtId="0" fontId="4" fillId="0" borderId="1" xfId="3" applyFont="1" applyBorder="1" applyAlignment="1">
      <alignment horizontal="center"/>
    </xf>
    <xf numFmtId="0" fontId="4" fillId="0" borderId="1" xfId="3" applyFont="1" applyBorder="1"/>
    <xf numFmtId="3" fontId="4" fillId="0" borderId="1" xfId="3" quotePrefix="1" applyNumberFormat="1" applyFont="1" applyBorder="1" applyAlignment="1">
      <alignment horizontal="left"/>
    </xf>
    <xf numFmtId="44" fontId="4" fillId="0" borderId="1" xfId="3" applyNumberFormat="1" applyFont="1" applyBorder="1"/>
    <xf numFmtId="0" fontId="9" fillId="0" borderId="0" xfId="3" quotePrefix="1" applyFont="1" applyAlignment="1">
      <alignment horizontal="left" indent="2"/>
    </xf>
    <xf numFmtId="2" fontId="4" fillId="0" borderId="0" xfId="3" applyNumberFormat="1" applyFont="1" applyAlignment="1">
      <alignment horizontal="center"/>
    </xf>
    <xf numFmtId="0" fontId="9" fillId="0" borderId="0" xfId="3" applyFont="1" applyAlignment="1">
      <alignment horizontal="left"/>
    </xf>
    <xf numFmtId="2" fontId="4" fillId="0" borderId="1" xfId="3" applyNumberFormat="1" applyFont="1" applyBorder="1" applyAlignment="1">
      <alignment horizontal="center"/>
    </xf>
    <xf numFmtId="177" fontId="4" fillId="0" borderId="1" xfId="3" applyNumberFormat="1" applyFont="1" applyBorder="1" applyAlignment="1">
      <alignment horizontal="center"/>
    </xf>
    <xf numFmtId="0" fontId="4" fillId="0" borderId="1" xfId="3" quotePrefix="1" applyFont="1" applyBorder="1" applyAlignment="1">
      <alignment horizontal="center"/>
    </xf>
    <xf numFmtId="0" fontId="6" fillId="0" borderId="0" xfId="3" quotePrefix="1" applyFont="1" applyAlignment="1">
      <alignment horizontal="left"/>
    </xf>
    <xf numFmtId="167" fontId="6" fillId="0" borderId="0" xfId="3" applyNumberFormat="1" applyFont="1" applyAlignment="1">
      <alignment horizontal="left"/>
    </xf>
    <xf numFmtId="0" fontId="6" fillId="0" borderId="7" xfId="3" applyFont="1" applyBorder="1" applyAlignment="1">
      <alignment horizontal="center" wrapText="1"/>
    </xf>
    <xf numFmtId="0" fontId="6" fillId="0" borderId="7" xfId="6" quotePrefix="1" applyFont="1" applyBorder="1" applyAlignment="1">
      <alignment horizontal="center" wrapText="1"/>
    </xf>
    <xf numFmtId="0" fontId="6" fillId="0" borderId="13" xfId="3" quotePrefix="1" applyFont="1" applyBorder="1" applyAlignment="1">
      <alignment horizontal="center" wrapText="1"/>
    </xf>
    <xf numFmtId="0" fontId="6" fillId="0" borderId="12" xfId="3" quotePrefix="1" applyFont="1" applyBorder="1" applyAlignment="1">
      <alignment horizontal="center" wrapText="1"/>
    </xf>
    <xf numFmtId="0" fontId="6" fillId="0" borderId="36" xfId="3" quotePrefix="1" applyFont="1" applyBorder="1" applyAlignment="1">
      <alignment horizontal="center" wrapText="1"/>
    </xf>
    <xf numFmtId="0" fontId="4" fillId="0" borderId="0" xfId="3" quotePrefix="1" applyFont="1" applyAlignment="1">
      <alignment horizontal="center" vertical="top" wrapText="1"/>
    </xf>
    <xf numFmtId="0" fontId="4" fillId="0" borderId="20" xfId="0" quotePrefix="1" applyFont="1" applyBorder="1" applyAlignment="1">
      <alignment horizontal="center" vertical="center" wrapText="1"/>
    </xf>
    <xf numFmtId="0" fontId="4" fillId="0" borderId="19" xfId="0" applyFont="1" applyBorder="1" applyAlignment="1">
      <alignment horizontal="center" vertical="center" wrapText="1"/>
    </xf>
    <xf numFmtId="0" fontId="4" fillId="0" borderId="23" xfId="0" quotePrefix="1" applyFont="1" applyBorder="1" applyAlignment="1">
      <alignment horizontal="center" vertical="center" wrapText="1"/>
    </xf>
    <xf numFmtId="164" fontId="4" fillId="0" borderId="22" xfId="3" applyNumberFormat="1" applyFont="1" applyBorder="1" applyAlignment="1">
      <alignment horizontal="center"/>
    </xf>
    <xf numFmtId="16" fontId="4" fillId="0" borderId="0" xfId="0" applyNumberFormat="1" applyFont="1"/>
    <xf numFmtId="168" fontId="4" fillId="0" borderId="10" xfId="3" applyNumberFormat="1" applyFont="1" applyBorder="1"/>
    <xf numFmtId="175" fontId="4" fillId="0" borderId="22" xfId="3" applyNumberFormat="1" applyFont="1" applyBorder="1" applyAlignment="1">
      <alignment horizontal="center"/>
    </xf>
    <xf numFmtId="0" fontId="4" fillId="0" borderId="0" xfId="0" quotePrefix="1" applyFont="1" applyAlignment="1">
      <alignment horizontal="center"/>
    </xf>
    <xf numFmtId="168" fontId="4" fillId="0" borderId="34" xfId="3" applyNumberFormat="1" applyFont="1" applyBorder="1"/>
    <xf numFmtId="44" fontId="4" fillId="0" borderId="22" xfId="3" applyNumberFormat="1" applyFont="1" applyBorder="1" applyAlignment="1">
      <alignment horizontal="center"/>
    </xf>
    <xf numFmtId="0" fontId="4" fillId="0" borderId="22" xfId="3" applyFont="1" applyBorder="1"/>
    <xf numFmtId="168" fontId="4" fillId="0" borderId="33" xfId="3" applyNumberFormat="1" applyFont="1" applyBorder="1"/>
    <xf numFmtId="0" fontId="4" fillId="0" borderId="22" xfId="3" applyFont="1" applyBorder="1" applyAlignment="1">
      <alignment horizontal="center"/>
    </xf>
    <xf numFmtId="0" fontId="4" fillId="0" borderId="10" xfId="3" applyFont="1" applyBorder="1"/>
    <xf numFmtId="0" fontId="4" fillId="0" borderId="0" xfId="0" applyFont="1"/>
    <xf numFmtId="167" fontId="4" fillId="0" borderId="0" xfId="0" applyNumberFormat="1" applyFont="1"/>
    <xf numFmtId="0" fontId="4" fillId="0" borderId="7" xfId="3" applyFont="1" applyBorder="1" applyAlignment="1">
      <alignment horizontal="center"/>
    </xf>
    <xf numFmtId="0" fontId="4" fillId="0" borderId="7" xfId="3" applyFont="1" applyBorder="1"/>
    <xf numFmtId="167" fontId="4" fillId="0" borderId="7" xfId="3" applyNumberFormat="1" applyFont="1" applyBorder="1"/>
    <xf numFmtId="0" fontId="4" fillId="0" borderId="8" xfId="3" applyFont="1" applyBorder="1"/>
    <xf numFmtId="0" fontId="4" fillId="0" borderId="7" xfId="0" applyFont="1" applyBorder="1"/>
    <xf numFmtId="0" fontId="4" fillId="0" borderId="21" xfId="3" applyFont="1" applyBorder="1"/>
    <xf numFmtId="0" fontId="6" fillId="0" borderId="0" xfId="0" applyFont="1"/>
    <xf numFmtId="0" fontId="6" fillId="0" borderId="0" xfId="0" applyFont="1" applyAlignment="1">
      <alignment horizontal="left"/>
    </xf>
    <xf numFmtId="0" fontId="6" fillId="0" borderId="0" xfId="0" quotePrefix="1" applyFont="1" applyAlignment="1">
      <alignment horizontal="left"/>
    </xf>
    <xf numFmtId="167" fontId="6" fillId="0" borderId="0" xfId="0" applyNumberFormat="1" applyFont="1" applyAlignment="1">
      <alignment horizontal="left"/>
    </xf>
    <xf numFmtId="0" fontId="6" fillId="0" borderId="7" xfId="0" applyFont="1" applyBorder="1" applyAlignment="1">
      <alignment horizontal="center" wrapText="1"/>
    </xf>
    <xf numFmtId="0" fontId="6" fillId="0" borderId="13" xfId="0" quotePrefix="1" applyFont="1" applyBorder="1" applyAlignment="1">
      <alignment horizontal="center" wrapText="1"/>
    </xf>
    <xf numFmtId="0" fontId="6" fillId="0" borderId="12" xfId="0" quotePrefix="1" applyFont="1" applyBorder="1" applyAlignment="1">
      <alignment horizontal="center" wrapText="1"/>
    </xf>
    <xf numFmtId="0" fontId="6" fillId="0" borderId="36" xfId="0" quotePrefix="1" applyFont="1" applyBorder="1" applyAlignment="1">
      <alignment horizontal="center" wrapText="1"/>
    </xf>
    <xf numFmtId="0" fontId="6" fillId="0" borderId="0" xfId="0" applyFont="1" applyAlignment="1">
      <alignment horizontal="center" wrapText="1"/>
    </xf>
    <xf numFmtId="0" fontId="4" fillId="0" borderId="19" xfId="0" applyFont="1" applyBorder="1" applyAlignment="1">
      <alignment horizontal="center" wrapText="1"/>
    </xf>
    <xf numFmtId="0" fontId="4" fillId="0" borderId="0" xfId="0" quotePrefix="1" applyFont="1" applyAlignment="1">
      <alignment horizontal="center" vertical="top" wrapText="1"/>
    </xf>
    <xf numFmtId="0" fontId="4" fillId="0" borderId="0" xfId="0" applyFont="1" applyAlignment="1">
      <alignment horizontal="center" wrapText="1"/>
    </xf>
    <xf numFmtId="0" fontId="4" fillId="0" borderId="0" xfId="0" applyFont="1" applyAlignment="1">
      <alignment horizontal="center"/>
    </xf>
    <xf numFmtId="168" fontId="4" fillId="0" borderId="10" xfId="0" applyNumberFormat="1" applyFont="1" applyBorder="1"/>
    <xf numFmtId="164" fontId="4" fillId="0" borderId="22" xfId="0" applyNumberFormat="1" applyFont="1" applyBorder="1" applyAlignment="1">
      <alignment horizontal="center"/>
    </xf>
    <xf numFmtId="175" fontId="4" fillId="0" borderId="22" xfId="0" applyNumberFormat="1" applyFont="1" applyBorder="1" applyAlignment="1">
      <alignment horizontal="center"/>
    </xf>
    <xf numFmtId="0" fontId="4" fillId="0" borderId="0" xfId="0" quotePrefix="1" applyFont="1" applyAlignment="1">
      <alignment horizontal="left"/>
    </xf>
    <xf numFmtId="0" fontId="4" fillId="0" borderId="22" xfId="0" applyFont="1" applyBorder="1"/>
    <xf numFmtId="168" fontId="4" fillId="0" borderId="33" xfId="0" applyNumberFormat="1" applyFont="1" applyBorder="1"/>
    <xf numFmtId="0" fontId="4" fillId="0" borderId="22" xfId="0" applyFont="1" applyBorder="1" applyAlignment="1">
      <alignment horizontal="center"/>
    </xf>
    <xf numFmtId="0" fontId="4" fillId="0" borderId="10" xfId="0" applyFont="1" applyBorder="1"/>
    <xf numFmtId="0" fontId="4" fillId="0" borderId="7" xfId="0" applyFont="1" applyBorder="1" applyAlignment="1">
      <alignment horizontal="center"/>
    </xf>
    <xf numFmtId="167" fontId="4" fillId="0" borderId="7" xfId="0" applyNumberFormat="1" applyFont="1" applyBorder="1"/>
    <xf numFmtId="0" fontId="4" fillId="0" borderId="8" xfId="0" applyFont="1" applyBorder="1"/>
    <xf numFmtId="0" fontId="4" fillId="0" borderId="21" xfId="0" applyFont="1" applyBorder="1"/>
    <xf numFmtId="0" fontId="6" fillId="0" borderId="1" xfId="0" quotePrefix="1" applyFont="1" applyBorder="1" applyAlignment="1">
      <alignment horizontal="center" wrapText="1"/>
    </xf>
    <xf numFmtId="0" fontId="6" fillId="0" borderId="0" xfId="0" applyFont="1" applyAlignment="1">
      <alignment horizontal="right" vertical="top"/>
    </xf>
    <xf numFmtId="0" fontId="6" fillId="0" borderId="0" xfId="0" applyFont="1" applyAlignment="1">
      <alignment horizontal="right"/>
    </xf>
    <xf numFmtId="167" fontId="4" fillId="0" borderId="29" xfId="0" applyNumberFormat="1" applyFont="1" applyBorder="1"/>
    <xf numFmtId="167" fontId="4" fillId="0" borderId="31" xfId="0" applyNumberFormat="1" applyFont="1" applyBorder="1"/>
    <xf numFmtId="0" fontId="4" fillId="0" borderId="30" xfId="0" applyFont="1" applyBorder="1"/>
    <xf numFmtId="167" fontId="4" fillId="0" borderId="27" xfId="0" applyNumberFormat="1" applyFont="1" applyBorder="1"/>
    <xf numFmtId="0" fontId="4" fillId="0" borderId="26" xfId="0" applyFont="1" applyBorder="1"/>
    <xf numFmtId="0" fontId="4" fillId="0" borderId="27" xfId="0" applyFont="1" applyBorder="1"/>
    <xf numFmtId="168" fontId="4" fillId="0" borderId="34" xfId="0" applyNumberFormat="1" applyFont="1" applyBorder="1"/>
    <xf numFmtId="44" fontId="4" fillId="0" borderId="22" xfId="0" applyNumberFormat="1" applyFont="1" applyBorder="1" applyAlignment="1">
      <alignment horizontal="center"/>
    </xf>
    <xf numFmtId="168" fontId="4" fillId="0" borderId="35" xfId="0" applyNumberFormat="1" applyFont="1" applyBorder="1"/>
    <xf numFmtId="176" fontId="4" fillId="0" borderId="0" xfId="0" applyNumberFormat="1" applyFont="1"/>
    <xf numFmtId="37" fontId="4" fillId="0" borderId="0" xfId="0" applyNumberFormat="1" applyFont="1"/>
    <xf numFmtId="0" fontId="6" fillId="0" borderId="0" xfId="0" quotePrefix="1" applyFont="1" applyAlignment="1">
      <alignment horizontal="center"/>
    </xf>
    <xf numFmtId="0" fontId="6" fillId="0" borderId="0" xfId="0" applyFont="1" applyAlignment="1">
      <alignment horizontal="center"/>
    </xf>
    <xf numFmtId="0" fontId="6" fillId="0" borderId="0" xfId="0" applyFont="1" applyAlignment="1">
      <alignment horizontal="centerContinuous"/>
    </xf>
    <xf numFmtId="37" fontId="6" fillId="0" borderId="0" xfId="0" applyNumberFormat="1" applyFont="1" applyAlignment="1">
      <alignment horizontal="centerContinuous"/>
    </xf>
    <xf numFmtId="0" fontId="6" fillId="0" borderId="1" xfId="0" applyFont="1" applyBorder="1" applyAlignment="1">
      <alignment horizontal="center"/>
    </xf>
    <xf numFmtId="37" fontId="6" fillId="0" borderId="4" xfId="0" applyNumberFormat="1"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6" fillId="0" borderId="25" xfId="0" quotePrefix="1" applyFont="1" applyBorder="1" applyAlignment="1">
      <alignment horizontal="center"/>
    </xf>
    <xf numFmtId="37" fontId="6" fillId="0" borderId="0" xfId="0" applyNumberFormat="1" applyFont="1" applyAlignment="1">
      <alignment horizontal="center"/>
    </xf>
    <xf numFmtId="168" fontId="4" fillId="0" borderId="0" xfId="0" applyNumberFormat="1" applyFont="1"/>
    <xf numFmtId="0" fontId="4" fillId="0" borderId="0" xfId="0" applyFont="1" applyAlignment="1">
      <alignment horizontal="left" indent="2"/>
    </xf>
    <xf numFmtId="167" fontId="4" fillId="0" borderId="3" xfId="0" applyNumberFormat="1" applyFont="1" applyBorder="1"/>
    <xf numFmtId="168" fontId="4" fillId="0" borderId="3" xfId="0" applyNumberFormat="1" applyFont="1" applyBorder="1"/>
    <xf numFmtId="10" fontId="4" fillId="0" borderId="0" xfId="0" applyNumberFormat="1" applyFont="1"/>
    <xf numFmtId="7" fontId="4" fillId="0" borderId="0" xfId="0" applyNumberFormat="1" applyFont="1" applyProtection="1">
      <protection locked="0"/>
    </xf>
    <xf numFmtId="0" fontId="4" fillId="0" borderId="0" xfId="0" applyFont="1" applyAlignment="1">
      <alignment horizontal="left"/>
    </xf>
    <xf numFmtId="0" fontId="4" fillId="0" borderId="0" xfId="0" quotePrefix="1" applyFont="1" applyAlignment="1">
      <alignment horizontal="left" indent="1"/>
    </xf>
    <xf numFmtId="164" fontId="4" fillId="0" borderId="0" xfId="0" applyNumberFormat="1" applyFont="1" applyProtection="1">
      <protection locked="0"/>
    </xf>
    <xf numFmtId="5" fontId="4" fillId="0" borderId="0" xfId="0" applyNumberFormat="1" applyFont="1" applyProtection="1">
      <protection locked="0"/>
    </xf>
    <xf numFmtId="0" fontId="4" fillId="0" borderId="0" xfId="0" applyFont="1" applyAlignment="1">
      <alignment horizontal="left" indent="1"/>
    </xf>
    <xf numFmtId="167" fontId="4" fillId="0" borderId="0" xfId="0" applyNumberFormat="1" applyFont="1" applyAlignment="1">
      <alignment horizontal="left"/>
    </xf>
    <xf numFmtId="167" fontId="4" fillId="0" borderId="15" xfId="0" applyNumberFormat="1" applyFont="1" applyBorder="1"/>
    <xf numFmtId="164" fontId="4" fillId="0" borderId="15" xfId="0" applyNumberFormat="1" applyFont="1" applyBorder="1" applyProtection="1">
      <protection locked="0"/>
    </xf>
    <xf numFmtId="168" fontId="4" fillId="0" borderId="15" xfId="0" applyNumberFormat="1" applyFont="1" applyBorder="1"/>
    <xf numFmtId="5" fontId="4" fillId="0" borderId="0" xfId="0" applyNumberFormat="1" applyFont="1"/>
    <xf numFmtId="3" fontId="4" fillId="0" borderId="1" xfId="0" quotePrefix="1" applyNumberFormat="1" applyFont="1" applyBorder="1" applyAlignment="1">
      <alignment horizontal="left"/>
    </xf>
    <xf numFmtId="0" fontId="4" fillId="0" borderId="1" xfId="0" applyFont="1" applyBorder="1"/>
    <xf numFmtId="44" fontId="4" fillId="0" borderId="1" xfId="0" applyNumberFormat="1" applyFont="1" applyBorder="1"/>
    <xf numFmtId="37" fontId="4" fillId="0" borderId="3" xfId="0" applyNumberFormat="1" applyFont="1" applyBorder="1"/>
    <xf numFmtId="164" fontId="4" fillId="0" borderId="0" xfId="5" applyNumberFormat="1" applyFont="1"/>
    <xf numFmtId="7" fontId="4" fillId="0" borderId="0" xfId="0" applyNumberFormat="1" applyFont="1"/>
    <xf numFmtId="5" fontId="4" fillId="0" borderId="3" xfId="0" applyNumberFormat="1" applyFont="1" applyBorder="1"/>
    <xf numFmtId="5" fontId="4" fillId="0" borderId="15" xfId="0" applyNumberFormat="1" applyFont="1" applyBorder="1"/>
    <xf numFmtId="3" fontId="4" fillId="0" borderId="0" xfId="0" quotePrefix="1" applyNumberFormat="1" applyFont="1" applyAlignment="1">
      <alignment horizontal="left"/>
    </xf>
    <xf numFmtId="164" fontId="4" fillId="0" borderId="16" xfId="0" applyNumberFormat="1" applyFont="1" applyBorder="1"/>
    <xf numFmtId="174" fontId="4" fillId="0" borderId="0" xfId="0" applyNumberFormat="1" applyFont="1"/>
    <xf numFmtId="44" fontId="4" fillId="0" borderId="15" xfId="0" applyNumberFormat="1" applyFont="1" applyBorder="1"/>
    <xf numFmtId="174" fontId="4" fillId="0" borderId="1" xfId="0" applyNumberFormat="1" applyFont="1" applyBorder="1"/>
    <xf numFmtId="172" fontId="4" fillId="0" borderId="0" xfId="0" applyNumberFormat="1" applyFont="1" applyProtection="1">
      <protection locked="0"/>
    </xf>
    <xf numFmtId="5" fontId="6" fillId="0" borderId="14" xfId="0" applyNumberFormat="1" applyFont="1" applyBorder="1" applyAlignment="1">
      <alignment horizontal="center"/>
    </xf>
    <xf numFmtId="37" fontId="4" fillId="0" borderId="19" xfId="0" applyNumberFormat="1" applyFont="1" applyBorder="1"/>
    <xf numFmtId="168" fontId="4" fillId="0" borderId="19" xfId="0" applyNumberFormat="1" applyFont="1" applyBorder="1"/>
    <xf numFmtId="7" fontId="4" fillId="0" borderId="19" xfId="0" applyNumberFormat="1" applyFont="1" applyBorder="1" applyProtection="1">
      <protection locked="0"/>
    </xf>
    <xf numFmtId="5" fontId="4" fillId="0" borderId="19" xfId="0" applyNumberFormat="1" applyFont="1" applyBorder="1"/>
    <xf numFmtId="5" fontId="4" fillId="0" borderId="14" xfId="0" applyNumberFormat="1" applyFont="1" applyBorder="1"/>
    <xf numFmtId="44" fontId="4" fillId="0" borderId="0" xfId="0" applyNumberFormat="1" applyFont="1"/>
    <xf numFmtId="170" fontId="4" fillId="0" borderId="15" xfId="0" applyNumberFormat="1" applyFont="1" applyBorder="1"/>
    <xf numFmtId="170" fontId="4" fillId="0" borderId="18" xfId="0" applyNumberFormat="1" applyFont="1" applyBorder="1"/>
    <xf numFmtId="168" fontId="4" fillId="0" borderId="17" xfId="0" applyNumberFormat="1" applyFont="1" applyBorder="1"/>
    <xf numFmtId="164" fontId="4" fillId="0" borderId="0" xfId="0" applyNumberFormat="1" applyFont="1"/>
    <xf numFmtId="0" fontId="4" fillId="0" borderId="0" xfId="0" applyFont="1" applyAlignment="1">
      <alignment horizontal="left" indent="3"/>
    </xf>
    <xf numFmtId="37" fontId="4" fillId="0" borderId="7" xfId="0" applyNumberFormat="1" applyFont="1" applyBorder="1"/>
    <xf numFmtId="168" fontId="4" fillId="0" borderId="7" xfId="0" applyNumberFormat="1" applyFont="1" applyBorder="1"/>
    <xf numFmtId="7" fontId="4" fillId="0" borderId="7" xfId="0" applyNumberFormat="1" applyFont="1" applyBorder="1" applyProtection="1">
      <protection locked="0"/>
    </xf>
    <xf numFmtId="5" fontId="4" fillId="0" borderId="7" xfId="0" applyNumberFormat="1" applyFont="1" applyBorder="1"/>
    <xf numFmtId="5" fontId="4" fillId="0" borderId="6" xfId="0" applyNumberFormat="1" applyFont="1" applyBorder="1"/>
    <xf numFmtId="164" fontId="4" fillId="0" borderId="1" xfId="0" applyNumberFormat="1" applyFont="1" applyBorder="1"/>
    <xf numFmtId="37" fontId="4" fillId="0" borderId="16" xfId="0" applyNumberFormat="1" applyFont="1" applyBorder="1"/>
    <xf numFmtId="44" fontId="4" fillId="0" borderId="16" xfId="0" applyNumberFormat="1" applyFont="1" applyBorder="1" applyProtection="1">
      <protection locked="0"/>
    </xf>
    <xf numFmtId="44" fontId="4" fillId="0" borderId="0" xfId="0" applyNumberFormat="1" applyFont="1" applyProtection="1">
      <protection locked="0"/>
    </xf>
    <xf numFmtId="173" fontId="4" fillId="0" borderId="0" xfId="0" applyNumberFormat="1" applyFont="1" applyProtection="1">
      <protection locked="0"/>
    </xf>
    <xf numFmtId="166" fontId="4" fillId="0" borderId="16" xfId="0" applyNumberFormat="1" applyFont="1" applyBorder="1"/>
    <xf numFmtId="5" fontId="4" fillId="0" borderId="24" xfId="0" applyNumberFormat="1" applyFont="1" applyBorder="1"/>
    <xf numFmtId="0" fontId="5" fillId="0" borderId="20" xfId="0" applyFont="1" applyBorder="1" applyAlignment="1">
      <alignment horizontal="left"/>
    </xf>
    <xf numFmtId="0" fontId="4" fillId="0" borderId="19" xfId="0" applyFont="1" applyBorder="1" applyAlignment="1">
      <alignment horizontal="center"/>
    </xf>
    <xf numFmtId="5" fontId="6" fillId="0" borderId="20" xfId="0" applyNumberFormat="1" applyFont="1" applyBorder="1" applyAlignment="1">
      <alignment horizontal="center"/>
    </xf>
    <xf numFmtId="5" fontId="6" fillId="0" borderId="19" xfId="0" applyNumberFormat="1" applyFont="1" applyBorder="1" applyAlignment="1">
      <alignment horizontal="center"/>
    </xf>
    <xf numFmtId="5" fontId="6" fillId="0" borderId="23" xfId="0" applyNumberFormat="1" applyFont="1" applyBorder="1" applyAlignment="1">
      <alignment horizontal="center"/>
    </xf>
    <xf numFmtId="0" fontId="4" fillId="0" borderId="10" xfId="0" quotePrefix="1" applyFont="1" applyBorder="1" applyAlignment="1">
      <alignment horizontal="left"/>
    </xf>
    <xf numFmtId="10" fontId="4" fillId="0" borderId="22" xfId="0" applyNumberFormat="1" applyFont="1" applyBorder="1"/>
    <xf numFmtId="10" fontId="4" fillId="0" borderId="10" xfId="0" applyNumberFormat="1" applyFont="1" applyBorder="1"/>
    <xf numFmtId="3" fontId="4" fillId="0" borderId="8" xfId="0" quotePrefix="1" applyNumberFormat="1" applyFont="1" applyBorder="1" applyAlignment="1">
      <alignment horizontal="left"/>
    </xf>
    <xf numFmtId="44" fontId="4" fillId="0" borderId="8" xfId="0" applyNumberFormat="1" applyFont="1" applyBorder="1"/>
    <xf numFmtId="44" fontId="4" fillId="0" borderId="7" xfId="0" applyNumberFormat="1" applyFont="1" applyBorder="1"/>
    <xf numFmtId="44" fontId="4" fillId="0" borderId="21" xfId="0" applyNumberFormat="1" applyFont="1" applyBorder="1"/>
    <xf numFmtId="164" fontId="4" fillId="0" borderId="0" xfId="4" applyNumberFormat="1" applyFont="1" applyFill="1" applyProtection="1">
      <protection locked="0"/>
    </xf>
    <xf numFmtId="37" fontId="4" fillId="0" borderId="0" xfId="0" applyNumberFormat="1" applyFont="1" applyAlignment="1">
      <alignment horizontal="right" vertical="center"/>
    </xf>
    <xf numFmtId="0" fontId="4" fillId="0" borderId="20" xfId="0" applyFont="1" applyBorder="1" applyAlignment="1">
      <alignment horizontal="left" indent="2"/>
    </xf>
    <xf numFmtId="0" fontId="4" fillId="0" borderId="10" xfId="0" applyFont="1" applyBorder="1" applyAlignment="1">
      <alignment horizontal="left" indent="1"/>
    </xf>
    <xf numFmtId="0" fontId="4" fillId="0" borderId="10" xfId="0" applyFont="1" applyBorder="1" applyAlignment="1">
      <alignment horizontal="left" indent="2"/>
    </xf>
    <xf numFmtId="0" fontId="4" fillId="0" borderId="8" xfId="0" applyFont="1" applyBorder="1" applyAlignment="1">
      <alignment horizontal="left" indent="3"/>
    </xf>
    <xf numFmtId="5" fontId="4" fillId="0" borderId="16" xfId="0" applyNumberFormat="1" applyFont="1" applyBorder="1"/>
    <xf numFmtId="164" fontId="4" fillId="0" borderId="15" xfId="0" applyNumberFormat="1" applyFont="1" applyBorder="1"/>
    <xf numFmtId="0" fontId="5" fillId="0" borderId="0" xfId="0" quotePrefix="1" applyFont="1" applyAlignment="1">
      <alignment horizontal="left"/>
    </xf>
    <xf numFmtId="168" fontId="4" fillId="0" borderId="1" xfId="0" applyNumberFormat="1" applyFont="1" applyBorder="1"/>
    <xf numFmtId="167" fontId="6" fillId="0" borderId="0" xfId="0" applyNumberFormat="1" applyFont="1"/>
    <xf numFmtId="168" fontId="6" fillId="0" borderId="0" xfId="0" applyNumberFormat="1" applyFont="1"/>
    <xf numFmtId="170" fontId="6" fillId="0" borderId="0" xfId="4" applyNumberFormat="1" applyFont="1" applyFill="1" applyAlignment="1">
      <alignment horizontal="centerContinuous"/>
    </xf>
    <xf numFmtId="0" fontId="4" fillId="0" borderId="0" xfId="3" applyFont="1" applyAlignment="1">
      <alignment horizontal="center" vertical="top" wrapText="1"/>
    </xf>
    <xf numFmtId="10" fontId="4" fillId="0" borderId="0" xfId="3" applyNumberFormat="1" applyFont="1" applyAlignment="1">
      <alignment horizontal="center"/>
    </xf>
    <xf numFmtId="9" fontId="4" fillId="0" borderId="0" xfId="3" applyNumberFormat="1" applyFont="1" applyAlignment="1">
      <alignment horizontal="center"/>
    </xf>
    <xf numFmtId="3" fontId="4" fillId="0" borderId="3" xfId="3" applyNumberFormat="1" applyFont="1" applyBorder="1"/>
    <xf numFmtId="3" fontId="4" fillId="0" borderId="0" xfId="3" applyNumberFormat="1" applyFont="1"/>
    <xf numFmtId="44" fontId="4" fillId="0" borderId="3" xfId="3" applyNumberFormat="1" applyFont="1" applyBorder="1"/>
    <xf numFmtId="168" fontId="4" fillId="0" borderId="0" xfId="3" applyNumberFormat="1" applyFont="1" applyAlignment="1">
      <alignment horizontal="center"/>
    </xf>
    <xf numFmtId="10" fontId="4" fillId="0" borderId="15" xfId="3" applyNumberFormat="1" applyFont="1" applyBorder="1"/>
    <xf numFmtId="10" fontId="4" fillId="0" borderId="15" xfId="3" applyNumberFormat="1" applyFont="1" applyBorder="1" applyAlignment="1">
      <alignment horizontal="center"/>
    </xf>
    <xf numFmtId="0" fontId="6" fillId="0" borderId="14" xfId="3" applyFont="1" applyBorder="1" applyAlignment="1">
      <alignment horizontal="center"/>
    </xf>
    <xf numFmtId="0" fontId="4" fillId="0" borderId="13" xfId="3" applyFont="1" applyBorder="1" applyAlignment="1">
      <alignment wrapText="1"/>
    </xf>
    <xf numFmtId="167" fontId="4" fillId="0" borderId="12" xfId="3" applyNumberFormat="1" applyFont="1" applyBorder="1"/>
    <xf numFmtId="0" fontId="4" fillId="0" borderId="9" xfId="3" applyFont="1" applyBorder="1"/>
    <xf numFmtId="168" fontId="4" fillId="0" borderId="9" xfId="3" applyNumberFormat="1" applyFont="1" applyBorder="1"/>
    <xf numFmtId="10" fontId="6" fillId="0" borderId="9" xfId="3" applyNumberFormat="1" applyFont="1" applyBorder="1"/>
    <xf numFmtId="10" fontId="6" fillId="0" borderId="0" xfId="3" applyNumberFormat="1" applyFont="1"/>
    <xf numFmtId="9" fontId="6" fillId="0" borderId="9" xfId="3" applyNumberFormat="1" applyFont="1" applyBorder="1"/>
    <xf numFmtId="0" fontId="4" fillId="0" borderId="7" xfId="3" quotePrefix="1" applyFont="1" applyBorder="1" applyAlignment="1">
      <alignment horizontal="left"/>
    </xf>
    <xf numFmtId="10" fontId="6" fillId="0" borderId="6" xfId="3" applyNumberFormat="1" applyFont="1" applyBorder="1"/>
    <xf numFmtId="0" fontId="6" fillId="0" borderId="0" xfId="3" quotePrefix="1" applyFont="1" applyAlignment="1">
      <alignment wrapText="1"/>
    </xf>
    <xf numFmtId="167" fontId="6" fillId="0" borderId="0" xfId="3" quotePrefix="1" applyNumberFormat="1" applyFont="1" applyAlignment="1">
      <alignment wrapText="1"/>
    </xf>
    <xf numFmtId="44" fontId="4" fillId="0" borderId="0" xfId="2" applyFont="1" applyFill="1"/>
    <xf numFmtId="43" fontId="4" fillId="0" borderId="0" xfId="3" applyNumberFormat="1" applyFont="1"/>
    <xf numFmtId="37" fontId="6" fillId="0" borderId="3" xfId="3" applyNumberFormat="1" applyFont="1" applyBorder="1" applyAlignment="1">
      <alignment horizontal="center"/>
    </xf>
    <xf numFmtId="7" fontId="4" fillId="0" borderId="0" xfId="3" applyNumberFormat="1" applyFont="1" applyProtection="1">
      <protection locked="0"/>
    </xf>
    <xf numFmtId="167" fontId="4" fillId="0" borderId="0" xfId="9" applyNumberFormat="1" applyFont="1" applyFill="1" applyProtection="1"/>
    <xf numFmtId="168" fontId="4" fillId="0" borderId="1" xfId="3" applyNumberFormat="1" applyFont="1" applyBorder="1"/>
    <xf numFmtId="43" fontId="4" fillId="0" borderId="0" xfId="9" applyFont="1" applyFill="1" applyProtection="1"/>
    <xf numFmtId="168" fontId="4" fillId="0" borderId="0" xfId="3" applyNumberFormat="1" applyFont="1" applyAlignment="1">
      <alignment horizontal="right"/>
    </xf>
    <xf numFmtId="0" fontId="3" fillId="0" borderId="0" xfId="3" applyAlignment="1">
      <alignment horizontal="center"/>
    </xf>
    <xf numFmtId="0" fontId="3" fillId="0" borderId="0" xfId="3" applyAlignment="1">
      <alignment horizontal="center" wrapText="1"/>
    </xf>
    <xf numFmtId="0" fontId="6" fillId="0" borderId="0" xfId="3" applyFont="1" applyAlignment="1">
      <alignment horizontal="right"/>
    </xf>
    <xf numFmtId="165" fontId="4" fillId="0" borderId="0" xfId="4" applyNumberFormat="1" applyFont="1" applyFill="1" applyBorder="1" applyAlignment="1">
      <alignment horizontal="center"/>
    </xf>
    <xf numFmtId="167" fontId="4" fillId="0" borderId="31" xfId="1" applyNumberFormat="1" applyFont="1" applyFill="1" applyBorder="1"/>
    <xf numFmtId="37" fontId="6" fillId="0" borderId="3" xfId="0" applyNumberFormat="1" applyFont="1" applyBorder="1" applyAlignment="1">
      <alignment horizontal="center"/>
    </xf>
    <xf numFmtId="0" fontId="4" fillId="0" borderId="0" xfId="0" applyFont="1" applyAlignment="1">
      <alignment horizontal="right"/>
    </xf>
    <xf numFmtId="37" fontId="4" fillId="0" borderId="1" xfId="0" applyNumberFormat="1" applyFont="1" applyBorder="1"/>
    <xf numFmtId="166" fontId="4" fillId="0" borderId="0" xfId="0" applyNumberFormat="1" applyFont="1" applyProtection="1">
      <protection locked="0"/>
    </xf>
    <xf numFmtId="39" fontId="4" fillId="0" borderId="0" xfId="0" applyNumberFormat="1" applyFont="1"/>
    <xf numFmtId="168" fontId="4" fillId="0" borderId="9" xfId="0" applyNumberFormat="1" applyFont="1" applyBorder="1"/>
    <xf numFmtId="167" fontId="4" fillId="0" borderId="1" xfId="0" applyNumberFormat="1" applyFont="1" applyBorder="1" applyAlignment="1">
      <alignment horizontal="left"/>
    </xf>
    <xf numFmtId="9" fontId="4" fillId="0" borderId="0" xfId="0" applyNumberFormat="1" applyFont="1"/>
    <xf numFmtId="3" fontId="4" fillId="0" borderId="0" xfId="0" applyNumberFormat="1" applyFont="1"/>
    <xf numFmtId="5" fontId="4" fillId="0" borderId="1" xfId="0" applyNumberFormat="1" applyFont="1" applyBorder="1"/>
    <xf numFmtId="44" fontId="4" fillId="0" borderId="0" xfId="5" applyNumberFormat="1" applyFont="1"/>
    <xf numFmtId="168" fontId="4" fillId="0" borderId="0" xfId="2" applyNumberFormat="1" applyFont="1" applyFill="1"/>
    <xf numFmtId="0" fontId="3" fillId="0" borderId="0" xfId="3" applyAlignment="1">
      <alignment wrapText="1"/>
    </xf>
    <xf numFmtId="169" fontId="4" fillId="0" borderId="0" xfId="3" applyNumberFormat="1" applyFont="1" applyAlignment="1">
      <alignment horizontal="center"/>
    </xf>
    <xf numFmtId="0" fontId="4" fillId="0" borderId="12" xfId="3" applyFont="1" applyBorder="1" applyAlignment="1">
      <alignment horizontal="center"/>
    </xf>
    <xf numFmtId="168" fontId="4" fillId="0" borderId="11" xfId="3" applyNumberFormat="1" applyFont="1" applyBorder="1"/>
    <xf numFmtId="9" fontId="6" fillId="0" borderId="0" xfId="3" applyNumberFormat="1" applyFont="1"/>
    <xf numFmtId="0" fontId="10" fillId="0" borderId="0" xfId="3" applyFont="1"/>
    <xf numFmtId="0" fontId="11" fillId="0" borderId="0" xfId="10" applyFont="1"/>
    <xf numFmtId="0" fontId="12" fillId="0" borderId="0" xfId="10" applyFont="1"/>
    <xf numFmtId="0" fontId="12" fillId="0" borderId="0" xfId="10" applyFont="1" applyAlignment="1">
      <alignment horizontal="center"/>
    </xf>
    <xf numFmtId="0" fontId="12" fillId="0" borderId="0" xfId="10" applyFont="1" applyAlignment="1">
      <alignment horizontal="right"/>
    </xf>
    <xf numFmtId="0" fontId="8" fillId="0" borderId="0" xfId="11" applyFont="1" applyAlignment="1">
      <alignment horizontal="center"/>
    </xf>
    <xf numFmtId="0" fontId="8" fillId="0" borderId="0" xfId="11" applyFont="1" applyAlignment="1">
      <alignment horizontal="right"/>
    </xf>
    <xf numFmtId="0" fontId="12" fillId="2" borderId="37" xfId="11" applyFill="1" applyBorder="1"/>
    <xf numFmtId="0" fontId="12" fillId="2" borderId="38" xfId="11" applyFill="1" applyBorder="1"/>
    <xf numFmtId="0" fontId="8" fillId="2" borderId="38" xfId="11" applyFont="1" applyFill="1" applyBorder="1" applyAlignment="1">
      <alignment horizontal="center"/>
    </xf>
    <xf numFmtId="0" fontId="8" fillId="2" borderId="39" xfId="11" applyFont="1" applyFill="1" applyBorder="1"/>
    <xf numFmtId="0" fontId="12" fillId="0" borderId="0" xfId="11"/>
    <xf numFmtId="0" fontId="13" fillId="3" borderId="31" xfId="11" applyFont="1" applyFill="1" applyBorder="1"/>
    <xf numFmtId="0" fontId="13" fillId="3" borderId="0" xfId="11" applyFont="1" applyFill="1"/>
    <xf numFmtId="0" fontId="13" fillId="3" borderId="0" xfId="11" applyFont="1" applyFill="1" applyAlignment="1">
      <alignment horizontal="center"/>
    </xf>
    <xf numFmtId="0" fontId="13" fillId="3" borderId="30" xfId="11" applyFont="1" applyFill="1" applyBorder="1"/>
    <xf numFmtId="0" fontId="13" fillId="3" borderId="31" xfId="10" applyFont="1" applyFill="1" applyBorder="1"/>
    <xf numFmtId="0" fontId="13" fillId="3" borderId="0" xfId="10" applyFont="1" applyFill="1"/>
    <xf numFmtId="0" fontId="13" fillId="3" borderId="0" xfId="10" applyFont="1" applyFill="1" applyAlignment="1">
      <alignment horizontal="center"/>
    </xf>
    <xf numFmtId="0" fontId="13" fillId="3" borderId="30" xfId="10" applyFont="1" applyFill="1" applyBorder="1"/>
    <xf numFmtId="0" fontId="13" fillId="3" borderId="0" xfId="10" applyFont="1" applyFill="1" applyAlignment="1">
      <alignment horizontal="right"/>
    </xf>
    <xf numFmtId="0" fontId="12" fillId="0" borderId="0" xfId="5" applyFont="1"/>
    <xf numFmtId="0" fontId="14" fillId="4" borderId="31" xfId="5" applyFont="1" applyFill="1" applyBorder="1" applyAlignment="1">
      <alignment horizontal="center"/>
    </xf>
    <xf numFmtId="0" fontId="14" fillId="4" borderId="0" xfId="5" applyFont="1" applyFill="1" applyAlignment="1">
      <alignment horizontal="center"/>
    </xf>
    <xf numFmtId="0" fontId="14" fillId="4" borderId="30" xfId="5" applyFont="1" applyFill="1" applyBorder="1" applyAlignment="1">
      <alignment horizontal="center"/>
    </xf>
    <xf numFmtId="0" fontId="15" fillId="2" borderId="37" xfId="5" applyFont="1" applyFill="1" applyBorder="1"/>
    <xf numFmtId="0" fontId="14" fillId="5" borderId="38" xfId="5" applyFont="1" applyFill="1" applyBorder="1" applyAlignment="1">
      <alignment horizontal="center"/>
    </xf>
    <xf numFmtId="0" fontId="15" fillId="2" borderId="39" xfId="5" applyFont="1" applyFill="1" applyBorder="1"/>
    <xf numFmtId="0" fontId="12" fillId="2" borderId="31" xfId="10" applyFont="1" applyFill="1" applyBorder="1"/>
    <xf numFmtId="0" fontId="12" fillId="2" borderId="0" xfId="10" applyFont="1" applyFill="1"/>
    <xf numFmtId="42" fontId="12" fillId="2" borderId="0" xfId="12" applyNumberFormat="1" applyFont="1" applyFill="1" applyBorder="1" applyAlignment="1">
      <alignment horizontal="center"/>
    </xf>
    <xf numFmtId="0" fontId="12" fillId="2" borderId="0" xfId="10" applyFont="1" applyFill="1" applyAlignment="1">
      <alignment horizontal="center"/>
    </xf>
    <xf numFmtId="178" fontId="12" fillId="2" borderId="0" xfId="10" applyNumberFormat="1" applyFont="1" applyFill="1" applyAlignment="1">
      <alignment horizontal="right"/>
    </xf>
    <xf numFmtId="39" fontId="12" fillId="2" borderId="0" xfId="1" applyNumberFormat="1" applyFont="1" applyFill="1" applyAlignment="1">
      <alignment horizontal="right"/>
    </xf>
    <xf numFmtId="0" fontId="12" fillId="2" borderId="30" xfId="10" applyFont="1" applyFill="1" applyBorder="1"/>
    <xf numFmtId="41" fontId="12" fillId="2" borderId="0" xfId="12" applyNumberFormat="1" applyFont="1" applyFill="1" applyBorder="1" applyAlignment="1">
      <alignment horizontal="center"/>
    </xf>
    <xf numFmtId="42" fontId="12" fillId="2" borderId="0" xfId="10" applyNumberFormat="1" applyFont="1" applyFill="1" applyAlignment="1">
      <alignment horizontal="center"/>
    </xf>
    <xf numFmtId="178" fontId="12" fillId="2" borderId="0" xfId="10" applyNumberFormat="1" applyFont="1" applyFill="1" applyAlignment="1">
      <alignment horizontal="center"/>
    </xf>
    <xf numFmtId="0" fontId="11" fillId="6" borderId="15" xfId="13" applyFont="1" applyFill="1" applyBorder="1"/>
    <xf numFmtId="42" fontId="11" fillId="6" borderId="15" xfId="13" applyNumberFormat="1" applyFont="1" applyFill="1" applyBorder="1"/>
    <xf numFmtId="178" fontId="11" fillId="6" borderId="15" xfId="4" applyNumberFormat="1" applyFont="1" applyFill="1" applyBorder="1"/>
    <xf numFmtId="43" fontId="11" fillId="6" borderId="15" xfId="1" applyFont="1" applyFill="1" applyBorder="1"/>
    <xf numFmtId="0" fontId="12" fillId="2" borderId="27" xfId="10" applyFont="1" applyFill="1" applyBorder="1"/>
    <xf numFmtId="0" fontId="12" fillId="2" borderId="1" xfId="10" applyFont="1" applyFill="1" applyBorder="1"/>
    <xf numFmtId="0" fontId="12" fillId="2" borderId="1" xfId="10" applyFont="1" applyFill="1" applyBorder="1" applyAlignment="1">
      <alignment horizontal="center"/>
    </xf>
    <xf numFmtId="0" fontId="12" fillId="2" borderId="26" xfId="10" applyFont="1" applyFill="1" applyBorder="1"/>
    <xf numFmtId="0" fontId="12" fillId="2" borderId="4" xfId="10" applyFont="1" applyFill="1" applyBorder="1"/>
    <xf numFmtId="0" fontId="12" fillId="2" borderId="3" xfId="10" applyFont="1" applyFill="1" applyBorder="1"/>
    <xf numFmtId="0" fontId="12" fillId="2" borderId="3" xfId="10" applyFont="1" applyFill="1" applyBorder="1" applyAlignment="1">
      <alignment horizontal="center"/>
    </xf>
    <xf numFmtId="0" fontId="12" fillId="2" borderId="2" xfId="10" applyFont="1" applyFill="1" applyBorder="1"/>
    <xf numFmtId="42" fontId="12" fillId="0" borderId="0" xfId="10" applyNumberFormat="1" applyFont="1" applyAlignment="1">
      <alignment horizontal="center"/>
    </xf>
    <xf numFmtId="0" fontId="6" fillId="7" borderId="1" xfId="3" quotePrefix="1" applyFont="1" applyFill="1" applyBorder="1" applyAlignment="1">
      <alignment horizontal="center" wrapText="1"/>
    </xf>
    <xf numFmtId="2" fontId="12" fillId="2" borderId="0" xfId="1" applyNumberFormat="1" applyFont="1" applyFill="1" applyAlignment="1">
      <alignment horizontal="right"/>
    </xf>
    <xf numFmtId="41" fontId="12" fillId="2" borderId="0" xfId="1" applyNumberFormat="1" applyFont="1" applyFill="1" applyBorder="1" applyAlignment="1">
      <alignment horizontal="center"/>
    </xf>
    <xf numFmtId="41" fontId="12" fillId="2" borderId="0" xfId="10" applyNumberFormat="1" applyFont="1" applyFill="1" applyAlignment="1">
      <alignment horizontal="center"/>
    </xf>
    <xf numFmtId="0" fontId="13" fillId="3" borderId="40" xfId="10" applyFont="1" applyFill="1" applyBorder="1" applyAlignment="1">
      <alignment horizontal="center"/>
    </xf>
    <xf numFmtId="0" fontId="6" fillId="0" borderId="4" xfId="3" quotePrefix="1" applyFont="1" applyBorder="1" applyAlignment="1">
      <alignment horizontal="center"/>
    </xf>
    <xf numFmtId="0" fontId="6" fillId="0" borderId="3" xfId="3" quotePrefix="1" applyFont="1" applyBorder="1" applyAlignment="1">
      <alignment horizontal="center"/>
    </xf>
    <xf numFmtId="0" fontId="6" fillId="0" borderId="2" xfId="3" quotePrefix="1" applyFont="1" applyBorder="1" applyAlignment="1">
      <alignment horizontal="center"/>
    </xf>
    <xf numFmtId="0" fontId="6" fillId="0" borderId="0" xfId="3" applyFont="1" applyAlignment="1">
      <alignment horizontal="center" wrapText="1"/>
    </xf>
    <xf numFmtId="0" fontId="3" fillId="0" borderId="0" xfId="3" applyAlignment="1">
      <alignment wrapText="1"/>
    </xf>
    <xf numFmtId="0" fontId="4" fillId="0" borderId="8" xfId="3" quotePrefix="1" applyFont="1" applyBorder="1" applyAlignment="1">
      <alignment horizontal="left"/>
    </xf>
    <xf numFmtId="0" fontId="4" fillId="0" borderId="7" xfId="3" quotePrefix="1" applyFont="1" applyBorder="1" applyAlignment="1">
      <alignment horizontal="left"/>
    </xf>
    <xf numFmtId="0" fontId="4" fillId="0" borderId="10" xfId="3" quotePrefix="1" applyFont="1" applyBorder="1" applyAlignment="1">
      <alignment horizontal="left"/>
    </xf>
    <xf numFmtId="0" fontId="4" fillId="0" borderId="0" xfId="3" quotePrefix="1" applyFont="1" applyAlignment="1">
      <alignment horizontal="left"/>
    </xf>
    <xf numFmtId="0" fontId="4" fillId="0" borderId="10" xfId="3" applyFont="1" applyBorder="1" applyAlignment="1">
      <alignment horizontal="left"/>
    </xf>
    <xf numFmtId="0" fontId="4" fillId="0" borderId="0" xfId="3" applyFont="1" applyAlignment="1">
      <alignment horizontal="left"/>
    </xf>
    <xf numFmtId="0" fontId="6" fillId="0" borderId="0" xfId="3" quotePrefix="1" applyFont="1" applyAlignment="1">
      <alignment horizontal="center" wrapText="1"/>
    </xf>
    <xf numFmtId="0" fontId="6" fillId="0" borderId="4" xfId="3" applyFont="1" applyBorder="1" applyAlignment="1">
      <alignment horizontal="center" wrapText="1"/>
    </xf>
    <xf numFmtId="0" fontId="6" fillId="0" borderId="3" xfId="3" applyFont="1" applyBorder="1" applyAlignment="1">
      <alignment horizontal="center" wrapText="1"/>
    </xf>
    <xf numFmtId="0" fontId="6" fillId="0" borderId="2" xfId="3" applyFont="1" applyBorder="1" applyAlignment="1">
      <alignment horizontal="center" wrapText="1"/>
    </xf>
    <xf numFmtId="0" fontId="7" fillId="0" borderId="3" xfId="3" applyFont="1" applyBorder="1" applyAlignment="1">
      <alignment wrapText="1"/>
    </xf>
    <xf numFmtId="0" fontId="7" fillId="0" borderId="2" xfId="3" applyFont="1" applyBorder="1" applyAlignment="1">
      <alignment wrapText="1"/>
    </xf>
    <xf numFmtId="0" fontId="6" fillId="0" borderId="0" xfId="0" applyFont="1" applyAlignment="1">
      <alignment horizontal="center" wrapText="1"/>
    </xf>
    <xf numFmtId="0" fontId="7" fillId="0" borderId="0" xfId="0" applyFont="1" applyAlignment="1">
      <alignment horizontal="center" wrapText="1"/>
    </xf>
    <xf numFmtId="0" fontId="6" fillId="0" borderId="0" xfId="0" quotePrefix="1" applyFont="1" applyAlignment="1">
      <alignment horizontal="center" wrapText="1"/>
    </xf>
    <xf numFmtId="0" fontId="3" fillId="0" borderId="0" xfId="0" applyFont="1" applyAlignment="1">
      <alignment horizontal="center" wrapText="1"/>
    </xf>
    <xf numFmtId="0" fontId="6" fillId="0" borderId="4" xfId="0"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wrapText="1"/>
    </xf>
    <xf numFmtId="0" fontId="6" fillId="0" borderId="3" xfId="0" applyFont="1" applyBorder="1" applyAlignment="1">
      <alignment horizontal="center" wrapText="1"/>
    </xf>
    <xf numFmtId="0" fontId="3" fillId="0" borderId="2" xfId="0" applyFont="1" applyBorder="1" applyAlignment="1">
      <alignment wrapText="1"/>
    </xf>
    <xf numFmtId="0" fontId="6" fillId="0" borderId="13" xfId="0" applyFont="1" applyBorder="1" applyAlignment="1">
      <alignment horizontal="center"/>
    </xf>
    <xf numFmtId="0" fontId="6" fillId="0" borderId="12" xfId="0" applyFont="1" applyBorder="1" applyAlignment="1">
      <alignment horizontal="center"/>
    </xf>
    <xf numFmtId="0" fontId="6" fillId="0" borderId="36" xfId="0" applyFont="1" applyBorder="1" applyAlignment="1">
      <alignment horizontal="center"/>
    </xf>
    <xf numFmtId="0" fontId="6" fillId="0" borderId="13" xfId="0" applyFont="1" applyBorder="1" applyAlignment="1">
      <alignment horizontal="center" wrapText="1"/>
    </xf>
    <xf numFmtId="0" fontId="3" fillId="0" borderId="12" xfId="0" applyFont="1" applyBorder="1" applyAlignment="1">
      <alignment wrapText="1"/>
    </xf>
    <xf numFmtId="0" fontId="3" fillId="0" borderId="36" xfId="0" applyFont="1" applyBorder="1" applyAlignment="1">
      <alignment wrapText="1"/>
    </xf>
    <xf numFmtId="0" fontId="6" fillId="0" borderId="13" xfId="3" applyFont="1" applyBorder="1" applyAlignment="1">
      <alignment horizontal="center" wrapText="1"/>
    </xf>
    <xf numFmtId="0" fontId="3" fillId="0" borderId="12" xfId="3" applyBorder="1" applyAlignment="1">
      <alignment wrapText="1"/>
    </xf>
    <xf numFmtId="0" fontId="3" fillId="0" borderId="36" xfId="3" applyBorder="1" applyAlignment="1">
      <alignment wrapText="1"/>
    </xf>
    <xf numFmtId="0" fontId="6" fillId="0" borderId="13" xfId="3" applyFont="1" applyBorder="1" applyAlignment="1">
      <alignment horizontal="center"/>
    </xf>
    <xf numFmtId="0" fontId="6" fillId="0" borderId="12" xfId="3" applyFont="1" applyBorder="1" applyAlignment="1">
      <alignment horizontal="center"/>
    </xf>
    <xf numFmtId="0" fontId="6" fillId="0" borderId="36" xfId="3" applyFont="1" applyBorder="1" applyAlignment="1">
      <alignment horizontal="center"/>
    </xf>
    <xf numFmtId="3" fontId="4" fillId="0" borderId="1" xfId="3" quotePrefix="1" applyNumberFormat="1" applyFont="1" applyBorder="1" applyAlignment="1">
      <alignment horizontal="left" wrapText="1"/>
    </xf>
    <xf numFmtId="0" fontId="0" fillId="0" borderId="1" xfId="0" applyBorder="1" applyAlignment="1">
      <alignment wrapText="1"/>
    </xf>
    <xf numFmtId="0" fontId="6" fillId="0" borderId="4" xfId="3" applyFont="1" applyBorder="1" applyAlignment="1">
      <alignment horizontal="center"/>
    </xf>
    <xf numFmtId="0" fontId="6" fillId="0" borderId="3" xfId="3" applyFont="1" applyBorder="1" applyAlignment="1">
      <alignment horizontal="center"/>
    </xf>
    <xf numFmtId="0" fontId="6" fillId="0" borderId="2" xfId="3" applyFont="1" applyBorder="1" applyAlignment="1">
      <alignment horizontal="center"/>
    </xf>
    <xf numFmtId="0" fontId="4" fillId="0" borderId="3" xfId="3" applyFont="1" applyBorder="1" applyAlignment="1">
      <alignment horizontal="center" wrapText="1"/>
    </xf>
    <xf numFmtId="0" fontId="4" fillId="0" borderId="2" xfId="3" applyFont="1" applyBorder="1" applyAlignment="1">
      <alignment horizontal="center" wrapText="1"/>
    </xf>
  </cellXfs>
  <cellStyles count="14">
    <cellStyle name="Comma" xfId="1" builtinId="3"/>
    <cellStyle name="Comma 119" xfId="12" xr:uid="{1EFCF4F3-15AC-462F-AB72-37117B00874D}"/>
    <cellStyle name="Comma 2" xfId="7" xr:uid="{00000000-0005-0000-0000-000001000000}"/>
    <cellStyle name="Comma 3" xfId="9" xr:uid="{00000000-0005-0000-0000-000002000000}"/>
    <cellStyle name="Currency" xfId="2" builtinId="4"/>
    <cellStyle name="Currency 2" xfId="8" xr:uid="{00000000-0005-0000-0000-000004000000}"/>
    <cellStyle name="Normal" xfId="0" builtinId="0"/>
    <cellStyle name="Normal - Style1 5 4" xfId="6" xr:uid="{00000000-0005-0000-0000-000006000000}"/>
    <cellStyle name="Normal 15 2" xfId="10" xr:uid="{4F0B71E3-7024-4128-9FE7-7E5031BFD6B9}"/>
    <cellStyle name="Normal 2" xfId="3" xr:uid="{00000000-0005-0000-0000-000007000000}"/>
    <cellStyle name="Normal 2 2" xfId="5" xr:uid="{00000000-0005-0000-0000-000008000000}"/>
    <cellStyle name="Normal 28" xfId="13" xr:uid="{A0988A97-3010-4C2B-B549-172F6CE76045}"/>
    <cellStyle name="Normal 31 5" xfId="11" xr:uid="{88105133-0294-440F-8F6E-A32F4D93B277}"/>
    <cellStyle name="Percent 2" xfId="4" xr:uid="{00000000-0005-0000-0000-000009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Zakharova, Elena" id="{E6849B0B-1B55-4772-87EC-A4A7F381E9E0}" userId="S::Lena.Zakharova@pse.com::e8a6b8bd-f323-4752-82b4-89107bf522d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10" dT="2024-01-25T21:18:12.08" personId="{E6849B0B-1B55-4772-87EC-A4A7F381E9E0}" id="{40FC5324-F0F1-4B58-BF4C-CEC6C7C23A73}">
    <text>Per agreement cannot have discount for more than 45%</text>
  </threadedComment>
</ThreadedComment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CE575-BA78-427E-89FD-4856C0A07564}">
  <dimension ref="A1:AD35"/>
  <sheetViews>
    <sheetView tabSelected="1" workbookViewId="0">
      <selection activeCell="F31" sqref="F31"/>
    </sheetView>
  </sheetViews>
  <sheetFormatPr defaultColWidth="7.625" defaultRowHeight="12.75" x14ac:dyDescent="0.2"/>
  <cols>
    <col min="1" max="2" width="7.625" style="306"/>
    <col min="3" max="3" width="0.625" style="306" customWidth="1"/>
    <col min="4" max="4" width="38.625" style="306" bestFit="1" customWidth="1"/>
    <col min="5" max="5" width="13.625" style="307" bestFit="1" customWidth="1"/>
    <col min="6" max="7" width="13.625" style="307" customWidth="1"/>
    <col min="8" max="8" width="1.375" style="307" customWidth="1"/>
    <col min="9" max="9" width="7.125" style="307" customWidth="1"/>
    <col min="10" max="10" width="7.625" style="307" bestFit="1" customWidth="1"/>
    <col min="11" max="11" width="3.125" style="307" customWidth="1"/>
    <col min="12" max="12" width="13.625" style="307" customWidth="1"/>
    <col min="13" max="13" width="10.75" style="307" bestFit="1" customWidth="1"/>
    <col min="14" max="15" width="13.625" style="307" customWidth="1"/>
    <col min="16" max="16" width="1.375" style="307" customWidth="1"/>
    <col min="17" max="17" width="7.125" style="307" customWidth="1"/>
    <col min="18" max="18" width="7.625" style="307" bestFit="1" customWidth="1"/>
    <col min="19" max="19" width="3.125" style="307" customWidth="1"/>
    <col min="20" max="20" width="14.375" style="307" bestFit="1" customWidth="1"/>
    <col min="21" max="22" width="13.625" style="307" customWidth="1"/>
    <col min="23" max="23" width="1.375" style="307" customWidth="1"/>
    <col min="24" max="24" width="7.125" style="307" customWidth="1"/>
    <col min="25" max="25" width="7.625" style="307" bestFit="1" customWidth="1"/>
    <col min="26" max="26" width="0.625" style="306" customWidth="1"/>
    <col min="27" max="16384" width="7.625" style="306"/>
  </cols>
  <sheetData>
    <row r="1" spans="1:30" x14ac:dyDescent="0.2">
      <c r="A1" s="305" t="s">
        <v>475</v>
      </c>
      <c r="Z1" s="308" t="s">
        <v>440</v>
      </c>
      <c r="AD1" s="308"/>
    </row>
    <row r="2" spans="1:30" x14ac:dyDescent="0.2">
      <c r="Q2" s="309"/>
      <c r="X2" s="309"/>
      <c r="Z2" s="310" t="s">
        <v>467</v>
      </c>
      <c r="AD2" s="308"/>
    </row>
    <row r="3" spans="1:30" x14ac:dyDescent="0.2">
      <c r="Q3" s="309"/>
      <c r="X3" s="309"/>
      <c r="Z3" s="310" t="s">
        <v>473</v>
      </c>
      <c r="AD3" s="308"/>
    </row>
    <row r="4" spans="1:30" x14ac:dyDescent="0.2">
      <c r="Q4" s="309"/>
      <c r="X4" s="309"/>
      <c r="Z4" s="310"/>
      <c r="AD4" s="308"/>
    </row>
    <row r="5" spans="1:30" ht="13.5" thickBot="1" x14ac:dyDescent="0.25">
      <c r="Q5" s="308"/>
      <c r="X5" s="308"/>
      <c r="Z5" s="308"/>
      <c r="AD5" s="308"/>
    </row>
    <row r="6" spans="1:30" s="315" customFormat="1" ht="2.1" customHeight="1" thickTop="1" x14ac:dyDescent="0.2">
      <c r="A6" s="306"/>
      <c r="B6" s="306"/>
      <c r="C6" s="311"/>
      <c r="D6" s="312"/>
      <c r="E6" s="313"/>
      <c r="F6" s="313"/>
      <c r="G6" s="313"/>
      <c r="H6" s="313"/>
      <c r="I6" s="313"/>
      <c r="J6" s="313"/>
      <c r="K6" s="313"/>
      <c r="L6" s="313"/>
      <c r="M6" s="313"/>
      <c r="N6" s="313"/>
      <c r="O6" s="313"/>
      <c r="P6" s="313"/>
      <c r="Q6" s="313"/>
      <c r="R6" s="313"/>
      <c r="S6" s="313"/>
      <c r="T6" s="313"/>
      <c r="U6" s="313"/>
      <c r="V6" s="313"/>
      <c r="W6" s="313"/>
      <c r="X6" s="313"/>
      <c r="Y6" s="313"/>
      <c r="Z6" s="314"/>
    </row>
    <row r="7" spans="1:30" s="315" customFormat="1" ht="6" customHeight="1" x14ac:dyDescent="0.2">
      <c r="A7" s="306"/>
      <c r="B7" s="306"/>
      <c r="C7" s="316"/>
      <c r="D7" s="317"/>
      <c r="E7" s="318"/>
      <c r="F7" s="318"/>
      <c r="G7" s="318"/>
      <c r="H7" s="318"/>
      <c r="I7" s="318"/>
      <c r="J7" s="318"/>
      <c r="K7" s="318"/>
      <c r="L7" s="318"/>
      <c r="M7" s="318"/>
      <c r="N7" s="318"/>
      <c r="O7" s="318"/>
      <c r="P7" s="318"/>
      <c r="Q7" s="318"/>
      <c r="R7" s="318"/>
      <c r="S7" s="318"/>
      <c r="T7" s="318"/>
      <c r="U7" s="318"/>
      <c r="V7" s="318"/>
      <c r="W7" s="318"/>
      <c r="X7" s="318"/>
      <c r="Y7" s="318"/>
      <c r="Z7" s="319"/>
    </row>
    <row r="8" spans="1:30" x14ac:dyDescent="0.2">
      <c r="C8" s="320"/>
      <c r="D8" s="321"/>
      <c r="E8" s="359" t="s">
        <v>463</v>
      </c>
      <c r="F8" s="359"/>
      <c r="G8" s="359"/>
      <c r="H8" s="359"/>
      <c r="I8" s="359"/>
      <c r="J8" s="359"/>
      <c r="K8" s="322"/>
      <c r="L8" s="359" t="s">
        <v>464</v>
      </c>
      <c r="M8" s="359"/>
      <c r="N8" s="359"/>
      <c r="O8" s="359"/>
      <c r="P8" s="359"/>
      <c r="Q8" s="359"/>
      <c r="R8" s="359"/>
      <c r="S8" s="322"/>
      <c r="T8" s="359" t="s">
        <v>441</v>
      </c>
      <c r="U8" s="359"/>
      <c r="V8" s="359"/>
      <c r="W8" s="359"/>
      <c r="X8" s="359"/>
      <c r="Y8" s="359"/>
      <c r="Z8" s="323"/>
    </row>
    <row r="9" spans="1:30" x14ac:dyDescent="0.2">
      <c r="C9" s="320"/>
      <c r="D9" s="321"/>
      <c r="E9" s="324" t="s">
        <v>442</v>
      </c>
      <c r="F9" s="324" t="s">
        <v>443</v>
      </c>
      <c r="G9" s="324" t="s">
        <v>151</v>
      </c>
      <c r="H9" s="324"/>
      <c r="I9" s="324" t="s">
        <v>444</v>
      </c>
      <c r="J9" s="324" t="s">
        <v>445</v>
      </c>
      <c r="K9" s="322"/>
      <c r="L9" s="324" t="s">
        <v>446</v>
      </c>
      <c r="M9" s="324" t="s">
        <v>469</v>
      </c>
      <c r="N9" s="324" t="s">
        <v>443</v>
      </c>
      <c r="O9" s="324" t="s">
        <v>151</v>
      </c>
      <c r="P9" s="324"/>
      <c r="Q9" s="324" t="s">
        <v>444</v>
      </c>
      <c r="R9" s="324" t="s">
        <v>445</v>
      </c>
      <c r="S9" s="324"/>
      <c r="T9" s="324" t="s">
        <v>471</v>
      </c>
      <c r="U9" s="324" t="s">
        <v>443</v>
      </c>
      <c r="V9" s="324" t="s">
        <v>151</v>
      </c>
      <c r="W9" s="324"/>
      <c r="X9" s="324" t="s">
        <v>444</v>
      </c>
      <c r="Y9" s="324" t="s">
        <v>445</v>
      </c>
      <c r="Z9" s="323"/>
    </row>
    <row r="10" spans="1:30" x14ac:dyDescent="0.2">
      <c r="C10" s="320"/>
      <c r="D10" s="321" t="s">
        <v>465</v>
      </c>
      <c r="E10" s="324" t="s">
        <v>447</v>
      </c>
      <c r="F10" s="324" t="s">
        <v>448</v>
      </c>
      <c r="G10" s="324" t="s">
        <v>447</v>
      </c>
      <c r="H10" s="324"/>
      <c r="I10" s="324" t="s">
        <v>448</v>
      </c>
      <c r="J10" s="324" t="s">
        <v>448</v>
      </c>
      <c r="K10" s="322"/>
      <c r="L10" s="324" t="s">
        <v>447</v>
      </c>
      <c r="M10" s="324" t="s">
        <v>470</v>
      </c>
      <c r="N10" s="324" t="s">
        <v>448</v>
      </c>
      <c r="O10" s="324" t="s">
        <v>447</v>
      </c>
      <c r="P10" s="324"/>
      <c r="Q10" s="324" t="s">
        <v>448</v>
      </c>
      <c r="R10" s="324" t="s">
        <v>448</v>
      </c>
      <c r="S10" s="324"/>
      <c r="T10" s="324" t="s">
        <v>472</v>
      </c>
      <c r="U10" s="324" t="s">
        <v>448</v>
      </c>
      <c r="V10" s="324" t="s">
        <v>447</v>
      </c>
      <c r="W10" s="324"/>
      <c r="X10" s="324" t="s">
        <v>448</v>
      </c>
      <c r="Y10" s="324" t="s">
        <v>448</v>
      </c>
      <c r="Z10" s="323"/>
    </row>
    <row r="11" spans="1:30" ht="6" customHeight="1" thickBot="1" x14ac:dyDescent="0.25">
      <c r="B11" s="325"/>
      <c r="C11" s="326"/>
      <c r="D11" s="327"/>
      <c r="E11" s="327"/>
      <c r="F11" s="327"/>
      <c r="G11" s="327"/>
      <c r="H11" s="327"/>
      <c r="I11" s="327"/>
      <c r="J11" s="327"/>
      <c r="K11" s="327"/>
      <c r="L11" s="327"/>
      <c r="M11" s="327"/>
      <c r="N11" s="327"/>
      <c r="O11" s="327"/>
      <c r="P11" s="327"/>
      <c r="Q11" s="327"/>
      <c r="R11" s="327"/>
      <c r="S11" s="327"/>
      <c r="T11" s="327"/>
      <c r="U11" s="327"/>
      <c r="V11" s="327"/>
      <c r="W11" s="327"/>
      <c r="X11" s="327"/>
      <c r="Y11" s="327"/>
      <c r="Z11" s="328"/>
      <c r="AA11" s="325"/>
    </row>
    <row r="12" spans="1:30" ht="6" customHeight="1" thickTop="1" x14ac:dyDescent="0.2">
      <c r="B12" s="325"/>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1"/>
      <c r="AA12" s="325"/>
    </row>
    <row r="13" spans="1:30" x14ac:dyDescent="0.2">
      <c r="C13" s="332"/>
      <c r="D13" s="333" t="s">
        <v>450</v>
      </c>
      <c r="E13" s="334">
        <f>'Exh CTM-6 (Rate Spread)'!H9</f>
        <v>1204729170.6118267</v>
      </c>
      <c r="F13" s="334">
        <f>G13-E13</f>
        <v>335541990.56614423</v>
      </c>
      <c r="G13" s="334">
        <f>'Exh CTM-6 (Rate Spread)'!U9</f>
        <v>1540271161.1779709</v>
      </c>
      <c r="H13" s="335"/>
      <c r="I13" s="336">
        <f>F13/E13</f>
        <v>0.27852068228391769</v>
      </c>
      <c r="J13" s="356">
        <f>I13/$I$27</f>
        <v>1.0097537133154824</v>
      </c>
      <c r="K13" s="335"/>
      <c r="L13" s="334">
        <f>G13</f>
        <v>1540271161.1779709</v>
      </c>
      <c r="M13" s="334">
        <f>'Exh CTM-6 (Rate Spread)'!K9-'Exh CTM-6 (Rate Spread)'!H9</f>
        <v>17613973.042186737</v>
      </c>
      <c r="N13" s="334">
        <f>O13-(L13+M13)</f>
        <v>149355197.03339386</v>
      </c>
      <c r="O13" s="334">
        <f>'Exh CTM-6 (Rate Spread)'!AB9</f>
        <v>1707240331.2535515</v>
      </c>
      <c r="P13" s="335"/>
      <c r="Q13" s="336">
        <f>N13/SUM(L13:M13)</f>
        <v>9.5870480918452128E-2</v>
      </c>
      <c r="R13" s="356">
        <f>Q13/$Q$27</f>
        <v>1.0053140564268586</v>
      </c>
      <c r="S13" s="335"/>
      <c r="T13" s="334">
        <f>'Exh CTM-6 (Rate Spread)'!K9</f>
        <v>1222343143.6540134</v>
      </c>
      <c r="U13" s="334">
        <f t="shared" ref="U13:U25" si="0">V13-T13</f>
        <v>484897187.59953809</v>
      </c>
      <c r="V13" s="334">
        <f>O13</f>
        <v>1707240331.2535515</v>
      </c>
      <c r="W13" s="335"/>
      <c r="X13" s="336">
        <f>U13/T13</f>
        <v>0.39669481529549055</v>
      </c>
      <c r="Y13" s="337">
        <f>X13/$X$27</f>
        <v>1.0059748146792551</v>
      </c>
      <c r="Z13" s="338"/>
    </row>
    <row r="14" spans="1:30" x14ac:dyDescent="0.2">
      <c r="C14" s="332"/>
      <c r="D14" s="333" t="s">
        <v>451</v>
      </c>
      <c r="E14" s="339">
        <f>'Exh CTM-6 (Rate Spread)'!H12</f>
        <v>276203426.20525771</v>
      </c>
      <c r="F14" s="339">
        <f t="shared" ref="F14:F25" si="1">G14-E14</f>
        <v>74990862.946253538</v>
      </c>
      <c r="G14" s="357">
        <f>'Exh CTM-6 (Rate Spread)'!U12</f>
        <v>351194289.15151125</v>
      </c>
      <c r="H14" s="358"/>
      <c r="I14" s="336">
        <f>F14/E14</f>
        <v>0.27150591133697544</v>
      </c>
      <c r="J14" s="337">
        <f t="shared" ref="J14:J25" si="2">I14/$I$27</f>
        <v>0.98432224103252974</v>
      </c>
      <c r="K14" s="358"/>
      <c r="L14" s="339">
        <f t="shared" ref="L14:L25" si="3">G14</f>
        <v>351194289.15151125</v>
      </c>
      <c r="M14" s="339">
        <f>'Exh CTM-6 (Rate Spread)'!K12-'Exh CTM-6 (Rate Spread)'!H12</f>
        <v>1404419.0830494761</v>
      </c>
      <c r="N14" s="339">
        <f t="shared" ref="N14:N25" si="4">O14-(L14+M14)</f>
        <v>34040192.494033515</v>
      </c>
      <c r="O14" s="357">
        <f>'Exh CTM-6 (Rate Spread)'!AB12</f>
        <v>386638900.72859424</v>
      </c>
      <c r="P14" s="335"/>
      <c r="Q14" s="336">
        <f t="shared" ref="Q14:Q25" si="5">N14/SUM(L14:M14)</f>
        <v>9.6540888264936051E-2</v>
      </c>
      <c r="R14" s="356">
        <f t="shared" ref="R14:R25" si="6">Q14/$Q$27</f>
        <v>1.012344061100825</v>
      </c>
      <c r="S14" s="335"/>
      <c r="T14" s="339">
        <f>'Exh CTM-6 (Rate Spread)'!K12</f>
        <v>277607845.28830719</v>
      </c>
      <c r="U14" s="339">
        <f t="shared" si="0"/>
        <v>109031055.44028705</v>
      </c>
      <c r="V14" s="339">
        <f t="shared" ref="V14:V25" si="7">O14</f>
        <v>386638900.72859424</v>
      </c>
      <c r="W14" s="335"/>
      <c r="X14" s="336">
        <f t="shared" ref="X14:X25" si="8">U14/T14</f>
        <v>0.3927520683972523</v>
      </c>
      <c r="Y14" s="337">
        <f t="shared" ref="Y14:Y25" si="9">X14/$X$27</f>
        <v>0.9959764382766596</v>
      </c>
      <c r="Z14" s="338"/>
    </row>
    <row r="15" spans="1:30" x14ac:dyDescent="0.2">
      <c r="C15" s="332"/>
      <c r="D15" s="333" t="s">
        <v>453</v>
      </c>
      <c r="E15" s="339">
        <f>'Exh CTM-6 (Rate Spread)'!H13</f>
        <v>269454987.66446799</v>
      </c>
      <c r="F15" s="339">
        <f t="shared" si="1"/>
        <v>73159163.367564142</v>
      </c>
      <c r="G15" s="357">
        <f>'Exh CTM-6 (Rate Spread)'!U13</f>
        <v>342614151.03203213</v>
      </c>
      <c r="H15" s="358"/>
      <c r="I15" s="336">
        <f t="shared" ref="I15:I25" si="10">F15/E15</f>
        <v>0.27150792049417821</v>
      </c>
      <c r="J15" s="337">
        <f t="shared" si="2"/>
        <v>0.98432952506590754</v>
      </c>
      <c r="K15" s="358"/>
      <c r="L15" s="339">
        <f t="shared" si="3"/>
        <v>342614151.03203213</v>
      </c>
      <c r="M15" s="339">
        <f>'Exh CTM-6 (Rate Spread)'!K13-'Exh CTM-6 (Rate Spread)'!H13</f>
        <v>738152.25853139162</v>
      </c>
      <c r="N15" s="339">
        <f t="shared" si="4"/>
        <v>33130966.507643521</v>
      </c>
      <c r="O15" s="357">
        <f>'Exh CTM-6 (Rate Spread)'!AB13</f>
        <v>376483269.79820704</v>
      </c>
      <c r="P15" s="335"/>
      <c r="Q15" s="336">
        <f t="shared" si="5"/>
        <v>9.6492629261922508E-2</v>
      </c>
      <c r="R15" s="356">
        <f t="shared" si="6"/>
        <v>1.0118380090437802</v>
      </c>
      <c r="S15" s="335"/>
      <c r="T15" s="339">
        <f>'Exh CTM-6 (Rate Spread)'!K13</f>
        <v>270193139.92299938</v>
      </c>
      <c r="U15" s="339">
        <f t="shared" si="0"/>
        <v>106290129.87520766</v>
      </c>
      <c r="V15" s="339">
        <f t="shared" si="7"/>
        <v>376483269.79820704</v>
      </c>
      <c r="W15" s="335"/>
      <c r="X15" s="336">
        <f t="shared" si="8"/>
        <v>0.39338574586127023</v>
      </c>
      <c r="Y15" s="337">
        <f t="shared" si="9"/>
        <v>0.99758337525907781</v>
      </c>
      <c r="Z15" s="338"/>
    </row>
    <row r="16" spans="1:30" x14ac:dyDescent="0.2">
      <c r="C16" s="332"/>
      <c r="D16" s="333" t="s">
        <v>454</v>
      </c>
      <c r="E16" s="339">
        <f>'Exh CTM-6 (Rate Spread)'!H15</f>
        <v>1218190.4620676418</v>
      </c>
      <c r="F16" s="339">
        <f t="shared" si="1"/>
        <v>352805.94800889189</v>
      </c>
      <c r="G16" s="357">
        <f>'Exh CTM-6 (Rate Spread)'!U15</f>
        <v>1570996.4100765337</v>
      </c>
      <c r="H16" s="358"/>
      <c r="I16" s="336">
        <f t="shared" si="10"/>
        <v>0.28961476796499647</v>
      </c>
      <c r="J16" s="337">
        <f t="shared" si="2"/>
        <v>1.049974404003329</v>
      </c>
      <c r="K16" s="358"/>
      <c r="L16" s="339">
        <f t="shared" si="3"/>
        <v>1570996.4100765337</v>
      </c>
      <c r="M16" s="339">
        <f>'Exh CTM-6 (Rate Spread)'!K15-'Exh CTM-6 (Rate Spread)'!H15</f>
        <v>-5971.5441845098976</v>
      </c>
      <c r="N16" s="339">
        <f t="shared" si="4"/>
        <v>147263.01954256953</v>
      </c>
      <c r="O16" s="357">
        <f>'Exh CTM-6 (Rate Spread)'!AB15</f>
        <v>1712287.8854345933</v>
      </c>
      <c r="P16" s="335"/>
      <c r="Q16" s="336">
        <f t="shared" si="5"/>
        <v>9.4096280993358788E-2</v>
      </c>
      <c r="R16" s="356">
        <f t="shared" si="6"/>
        <v>0.98670949633160909</v>
      </c>
      <c r="S16" s="335"/>
      <c r="T16" s="339">
        <f>'Exh CTM-6 (Rate Spread)'!K15</f>
        <v>1212218.9178831319</v>
      </c>
      <c r="U16" s="339">
        <f t="shared" si="0"/>
        <v>500068.96755146142</v>
      </c>
      <c r="V16" s="339">
        <f t="shared" si="7"/>
        <v>1712287.8854345933</v>
      </c>
      <c r="W16" s="335"/>
      <c r="X16" s="336">
        <f t="shared" si="8"/>
        <v>0.41252364583182677</v>
      </c>
      <c r="Y16" s="337">
        <f t="shared" si="9"/>
        <v>1.0461150036895883</v>
      </c>
      <c r="Z16" s="338"/>
    </row>
    <row r="17" spans="3:26" x14ac:dyDescent="0.2">
      <c r="C17" s="332"/>
      <c r="D17" s="333" t="s">
        <v>452</v>
      </c>
      <c r="E17" s="339">
        <f>'Exh CTM-6 (Rate Spread)'!H14</f>
        <v>166247587.39595214</v>
      </c>
      <c r="F17" s="339">
        <f t="shared" si="1"/>
        <v>45146023.669125229</v>
      </c>
      <c r="G17" s="357">
        <f>'Exh CTM-6 (Rate Spread)'!U14</f>
        <v>211393611.06507736</v>
      </c>
      <c r="H17" s="358"/>
      <c r="I17" s="336">
        <f t="shared" si="10"/>
        <v>0.27155897042644522</v>
      </c>
      <c r="J17" s="337">
        <f t="shared" si="2"/>
        <v>0.98451460237596011</v>
      </c>
      <c r="K17" s="358"/>
      <c r="L17" s="339">
        <f t="shared" si="3"/>
        <v>211393611.06507736</v>
      </c>
      <c r="M17" s="339">
        <f>'Exh CTM-6 (Rate Spread)'!K14-'Exh CTM-6 (Rate Spread)'!H14</f>
        <v>3566058.9486056268</v>
      </c>
      <c r="N17" s="339">
        <f t="shared" si="4"/>
        <v>20821961.690108329</v>
      </c>
      <c r="O17" s="357">
        <f>'Exh CTM-6 (Rate Spread)'!AB14</f>
        <v>235781631.70379132</v>
      </c>
      <c r="P17" s="335"/>
      <c r="Q17" s="336">
        <f t="shared" si="5"/>
        <v>9.6864503414910028E-2</v>
      </c>
      <c r="R17" s="356">
        <f t="shared" si="6"/>
        <v>1.0157375442253986</v>
      </c>
      <c r="S17" s="335"/>
      <c r="T17" s="339">
        <f>'Exh CTM-6 (Rate Spread)'!K14</f>
        <v>169813646.34455776</v>
      </c>
      <c r="U17" s="339">
        <f t="shared" si="0"/>
        <v>65967985.359233558</v>
      </c>
      <c r="V17" s="339">
        <f t="shared" si="7"/>
        <v>235781631.70379132</v>
      </c>
      <c r="W17" s="335"/>
      <c r="X17" s="336">
        <f t="shared" si="8"/>
        <v>0.38847281581470922</v>
      </c>
      <c r="Y17" s="337">
        <f t="shared" si="9"/>
        <v>0.98512472013539043</v>
      </c>
      <c r="Z17" s="338"/>
    </row>
    <row r="18" spans="3:26" x14ac:dyDescent="0.2">
      <c r="C18" s="332"/>
      <c r="D18" s="333" t="s">
        <v>455</v>
      </c>
      <c r="E18" s="339">
        <f>'Exh CTM-6 (Rate Spread)'!H19</f>
        <v>115242157.06590378</v>
      </c>
      <c r="F18" s="339">
        <f t="shared" si="1"/>
        <v>31301839.61355117</v>
      </c>
      <c r="G18" s="357">
        <f>'Exh CTM-6 (Rate Spread)'!U19</f>
        <v>146543996.67945495</v>
      </c>
      <c r="H18" s="358"/>
      <c r="I18" s="336">
        <f t="shared" si="10"/>
        <v>0.2716179600460838</v>
      </c>
      <c r="J18" s="337">
        <f t="shared" si="2"/>
        <v>0.98472846436634687</v>
      </c>
      <c r="K18" s="358"/>
      <c r="L18" s="339">
        <f t="shared" si="3"/>
        <v>146543996.67945495</v>
      </c>
      <c r="M18" s="339">
        <f>'Exh CTM-6 (Rate Spread)'!K19-'Exh CTM-6 (Rate Spread)'!H19</f>
        <v>-1087945.2600072622</v>
      </c>
      <c r="N18" s="339">
        <f t="shared" si="4"/>
        <v>13996740.487509876</v>
      </c>
      <c r="O18" s="357">
        <f>'Exh CTM-6 (Rate Spread)'!AB19</f>
        <v>159452791.90695757</v>
      </c>
      <c r="P18" s="335"/>
      <c r="Q18" s="336">
        <f t="shared" si="5"/>
        <v>9.6226594568746091E-2</v>
      </c>
      <c r="R18" s="356">
        <f t="shared" si="6"/>
        <v>1.0090483243151205</v>
      </c>
      <c r="S18" s="335"/>
      <c r="T18" s="339">
        <f>'Exh CTM-6 (Rate Spread)'!K19</f>
        <v>114154211.80589652</v>
      </c>
      <c r="U18" s="339">
        <f t="shared" si="0"/>
        <v>45298580.101061046</v>
      </c>
      <c r="V18" s="339">
        <f t="shared" si="7"/>
        <v>159452791.90695757</v>
      </c>
      <c r="W18" s="335"/>
      <c r="X18" s="336">
        <f t="shared" si="8"/>
        <v>0.39681917455735255</v>
      </c>
      <c r="Y18" s="337">
        <f t="shared" si="9"/>
        <v>1.0062901762130632</v>
      </c>
      <c r="Z18" s="338"/>
    </row>
    <row r="19" spans="3:26" x14ac:dyDescent="0.2">
      <c r="C19" s="332"/>
      <c r="D19" s="333" t="s">
        <v>456</v>
      </c>
      <c r="E19" s="339">
        <f>'Exh CTM-6 (Rate Spread)'!H20</f>
        <v>273041.40619508282</v>
      </c>
      <c r="F19" s="339">
        <f t="shared" si="1"/>
        <v>133323.44044189015</v>
      </c>
      <c r="G19" s="357">
        <f>'Exh CTM-6 (Rate Spread)'!U20</f>
        <v>406364.84663697297</v>
      </c>
      <c r="H19" s="358"/>
      <c r="I19" s="336">
        <f t="shared" si="10"/>
        <v>0.48829019121969042</v>
      </c>
      <c r="J19" s="337">
        <f t="shared" si="2"/>
        <v>1.7702557300825597</v>
      </c>
      <c r="K19" s="358"/>
      <c r="L19" s="339">
        <f t="shared" si="3"/>
        <v>406364.84663697297</v>
      </c>
      <c r="M19" s="339">
        <f>'Exh CTM-6 (Rate Spread)'!K20-'Exh CTM-6 (Rate Spread)'!H20</f>
        <v>-1637.8100494533428</v>
      </c>
      <c r="N19" s="339">
        <f t="shared" si="4"/>
        <v>48536.218996328476</v>
      </c>
      <c r="O19" s="357">
        <f>'Exh CTM-6 (Rate Spread)'!AB20</f>
        <v>453263.25558384811</v>
      </c>
      <c r="P19" s="335"/>
      <c r="Q19" s="336">
        <f t="shared" si="5"/>
        <v>0.11992334242249919</v>
      </c>
      <c r="R19" s="356">
        <f t="shared" si="6"/>
        <v>1.2575364249354215</v>
      </c>
      <c r="S19" s="335"/>
      <c r="T19" s="339">
        <f>'Exh CTM-6 (Rate Spread)'!K20</f>
        <v>271403.59614562948</v>
      </c>
      <c r="U19" s="339">
        <f t="shared" si="0"/>
        <v>181859.65943821863</v>
      </c>
      <c r="V19" s="339">
        <f t="shared" si="7"/>
        <v>453263.25558384811</v>
      </c>
      <c r="W19" s="335"/>
      <c r="X19" s="336">
        <f t="shared" si="8"/>
        <v>0.6700709276550505</v>
      </c>
      <c r="Y19" s="337">
        <f t="shared" si="9"/>
        <v>1.6992268395734906</v>
      </c>
      <c r="Z19" s="338"/>
    </row>
    <row r="20" spans="3:26" x14ac:dyDescent="0.2">
      <c r="C20" s="332"/>
      <c r="D20" s="333" t="s">
        <v>457</v>
      </c>
      <c r="E20" s="339">
        <f>'Exh CTM-6 (Rate Spread)'!H21</f>
        <v>10672382.731891481</v>
      </c>
      <c r="F20" s="339">
        <f t="shared" si="1"/>
        <v>2918916.5960964784</v>
      </c>
      <c r="G20" s="357">
        <f>'Exh CTM-6 (Rate Spread)'!U21</f>
        <v>13591299.32798796</v>
      </c>
      <c r="H20" s="358"/>
      <c r="I20" s="336">
        <f t="shared" si="10"/>
        <v>0.27350186639897189</v>
      </c>
      <c r="J20" s="337">
        <f t="shared" si="2"/>
        <v>0.99155841114002397</v>
      </c>
      <c r="K20" s="358"/>
      <c r="L20" s="339">
        <f t="shared" si="3"/>
        <v>13591299.32798796</v>
      </c>
      <c r="M20" s="339">
        <f>'Exh CTM-6 (Rate Spread)'!K21-'Exh CTM-6 (Rate Spread)'!H21</f>
        <v>-66814.719629107043</v>
      </c>
      <c r="N20" s="339">
        <f t="shared" si="4"/>
        <v>1299119.5903784391</v>
      </c>
      <c r="O20" s="357">
        <f>'Exh CTM-6 (Rate Spread)'!AB21</f>
        <v>14823604.198737292</v>
      </c>
      <c r="P20" s="335"/>
      <c r="Q20" s="336">
        <f t="shared" si="5"/>
        <v>9.6056864863856908E-2</v>
      </c>
      <c r="R20" s="356">
        <f t="shared" si="6"/>
        <v>1.0072685099605496</v>
      </c>
      <c r="S20" s="335"/>
      <c r="T20" s="339">
        <f>'Exh CTM-6 (Rate Spread)'!K21</f>
        <v>10605568.012262374</v>
      </c>
      <c r="U20" s="339">
        <f t="shared" si="0"/>
        <v>4218036.1864749175</v>
      </c>
      <c r="V20" s="339">
        <f t="shared" si="7"/>
        <v>14823604.198737292</v>
      </c>
      <c r="W20" s="335"/>
      <c r="X20" s="336">
        <f t="shared" si="8"/>
        <v>0.39771902660922431</v>
      </c>
      <c r="Y20" s="337">
        <f t="shared" si="9"/>
        <v>1.0085721029391439</v>
      </c>
      <c r="Z20" s="338"/>
    </row>
    <row r="21" spans="3:26" x14ac:dyDescent="0.2">
      <c r="C21" s="332"/>
      <c r="D21" s="333" t="s">
        <v>458</v>
      </c>
      <c r="E21" s="339">
        <f>'Exh CTM-6 (Rate Spread)'!H28</f>
        <v>3169169.8069353327</v>
      </c>
      <c r="F21" s="339">
        <f t="shared" si="1"/>
        <v>4956728.9534063395</v>
      </c>
      <c r="G21" s="357">
        <f>'Exh CTM-6 (Rate Spread)'!U28</f>
        <v>8125898.7603416722</v>
      </c>
      <c r="H21" s="358"/>
      <c r="I21" s="336">
        <f t="shared" si="10"/>
        <v>1.5640465028283295</v>
      </c>
      <c r="J21" s="337">
        <f t="shared" si="2"/>
        <v>5.6703213243571451</v>
      </c>
      <c r="K21" s="358"/>
      <c r="L21" s="339">
        <f t="shared" si="3"/>
        <v>8125898.7603416722</v>
      </c>
      <c r="M21" s="339">
        <f>'Exh CTM-6 (Rate Spread)'!K28-'Exh CTM-6 (Rate Spread)'!H28</f>
        <v>308657</v>
      </c>
      <c r="N21" s="339">
        <f t="shared" si="4"/>
        <v>520250.60639040545</v>
      </c>
      <c r="O21" s="357">
        <f>'Exh CTM-6 (Rate Spread)'!AB28</f>
        <v>8954806.3667320777</v>
      </c>
      <c r="P21" s="335"/>
      <c r="Q21" s="336">
        <f t="shared" si="5"/>
        <v>6.1680854472095023E-2</v>
      </c>
      <c r="R21" s="356">
        <f t="shared" si="6"/>
        <v>0.64679585852877297</v>
      </c>
      <c r="S21" s="335"/>
      <c r="T21" s="339">
        <f>'Exh CTM-6 (Rate Spread)'!K28</f>
        <v>3477826.8069353327</v>
      </c>
      <c r="U21" s="339">
        <f t="shared" si="0"/>
        <v>5476979.559796745</v>
      </c>
      <c r="V21" s="339">
        <f t="shared" si="7"/>
        <v>8954806.3667320777</v>
      </c>
      <c r="W21" s="335"/>
      <c r="X21" s="336">
        <f t="shared" si="8"/>
        <v>1.574828150980603</v>
      </c>
      <c r="Y21" s="337">
        <f t="shared" si="9"/>
        <v>3.9935925458322852</v>
      </c>
      <c r="Z21" s="338"/>
    </row>
    <row r="22" spans="3:26" x14ac:dyDescent="0.2">
      <c r="C22" s="332"/>
      <c r="D22" s="333" t="s">
        <v>459</v>
      </c>
      <c r="E22" s="339">
        <f>'Exh CTM-6 (Rate Spread)'!H24</f>
        <v>40724861.002794623</v>
      </c>
      <c r="F22" s="339">
        <f t="shared" si="1"/>
        <v>9970553.8638365194</v>
      </c>
      <c r="G22" s="357">
        <f>'Exh CTM-6 (Rate Spread)'!U24</f>
        <v>50695414.866631143</v>
      </c>
      <c r="H22" s="358"/>
      <c r="I22" s="336">
        <f t="shared" si="10"/>
        <v>0.2448272042758432</v>
      </c>
      <c r="J22" s="337">
        <f t="shared" si="2"/>
        <v>0.88760079363217725</v>
      </c>
      <c r="K22" s="358"/>
      <c r="L22" s="339">
        <f t="shared" si="3"/>
        <v>50695414.866631143</v>
      </c>
      <c r="M22" s="339">
        <f>'Exh CTM-6 (Rate Spread)'!K24-'Exh CTM-6 (Rate Spread)'!H24</f>
        <v>-22397.006832703948</v>
      </c>
      <c r="N22" s="339">
        <f t="shared" si="4"/>
        <v>4490629.5661155134</v>
      </c>
      <c r="O22" s="357">
        <f>'Exh CTM-6 (Rate Spread)'!AB24</f>
        <v>55163647.425913952</v>
      </c>
      <c r="P22" s="335"/>
      <c r="Q22" s="336">
        <f t="shared" si="5"/>
        <v>8.8619737994293901E-2</v>
      </c>
      <c r="R22" s="356">
        <f t="shared" si="6"/>
        <v>0.92928154139864949</v>
      </c>
      <c r="S22" s="335"/>
      <c r="T22" s="339">
        <f>'Exh CTM-6 (Rate Spread)'!K24</f>
        <v>40702463.995961919</v>
      </c>
      <c r="U22" s="339">
        <f t="shared" si="0"/>
        <v>14461183.429952033</v>
      </c>
      <c r="V22" s="339">
        <f t="shared" si="7"/>
        <v>55163647.425913952</v>
      </c>
      <c r="W22" s="335"/>
      <c r="X22" s="336">
        <f t="shared" si="8"/>
        <v>0.3552901227647231</v>
      </c>
      <c r="Y22" s="337">
        <f t="shared" si="9"/>
        <v>0.90097702723788298</v>
      </c>
      <c r="Z22" s="338"/>
    </row>
    <row r="23" spans="3:26" x14ac:dyDescent="0.2">
      <c r="C23" s="332"/>
      <c r="D23" s="333" t="s">
        <v>460</v>
      </c>
      <c r="E23" s="339">
        <f>'Exh CTM-6 (Rate Spread)'!H26</f>
        <v>13584723</v>
      </c>
      <c r="F23" s="339">
        <f t="shared" si="1"/>
        <v>528588.58130950294</v>
      </c>
      <c r="G23" s="357">
        <f>'Exh CTM-6 (Rate Spread)'!U26</f>
        <v>14113311.581309503</v>
      </c>
      <c r="H23" s="358"/>
      <c r="I23" s="336">
        <f t="shared" si="10"/>
        <v>3.8910515975151126E-2</v>
      </c>
      <c r="J23" s="337">
        <f t="shared" si="2"/>
        <v>0.14106685963406793</v>
      </c>
      <c r="K23" s="358"/>
      <c r="L23" s="339">
        <f t="shared" si="3"/>
        <v>14113311.581309503</v>
      </c>
      <c r="M23" s="339">
        <f>'Exh CTM-6 (Rate Spread)'!K26-'Exh CTM-6 (Rate Spread)'!H26</f>
        <v>0</v>
      </c>
      <c r="N23" s="339">
        <f t="shared" si="4"/>
        <v>0</v>
      </c>
      <c r="O23" s="357">
        <f>'Exh CTM-6 (Rate Spread)'!AB26</f>
        <v>14113311.581309503</v>
      </c>
      <c r="P23" s="335"/>
      <c r="Q23" s="336">
        <f t="shared" si="5"/>
        <v>0</v>
      </c>
      <c r="R23" s="356">
        <f t="shared" si="6"/>
        <v>0</v>
      </c>
      <c r="S23" s="335"/>
      <c r="T23" s="339">
        <f>'Exh CTM-6 (Rate Spread)'!K26</f>
        <v>13584723</v>
      </c>
      <c r="U23" s="339">
        <f t="shared" si="0"/>
        <v>528588.58130950294</v>
      </c>
      <c r="V23" s="339">
        <f t="shared" si="7"/>
        <v>14113311.581309503</v>
      </c>
      <c r="W23" s="335"/>
      <c r="X23" s="336">
        <f t="shared" si="8"/>
        <v>3.8910515975151126E-2</v>
      </c>
      <c r="Y23" s="337">
        <f t="shared" si="9"/>
        <v>9.8672827543813402E-2</v>
      </c>
      <c r="Z23" s="338"/>
    </row>
    <row r="24" spans="3:26" x14ac:dyDescent="0.2">
      <c r="C24" s="332"/>
      <c r="D24" s="333" t="s">
        <v>461</v>
      </c>
      <c r="E24" s="339">
        <f>'Exh CTM-6 (Rate Spread)'!H30</f>
        <v>16783224.913086899</v>
      </c>
      <c r="F24" s="339">
        <f t="shared" si="1"/>
        <v>4555398.3809051141</v>
      </c>
      <c r="G24" s="357">
        <f>'Exh CTM-6 (Rate Spread)'!U30</f>
        <v>21338623.293992013</v>
      </c>
      <c r="H24" s="358"/>
      <c r="I24" s="336">
        <f t="shared" si="10"/>
        <v>0.2714256887157005</v>
      </c>
      <c r="J24" s="337">
        <f t="shared" si="2"/>
        <v>0.98403140054966143</v>
      </c>
      <c r="K24" s="358"/>
      <c r="L24" s="339">
        <f t="shared" si="3"/>
        <v>21338623.293992013</v>
      </c>
      <c r="M24" s="339">
        <f>'Exh CTM-6 (Rate Spread)'!K30-'Exh CTM-6 (Rate Spread)'!H30</f>
        <v>-56848.710061108693</v>
      </c>
      <c r="N24" s="339">
        <f t="shared" si="4"/>
        <v>2051066.7858875357</v>
      </c>
      <c r="O24" s="357">
        <f>'Exh CTM-6 (Rate Spread)'!AB30</f>
        <v>23332841.369818438</v>
      </c>
      <c r="P24" s="335"/>
      <c r="Q24" s="336">
        <f t="shared" si="5"/>
        <v>9.6376680327975181E-2</v>
      </c>
      <c r="R24" s="356">
        <f t="shared" si="6"/>
        <v>1.0106221489374341</v>
      </c>
      <c r="S24" s="335"/>
      <c r="T24" s="339">
        <f>'Exh CTM-6 (Rate Spread)'!K30</f>
        <v>16726376.20302579</v>
      </c>
      <c r="U24" s="339">
        <f t="shared" ref="U24" si="11">V24-T24</f>
        <v>6606465.1667926479</v>
      </c>
      <c r="V24" s="339">
        <f t="shared" ref="V24" si="12">O24</f>
        <v>23332841.369818438</v>
      </c>
      <c r="W24" s="335"/>
      <c r="X24" s="336">
        <f t="shared" ref="X24" si="13">U24/T24</f>
        <v>0.39497289111538353</v>
      </c>
      <c r="Y24" s="337">
        <f t="shared" ref="Y24" si="14">X24/$X$27</f>
        <v>1.0016082026359781</v>
      </c>
      <c r="Z24" s="338"/>
    </row>
    <row r="25" spans="3:26" x14ac:dyDescent="0.2">
      <c r="C25" s="332"/>
      <c r="D25" s="333" t="s">
        <v>462</v>
      </c>
      <c r="E25" s="339">
        <f>'Exh CTM-6 (Rate Spread)'!H34</f>
        <v>306713.92664298858</v>
      </c>
      <c r="F25" s="339">
        <f t="shared" si="1"/>
        <v>820562.07335701142</v>
      </c>
      <c r="G25" s="357">
        <f>'Exh CTM-6 (Rate Spread)'!U34</f>
        <v>1127276</v>
      </c>
      <c r="H25" s="358"/>
      <c r="I25" s="336">
        <f t="shared" si="10"/>
        <v>2.675333599416684</v>
      </c>
      <c r="J25" s="337">
        <f t="shared" si="2"/>
        <v>9.6992008428835366</v>
      </c>
      <c r="K25" s="358"/>
      <c r="L25" s="339">
        <f t="shared" si="3"/>
        <v>1127276</v>
      </c>
      <c r="M25" s="339">
        <f>'Exh CTM-6 (Rate Spread)'!K34-'Exh CTM-6 (Rate Spread)'!H34</f>
        <v>-564.28708492784062</v>
      </c>
      <c r="N25" s="339">
        <f t="shared" si="4"/>
        <v>0</v>
      </c>
      <c r="O25" s="357">
        <f>'Exh CTM-6 (Rate Spread)'!AB34</f>
        <v>1126711.7129150722</v>
      </c>
      <c r="P25" s="335"/>
      <c r="Q25" s="336">
        <f t="shared" si="5"/>
        <v>0</v>
      </c>
      <c r="R25" s="356">
        <f t="shared" si="6"/>
        <v>0</v>
      </c>
      <c r="S25" s="335"/>
      <c r="T25" s="339">
        <f>'Exh CTM-6 (Rate Spread)'!K34</f>
        <v>306149.63955806073</v>
      </c>
      <c r="U25" s="339">
        <f t="shared" si="0"/>
        <v>820562.07335701142</v>
      </c>
      <c r="V25" s="339">
        <f t="shared" si="7"/>
        <v>1126711.7129150722</v>
      </c>
      <c r="W25" s="335"/>
      <c r="X25" s="336">
        <f t="shared" si="8"/>
        <v>2.6802647050034931</v>
      </c>
      <c r="Y25" s="337">
        <f t="shared" si="9"/>
        <v>6.796859162121466</v>
      </c>
      <c r="Z25" s="338"/>
    </row>
    <row r="26" spans="3:26" ht="6" customHeight="1" x14ac:dyDescent="0.2">
      <c r="C26" s="332"/>
      <c r="D26" s="333"/>
      <c r="E26" s="340"/>
      <c r="F26" s="340"/>
      <c r="G26" s="340"/>
      <c r="H26" s="335"/>
      <c r="I26" s="341"/>
      <c r="J26" s="341"/>
      <c r="K26" s="335"/>
      <c r="L26" s="340"/>
      <c r="M26" s="340"/>
      <c r="N26" s="340"/>
      <c r="O26" s="340"/>
      <c r="P26" s="335"/>
      <c r="Q26" s="341"/>
      <c r="R26" s="341"/>
      <c r="S26" s="335"/>
      <c r="T26" s="340"/>
      <c r="U26" s="340"/>
      <c r="V26" s="340"/>
      <c r="W26" s="335"/>
      <c r="X26" s="341"/>
      <c r="Y26" s="341"/>
      <c r="Z26" s="338"/>
    </row>
    <row r="27" spans="3:26" ht="13.5" thickBot="1" x14ac:dyDescent="0.25">
      <c r="C27" s="332"/>
      <c r="D27" s="342" t="s">
        <v>449</v>
      </c>
      <c r="E27" s="343">
        <f>SUM(E13:E25)</f>
        <v>2118609636.1930223</v>
      </c>
      <c r="F27" s="343">
        <f>SUM(F13:F25)</f>
        <v>584376758.00000012</v>
      </c>
      <c r="G27" s="343">
        <f>SUM(G13:G25)</f>
        <v>2702986394.1930218</v>
      </c>
      <c r="H27" s="342"/>
      <c r="I27" s="344">
        <f>F27/E27</f>
        <v>0.27583031249214934</v>
      </c>
      <c r="J27" s="345">
        <f>I27/$I$27</f>
        <v>1</v>
      </c>
      <c r="K27" s="342"/>
      <c r="L27" s="343">
        <f>SUM(L13:L25)</f>
        <v>2702986394.1930218</v>
      </c>
      <c r="M27" s="343">
        <f>SUM(M13:M25)</f>
        <v>22389080.994524159</v>
      </c>
      <c r="N27" s="343">
        <f>SUM(N13:N25)</f>
        <v>259901923.99999988</v>
      </c>
      <c r="O27" s="343">
        <f>SUM(O13:O25)</f>
        <v>2985277399.1875453</v>
      </c>
      <c r="P27" s="342"/>
      <c r="Q27" s="344">
        <f>N27/SUM(L27:M27)</f>
        <v>9.5363712767729675E-2</v>
      </c>
      <c r="R27" s="345">
        <f>Q27/$Q$27</f>
        <v>1</v>
      </c>
      <c r="S27" s="342"/>
      <c r="T27" s="343">
        <f>SUM(T13:T25)</f>
        <v>2140998717.1875465</v>
      </c>
      <c r="U27" s="343">
        <f>SUM(U13:U25)</f>
        <v>844278682.00000012</v>
      </c>
      <c r="V27" s="343">
        <f>SUM(V13:V25)</f>
        <v>2985277399.1875453</v>
      </c>
      <c r="W27" s="342"/>
      <c r="X27" s="344">
        <f>U27/T27</f>
        <v>0.39433871455516772</v>
      </c>
      <c r="Y27" s="345">
        <f>X27/$X$27</f>
        <v>1</v>
      </c>
      <c r="Z27" s="338"/>
    </row>
    <row r="28" spans="3:26" ht="6" customHeight="1" thickTop="1" x14ac:dyDescent="0.2">
      <c r="C28" s="346"/>
      <c r="D28" s="347"/>
      <c r="E28" s="348"/>
      <c r="F28" s="348"/>
      <c r="G28" s="348"/>
      <c r="H28" s="348"/>
      <c r="I28" s="348"/>
      <c r="J28" s="348"/>
      <c r="K28" s="348"/>
      <c r="L28" s="348"/>
      <c r="M28" s="348"/>
      <c r="N28" s="348"/>
      <c r="O28" s="348"/>
      <c r="P28" s="348"/>
      <c r="Q28" s="348"/>
      <c r="R28" s="348"/>
      <c r="S28" s="348"/>
      <c r="T28" s="348"/>
      <c r="U28" s="348"/>
      <c r="V28" s="348"/>
      <c r="W28" s="348"/>
      <c r="X28" s="348"/>
      <c r="Y28" s="348"/>
      <c r="Z28" s="349"/>
    </row>
    <row r="29" spans="3:26" ht="2.1" customHeight="1" x14ac:dyDescent="0.2">
      <c r="C29" s="350"/>
      <c r="D29" s="351"/>
      <c r="E29" s="352"/>
      <c r="F29" s="352"/>
      <c r="G29" s="352"/>
      <c r="H29" s="352"/>
      <c r="I29" s="352"/>
      <c r="J29" s="352"/>
      <c r="K29" s="352"/>
      <c r="L29" s="352"/>
      <c r="M29" s="352"/>
      <c r="N29" s="352"/>
      <c r="O29" s="352"/>
      <c r="P29" s="352"/>
      <c r="Q29" s="352"/>
      <c r="R29" s="352"/>
      <c r="S29" s="352"/>
      <c r="T29" s="352"/>
      <c r="U29" s="352"/>
      <c r="V29" s="352"/>
      <c r="W29" s="352"/>
      <c r="X29" s="352"/>
      <c r="Y29" s="352"/>
      <c r="Z29" s="353"/>
    </row>
    <row r="32" spans="3:26" x14ac:dyDescent="0.2">
      <c r="D32" s="306" t="s">
        <v>474</v>
      </c>
      <c r="G32" s="354"/>
    </row>
    <row r="33" spans="4:7" x14ac:dyDescent="0.2">
      <c r="G33" s="354"/>
    </row>
    <row r="34" spans="4:7" x14ac:dyDescent="0.2">
      <c r="D34" s="315" t="s">
        <v>466</v>
      </c>
    </row>
    <row r="35" spans="4:7" x14ac:dyDescent="0.2">
      <c r="D35" s="306" t="s">
        <v>468</v>
      </c>
    </row>
  </sheetData>
  <mergeCells count="3">
    <mergeCell ref="E8:J8"/>
    <mergeCell ref="L8:R8"/>
    <mergeCell ref="T8:Y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CE6B-DEA9-4C18-8A03-EBB2279CB008}">
  <sheetPr>
    <tabColor rgb="FF92D050"/>
  </sheetPr>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0"/>
  <sheetViews>
    <sheetView zoomScaleNormal="100" workbookViewId="0">
      <pane xSplit="3" ySplit="6" topLeftCell="D7" activePane="bottomRight" state="frozen"/>
      <selection sqref="A1:XFD1048576"/>
      <selection pane="topRight" sqref="A1:XFD1048576"/>
      <selection pane="bottomLeft" sqref="A1:XFD1048576"/>
      <selection pane="bottomRight" activeCell="F16" sqref="F16"/>
    </sheetView>
  </sheetViews>
  <sheetFormatPr defaultColWidth="9.375" defaultRowHeight="11.25" x14ac:dyDescent="0.2"/>
  <cols>
    <col min="1" max="1" width="4.625" style="39" customWidth="1"/>
    <col min="2" max="2" width="14.75" style="39" customWidth="1"/>
    <col min="3" max="3" width="51.25" style="39" customWidth="1"/>
    <col min="4" max="4" width="13.25" style="39" customWidth="1"/>
    <col min="5" max="5" width="0.625" style="39" customWidth="1"/>
    <col min="6" max="6" width="12.25" style="39" customWidth="1"/>
    <col min="7" max="7" width="10.75" style="39" customWidth="1"/>
    <col min="8" max="8" width="0.625" style="39" customWidth="1"/>
    <col min="9" max="9" width="13" style="39" customWidth="1"/>
    <col min="10" max="10" width="10.875" style="39" customWidth="1"/>
    <col min="11" max="11" width="15.875" style="39" customWidth="1"/>
    <col min="12" max="12" width="8.375" style="40" customWidth="1"/>
    <col min="13" max="13" width="0.875" style="39" customWidth="1"/>
    <col min="14" max="14" width="16.75" style="39" customWidth="1"/>
    <col min="15" max="15" width="8.375" style="39" customWidth="1"/>
    <col min="16" max="16" width="14.875" style="39" customWidth="1"/>
    <col min="17" max="17" width="0.875" style="39" customWidth="1"/>
    <col min="18" max="18" width="16.25" style="39" customWidth="1"/>
    <col min="19" max="19" width="13.375" style="39" customWidth="1"/>
    <col min="20" max="20" width="17.25" style="39" customWidth="1"/>
    <col min="21" max="21" width="0.875" style="39" customWidth="1"/>
    <col min="22" max="22" width="16.75" style="39" customWidth="1"/>
    <col min="23" max="24" width="19.375" style="39" customWidth="1"/>
    <col min="25" max="233" width="9.375" style="39"/>
    <col min="234" max="234" width="4.5" style="39" customWidth="1"/>
    <col min="235" max="235" width="11.25" style="39" customWidth="1"/>
    <col min="236" max="236" width="64" style="39" customWidth="1"/>
    <col min="237" max="237" width="14.75" style="39" customWidth="1"/>
    <col min="238" max="238" width="12.75" style="39" customWidth="1"/>
    <col min="239" max="239" width="13.375" style="39" customWidth="1"/>
    <col min="240" max="240" width="3.25" style="39" customWidth="1"/>
    <col min="241" max="241" width="14.75" style="39" customWidth="1"/>
    <col min="242" max="242" width="16.875" style="39" customWidth="1"/>
    <col min="243" max="243" width="14.75" style="39" customWidth="1"/>
    <col min="244" max="489" width="9.375" style="39"/>
    <col min="490" max="490" width="4.5" style="39" customWidth="1"/>
    <col min="491" max="491" width="11.25" style="39" customWidth="1"/>
    <col min="492" max="492" width="64" style="39" customWidth="1"/>
    <col min="493" max="493" width="14.75" style="39" customWidth="1"/>
    <col min="494" max="494" width="12.75" style="39" customWidth="1"/>
    <col min="495" max="495" width="13.375" style="39" customWidth="1"/>
    <col min="496" max="496" width="3.25" style="39" customWidth="1"/>
    <col min="497" max="497" width="14.75" style="39" customWidth="1"/>
    <col min="498" max="498" width="16.875" style="39" customWidth="1"/>
    <col min="499" max="499" width="14.75" style="39" customWidth="1"/>
    <col min="500" max="745" width="9.375" style="39"/>
    <col min="746" max="746" width="4.5" style="39" customWidth="1"/>
    <col min="747" max="747" width="11.25" style="39" customWidth="1"/>
    <col min="748" max="748" width="64" style="39" customWidth="1"/>
    <col min="749" max="749" width="14.75" style="39" customWidth="1"/>
    <col min="750" max="750" width="12.75" style="39" customWidth="1"/>
    <col min="751" max="751" width="13.375" style="39" customWidth="1"/>
    <col min="752" max="752" width="3.25" style="39" customWidth="1"/>
    <col min="753" max="753" width="14.75" style="39" customWidth="1"/>
    <col min="754" max="754" width="16.875" style="39" customWidth="1"/>
    <col min="755" max="755" width="14.75" style="39" customWidth="1"/>
    <col min="756" max="1001" width="9.375" style="39"/>
    <col min="1002" max="1002" width="4.5" style="39" customWidth="1"/>
    <col min="1003" max="1003" width="11.25" style="39" customWidth="1"/>
    <col min="1004" max="1004" width="64" style="39" customWidth="1"/>
    <col min="1005" max="1005" width="14.75" style="39" customWidth="1"/>
    <col min="1006" max="1006" width="12.75" style="39" customWidth="1"/>
    <col min="1007" max="1007" width="13.375" style="39" customWidth="1"/>
    <col min="1008" max="1008" width="3.25" style="39" customWidth="1"/>
    <col min="1009" max="1009" width="14.75" style="39" customWidth="1"/>
    <col min="1010" max="1010" width="16.875" style="39" customWidth="1"/>
    <col min="1011" max="1011" width="14.75" style="39" customWidth="1"/>
    <col min="1012" max="1257" width="9.375" style="39"/>
    <col min="1258" max="1258" width="4.5" style="39" customWidth="1"/>
    <col min="1259" max="1259" width="11.25" style="39" customWidth="1"/>
    <col min="1260" max="1260" width="64" style="39" customWidth="1"/>
    <col min="1261" max="1261" width="14.75" style="39" customWidth="1"/>
    <col min="1262" max="1262" width="12.75" style="39" customWidth="1"/>
    <col min="1263" max="1263" width="13.375" style="39" customWidth="1"/>
    <col min="1264" max="1264" width="3.25" style="39" customWidth="1"/>
    <col min="1265" max="1265" width="14.75" style="39" customWidth="1"/>
    <col min="1266" max="1266" width="16.875" style="39" customWidth="1"/>
    <col min="1267" max="1267" width="14.75" style="39" customWidth="1"/>
    <col min="1268" max="1513" width="9.375" style="39"/>
    <col min="1514" max="1514" width="4.5" style="39" customWidth="1"/>
    <col min="1515" max="1515" width="11.25" style="39" customWidth="1"/>
    <col min="1516" max="1516" width="64" style="39" customWidth="1"/>
    <col min="1517" max="1517" width="14.75" style="39" customWidth="1"/>
    <col min="1518" max="1518" width="12.75" style="39" customWidth="1"/>
    <col min="1519" max="1519" width="13.375" style="39" customWidth="1"/>
    <col min="1520" max="1520" width="3.25" style="39" customWidth="1"/>
    <col min="1521" max="1521" width="14.75" style="39" customWidth="1"/>
    <col min="1522" max="1522" width="16.875" style="39" customWidth="1"/>
    <col min="1523" max="1523" width="14.75" style="39" customWidth="1"/>
    <col min="1524" max="1769" width="9.375" style="39"/>
    <col min="1770" max="1770" width="4.5" style="39" customWidth="1"/>
    <col min="1771" max="1771" width="11.25" style="39" customWidth="1"/>
    <col min="1772" max="1772" width="64" style="39" customWidth="1"/>
    <col min="1773" max="1773" width="14.75" style="39" customWidth="1"/>
    <col min="1774" max="1774" width="12.75" style="39" customWidth="1"/>
    <col min="1775" max="1775" width="13.375" style="39" customWidth="1"/>
    <col min="1776" max="1776" width="3.25" style="39" customWidth="1"/>
    <col min="1777" max="1777" width="14.75" style="39" customWidth="1"/>
    <col min="1778" max="1778" width="16.875" style="39" customWidth="1"/>
    <col min="1779" max="1779" width="14.75" style="39" customWidth="1"/>
    <col min="1780" max="2025" width="9.375" style="39"/>
    <col min="2026" max="2026" width="4.5" style="39" customWidth="1"/>
    <col min="2027" max="2027" width="11.25" style="39" customWidth="1"/>
    <col min="2028" max="2028" width="64" style="39" customWidth="1"/>
    <col min="2029" max="2029" width="14.75" style="39" customWidth="1"/>
    <col min="2030" max="2030" width="12.75" style="39" customWidth="1"/>
    <col min="2031" max="2031" width="13.375" style="39" customWidth="1"/>
    <col min="2032" max="2032" width="3.25" style="39" customWidth="1"/>
    <col min="2033" max="2033" width="14.75" style="39" customWidth="1"/>
    <col min="2034" max="2034" width="16.875" style="39" customWidth="1"/>
    <col min="2035" max="2035" width="14.75" style="39" customWidth="1"/>
    <col min="2036" max="2281" width="9.375" style="39"/>
    <col min="2282" max="2282" width="4.5" style="39" customWidth="1"/>
    <col min="2283" max="2283" width="11.25" style="39" customWidth="1"/>
    <col min="2284" max="2284" width="64" style="39" customWidth="1"/>
    <col min="2285" max="2285" width="14.75" style="39" customWidth="1"/>
    <col min="2286" max="2286" width="12.75" style="39" customWidth="1"/>
    <col min="2287" max="2287" width="13.375" style="39" customWidth="1"/>
    <col min="2288" max="2288" width="3.25" style="39" customWidth="1"/>
    <col min="2289" max="2289" width="14.75" style="39" customWidth="1"/>
    <col min="2290" max="2290" width="16.875" style="39" customWidth="1"/>
    <col min="2291" max="2291" width="14.75" style="39" customWidth="1"/>
    <col min="2292" max="2537" width="9.375" style="39"/>
    <col min="2538" max="2538" width="4.5" style="39" customWidth="1"/>
    <col min="2539" max="2539" width="11.25" style="39" customWidth="1"/>
    <col min="2540" max="2540" width="64" style="39" customWidth="1"/>
    <col min="2541" max="2541" width="14.75" style="39" customWidth="1"/>
    <col min="2542" max="2542" width="12.75" style="39" customWidth="1"/>
    <col min="2543" max="2543" width="13.375" style="39" customWidth="1"/>
    <col min="2544" max="2544" width="3.25" style="39" customWidth="1"/>
    <col min="2545" max="2545" width="14.75" style="39" customWidth="1"/>
    <col min="2546" max="2546" width="16.875" style="39" customWidth="1"/>
    <col min="2547" max="2547" width="14.75" style="39" customWidth="1"/>
    <col min="2548" max="2793" width="9.375" style="39"/>
    <col min="2794" max="2794" width="4.5" style="39" customWidth="1"/>
    <col min="2795" max="2795" width="11.25" style="39" customWidth="1"/>
    <col min="2796" max="2796" width="64" style="39" customWidth="1"/>
    <col min="2797" max="2797" width="14.75" style="39" customWidth="1"/>
    <col min="2798" max="2798" width="12.75" style="39" customWidth="1"/>
    <col min="2799" max="2799" width="13.375" style="39" customWidth="1"/>
    <col min="2800" max="2800" width="3.25" style="39" customWidth="1"/>
    <col min="2801" max="2801" width="14.75" style="39" customWidth="1"/>
    <col min="2802" max="2802" width="16.875" style="39" customWidth="1"/>
    <col min="2803" max="2803" width="14.75" style="39" customWidth="1"/>
    <col min="2804" max="3049" width="9.375" style="39"/>
    <col min="3050" max="3050" width="4.5" style="39" customWidth="1"/>
    <col min="3051" max="3051" width="11.25" style="39" customWidth="1"/>
    <col min="3052" max="3052" width="64" style="39" customWidth="1"/>
    <col min="3053" max="3053" width="14.75" style="39" customWidth="1"/>
    <col min="3054" max="3054" width="12.75" style="39" customWidth="1"/>
    <col min="3055" max="3055" width="13.375" style="39" customWidth="1"/>
    <col min="3056" max="3056" width="3.25" style="39" customWidth="1"/>
    <col min="3057" max="3057" width="14.75" style="39" customWidth="1"/>
    <col min="3058" max="3058" width="16.875" style="39" customWidth="1"/>
    <col min="3059" max="3059" width="14.75" style="39" customWidth="1"/>
    <col min="3060" max="3305" width="9.375" style="39"/>
    <col min="3306" max="3306" width="4.5" style="39" customWidth="1"/>
    <col min="3307" max="3307" width="11.25" style="39" customWidth="1"/>
    <col min="3308" max="3308" width="64" style="39" customWidth="1"/>
    <col min="3309" max="3309" width="14.75" style="39" customWidth="1"/>
    <col min="3310" max="3310" width="12.75" style="39" customWidth="1"/>
    <col min="3311" max="3311" width="13.375" style="39" customWidth="1"/>
    <col min="3312" max="3312" width="3.25" style="39" customWidth="1"/>
    <col min="3313" max="3313" width="14.75" style="39" customWidth="1"/>
    <col min="3314" max="3314" width="16.875" style="39" customWidth="1"/>
    <col min="3315" max="3315" width="14.75" style="39" customWidth="1"/>
    <col min="3316" max="3561" width="9.375" style="39"/>
    <col min="3562" max="3562" width="4.5" style="39" customWidth="1"/>
    <col min="3563" max="3563" width="11.25" style="39" customWidth="1"/>
    <col min="3564" max="3564" width="64" style="39" customWidth="1"/>
    <col min="3565" max="3565" width="14.75" style="39" customWidth="1"/>
    <col min="3566" max="3566" width="12.75" style="39" customWidth="1"/>
    <col min="3567" max="3567" width="13.375" style="39" customWidth="1"/>
    <col min="3568" max="3568" width="3.25" style="39" customWidth="1"/>
    <col min="3569" max="3569" width="14.75" style="39" customWidth="1"/>
    <col min="3570" max="3570" width="16.875" style="39" customWidth="1"/>
    <col min="3571" max="3571" width="14.75" style="39" customWidth="1"/>
    <col min="3572" max="3817" width="9.375" style="39"/>
    <col min="3818" max="3818" width="4.5" style="39" customWidth="1"/>
    <col min="3819" max="3819" width="11.25" style="39" customWidth="1"/>
    <col min="3820" max="3820" width="64" style="39" customWidth="1"/>
    <col min="3821" max="3821" width="14.75" style="39" customWidth="1"/>
    <col min="3822" max="3822" width="12.75" style="39" customWidth="1"/>
    <col min="3823" max="3823" width="13.375" style="39" customWidth="1"/>
    <col min="3824" max="3824" width="3.25" style="39" customWidth="1"/>
    <col min="3825" max="3825" width="14.75" style="39" customWidth="1"/>
    <col min="3826" max="3826" width="16.875" style="39" customWidth="1"/>
    <col min="3827" max="3827" width="14.75" style="39" customWidth="1"/>
    <col min="3828" max="4073" width="9.375" style="39"/>
    <col min="4074" max="4074" width="4.5" style="39" customWidth="1"/>
    <col min="4075" max="4075" width="11.25" style="39" customWidth="1"/>
    <col min="4076" max="4076" width="64" style="39" customWidth="1"/>
    <col min="4077" max="4077" width="14.75" style="39" customWidth="1"/>
    <col min="4078" max="4078" width="12.75" style="39" customWidth="1"/>
    <col min="4079" max="4079" width="13.375" style="39" customWidth="1"/>
    <col min="4080" max="4080" width="3.25" style="39" customWidth="1"/>
    <col min="4081" max="4081" width="14.75" style="39" customWidth="1"/>
    <col min="4082" max="4082" width="16.875" style="39" customWidth="1"/>
    <col min="4083" max="4083" width="14.75" style="39" customWidth="1"/>
    <col min="4084" max="4329" width="9.375" style="39"/>
    <col min="4330" max="4330" width="4.5" style="39" customWidth="1"/>
    <col min="4331" max="4331" width="11.25" style="39" customWidth="1"/>
    <col min="4332" max="4332" width="64" style="39" customWidth="1"/>
    <col min="4333" max="4333" width="14.75" style="39" customWidth="1"/>
    <col min="4334" max="4334" width="12.75" style="39" customWidth="1"/>
    <col min="4335" max="4335" width="13.375" style="39" customWidth="1"/>
    <col min="4336" max="4336" width="3.25" style="39" customWidth="1"/>
    <col min="4337" max="4337" width="14.75" style="39" customWidth="1"/>
    <col min="4338" max="4338" width="16.875" style="39" customWidth="1"/>
    <col min="4339" max="4339" width="14.75" style="39" customWidth="1"/>
    <col min="4340" max="4585" width="9.375" style="39"/>
    <col min="4586" max="4586" width="4.5" style="39" customWidth="1"/>
    <col min="4587" max="4587" width="11.25" style="39" customWidth="1"/>
    <col min="4588" max="4588" width="64" style="39" customWidth="1"/>
    <col min="4589" max="4589" width="14.75" style="39" customWidth="1"/>
    <col min="4590" max="4590" width="12.75" style="39" customWidth="1"/>
    <col min="4591" max="4591" width="13.375" style="39" customWidth="1"/>
    <col min="4592" max="4592" width="3.25" style="39" customWidth="1"/>
    <col min="4593" max="4593" width="14.75" style="39" customWidth="1"/>
    <col min="4594" max="4594" width="16.875" style="39" customWidth="1"/>
    <col min="4595" max="4595" width="14.75" style="39" customWidth="1"/>
    <col min="4596" max="4841" width="9.375" style="39"/>
    <col min="4842" max="4842" width="4.5" style="39" customWidth="1"/>
    <col min="4843" max="4843" width="11.25" style="39" customWidth="1"/>
    <col min="4844" max="4844" width="64" style="39" customWidth="1"/>
    <col min="4845" max="4845" width="14.75" style="39" customWidth="1"/>
    <col min="4846" max="4846" width="12.75" style="39" customWidth="1"/>
    <col min="4847" max="4847" width="13.375" style="39" customWidth="1"/>
    <col min="4848" max="4848" width="3.25" style="39" customWidth="1"/>
    <col min="4849" max="4849" width="14.75" style="39" customWidth="1"/>
    <col min="4850" max="4850" width="16.875" style="39" customWidth="1"/>
    <col min="4851" max="4851" width="14.75" style="39" customWidth="1"/>
    <col min="4852" max="5097" width="9.375" style="39"/>
    <col min="5098" max="5098" width="4.5" style="39" customWidth="1"/>
    <col min="5099" max="5099" width="11.25" style="39" customWidth="1"/>
    <col min="5100" max="5100" width="64" style="39" customWidth="1"/>
    <col min="5101" max="5101" width="14.75" style="39" customWidth="1"/>
    <col min="5102" max="5102" width="12.75" style="39" customWidth="1"/>
    <col min="5103" max="5103" width="13.375" style="39" customWidth="1"/>
    <col min="5104" max="5104" width="3.25" style="39" customWidth="1"/>
    <col min="5105" max="5105" width="14.75" style="39" customWidth="1"/>
    <col min="5106" max="5106" width="16.875" style="39" customWidth="1"/>
    <col min="5107" max="5107" width="14.75" style="39" customWidth="1"/>
    <col min="5108" max="5353" width="9.375" style="39"/>
    <col min="5354" max="5354" width="4.5" style="39" customWidth="1"/>
    <col min="5355" max="5355" width="11.25" style="39" customWidth="1"/>
    <col min="5356" max="5356" width="64" style="39" customWidth="1"/>
    <col min="5357" max="5357" width="14.75" style="39" customWidth="1"/>
    <col min="5358" max="5358" width="12.75" style="39" customWidth="1"/>
    <col min="5359" max="5359" width="13.375" style="39" customWidth="1"/>
    <col min="5360" max="5360" width="3.25" style="39" customWidth="1"/>
    <col min="5361" max="5361" width="14.75" style="39" customWidth="1"/>
    <col min="5362" max="5362" width="16.875" style="39" customWidth="1"/>
    <col min="5363" max="5363" width="14.75" style="39" customWidth="1"/>
    <col min="5364" max="5609" width="9.375" style="39"/>
    <col min="5610" max="5610" width="4.5" style="39" customWidth="1"/>
    <col min="5611" max="5611" width="11.25" style="39" customWidth="1"/>
    <col min="5612" max="5612" width="64" style="39" customWidth="1"/>
    <col min="5613" max="5613" width="14.75" style="39" customWidth="1"/>
    <col min="5614" max="5614" width="12.75" style="39" customWidth="1"/>
    <col min="5615" max="5615" width="13.375" style="39" customWidth="1"/>
    <col min="5616" max="5616" width="3.25" style="39" customWidth="1"/>
    <col min="5617" max="5617" width="14.75" style="39" customWidth="1"/>
    <col min="5618" max="5618" width="16.875" style="39" customWidth="1"/>
    <col min="5619" max="5619" width="14.75" style="39" customWidth="1"/>
    <col min="5620" max="5865" width="9.375" style="39"/>
    <col min="5866" max="5866" width="4.5" style="39" customWidth="1"/>
    <col min="5867" max="5867" width="11.25" style="39" customWidth="1"/>
    <col min="5868" max="5868" width="64" style="39" customWidth="1"/>
    <col min="5869" max="5869" width="14.75" style="39" customWidth="1"/>
    <col min="5870" max="5870" width="12.75" style="39" customWidth="1"/>
    <col min="5871" max="5871" width="13.375" style="39" customWidth="1"/>
    <col min="5872" max="5872" width="3.25" style="39" customWidth="1"/>
    <col min="5873" max="5873" width="14.75" style="39" customWidth="1"/>
    <col min="5874" max="5874" width="16.875" style="39" customWidth="1"/>
    <col min="5875" max="5875" width="14.75" style="39" customWidth="1"/>
    <col min="5876" max="6121" width="9.375" style="39"/>
    <col min="6122" max="6122" width="4.5" style="39" customWidth="1"/>
    <col min="6123" max="6123" width="11.25" style="39" customWidth="1"/>
    <col min="6124" max="6124" width="64" style="39" customWidth="1"/>
    <col min="6125" max="6125" width="14.75" style="39" customWidth="1"/>
    <col min="6126" max="6126" width="12.75" style="39" customWidth="1"/>
    <col min="6127" max="6127" width="13.375" style="39" customWidth="1"/>
    <col min="6128" max="6128" width="3.25" style="39" customWidth="1"/>
    <col min="6129" max="6129" width="14.75" style="39" customWidth="1"/>
    <col min="6130" max="6130" width="16.875" style="39" customWidth="1"/>
    <col min="6131" max="6131" width="14.75" style="39" customWidth="1"/>
    <col min="6132" max="6377" width="9.375" style="39"/>
    <col min="6378" max="6378" width="4.5" style="39" customWidth="1"/>
    <col min="6379" max="6379" width="11.25" style="39" customWidth="1"/>
    <col min="6380" max="6380" width="64" style="39" customWidth="1"/>
    <col min="6381" max="6381" width="14.75" style="39" customWidth="1"/>
    <col min="6382" max="6382" width="12.75" style="39" customWidth="1"/>
    <col min="6383" max="6383" width="13.375" style="39" customWidth="1"/>
    <col min="6384" max="6384" width="3.25" style="39" customWidth="1"/>
    <col min="6385" max="6385" width="14.75" style="39" customWidth="1"/>
    <col min="6386" max="6386" width="16.875" style="39" customWidth="1"/>
    <col min="6387" max="6387" width="14.75" style="39" customWidth="1"/>
    <col min="6388" max="6633" width="9.375" style="39"/>
    <col min="6634" max="6634" width="4.5" style="39" customWidth="1"/>
    <col min="6635" max="6635" width="11.25" style="39" customWidth="1"/>
    <col min="6636" max="6636" width="64" style="39" customWidth="1"/>
    <col min="6637" max="6637" width="14.75" style="39" customWidth="1"/>
    <col min="6638" max="6638" width="12.75" style="39" customWidth="1"/>
    <col min="6639" max="6639" width="13.375" style="39" customWidth="1"/>
    <col min="6640" max="6640" width="3.25" style="39" customWidth="1"/>
    <col min="6641" max="6641" width="14.75" style="39" customWidth="1"/>
    <col min="6642" max="6642" width="16.875" style="39" customWidth="1"/>
    <col min="6643" max="6643" width="14.75" style="39" customWidth="1"/>
    <col min="6644" max="6889" width="9.375" style="39"/>
    <col min="6890" max="6890" width="4.5" style="39" customWidth="1"/>
    <col min="6891" max="6891" width="11.25" style="39" customWidth="1"/>
    <col min="6892" max="6892" width="64" style="39" customWidth="1"/>
    <col min="6893" max="6893" width="14.75" style="39" customWidth="1"/>
    <col min="6894" max="6894" width="12.75" style="39" customWidth="1"/>
    <col min="6895" max="6895" width="13.375" style="39" customWidth="1"/>
    <col min="6896" max="6896" width="3.25" style="39" customWidth="1"/>
    <col min="6897" max="6897" width="14.75" style="39" customWidth="1"/>
    <col min="6898" max="6898" width="16.875" style="39" customWidth="1"/>
    <col min="6899" max="6899" width="14.75" style="39" customWidth="1"/>
    <col min="6900" max="7145" width="9.375" style="39"/>
    <col min="7146" max="7146" width="4.5" style="39" customWidth="1"/>
    <col min="7147" max="7147" width="11.25" style="39" customWidth="1"/>
    <col min="7148" max="7148" width="64" style="39" customWidth="1"/>
    <col min="7149" max="7149" width="14.75" style="39" customWidth="1"/>
    <col min="7150" max="7150" width="12.75" style="39" customWidth="1"/>
    <col min="7151" max="7151" width="13.375" style="39" customWidth="1"/>
    <col min="7152" max="7152" width="3.25" style="39" customWidth="1"/>
    <col min="7153" max="7153" width="14.75" style="39" customWidth="1"/>
    <col min="7154" max="7154" width="16.875" style="39" customWidth="1"/>
    <col min="7155" max="7155" width="14.75" style="39" customWidth="1"/>
    <col min="7156" max="7401" width="9.375" style="39"/>
    <col min="7402" max="7402" width="4.5" style="39" customWidth="1"/>
    <col min="7403" max="7403" width="11.25" style="39" customWidth="1"/>
    <col min="7404" max="7404" width="64" style="39" customWidth="1"/>
    <col min="7405" max="7405" width="14.75" style="39" customWidth="1"/>
    <col min="7406" max="7406" width="12.75" style="39" customWidth="1"/>
    <col min="7407" max="7407" width="13.375" style="39" customWidth="1"/>
    <col min="7408" max="7408" width="3.25" style="39" customWidth="1"/>
    <col min="7409" max="7409" width="14.75" style="39" customWidth="1"/>
    <col min="7410" max="7410" width="16.875" style="39" customWidth="1"/>
    <col min="7411" max="7411" width="14.75" style="39" customWidth="1"/>
    <col min="7412" max="7657" width="9.375" style="39"/>
    <col min="7658" max="7658" width="4.5" style="39" customWidth="1"/>
    <col min="7659" max="7659" width="11.25" style="39" customWidth="1"/>
    <col min="7660" max="7660" width="64" style="39" customWidth="1"/>
    <col min="7661" max="7661" width="14.75" style="39" customWidth="1"/>
    <col min="7662" max="7662" width="12.75" style="39" customWidth="1"/>
    <col min="7663" max="7663" width="13.375" style="39" customWidth="1"/>
    <col min="7664" max="7664" width="3.25" style="39" customWidth="1"/>
    <col min="7665" max="7665" width="14.75" style="39" customWidth="1"/>
    <col min="7666" max="7666" width="16.875" style="39" customWidth="1"/>
    <col min="7667" max="7667" width="14.75" style="39" customWidth="1"/>
    <col min="7668" max="7913" width="9.375" style="39"/>
    <col min="7914" max="7914" width="4.5" style="39" customWidth="1"/>
    <col min="7915" max="7915" width="11.25" style="39" customWidth="1"/>
    <col min="7916" max="7916" width="64" style="39" customWidth="1"/>
    <col min="7917" max="7917" width="14.75" style="39" customWidth="1"/>
    <col min="7918" max="7918" width="12.75" style="39" customWidth="1"/>
    <col min="7919" max="7919" width="13.375" style="39" customWidth="1"/>
    <col min="7920" max="7920" width="3.25" style="39" customWidth="1"/>
    <col min="7921" max="7921" width="14.75" style="39" customWidth="1"/>
    <col min="7922" max="7922" width="16.875" style="39" customWidth="1"/>
    <col min="7923" max="7923" width="14.75" style="39" customWidth="1"/>
    <col min="7924" max="8169" width="9.375" style="39"/>
    <col min="8170" max="8170" width="4.5" style="39" customWidth="1"/>
    <col min="8171" max="8171" width="11.25" style="39" customWidth="1"/>
    <col min="8172" max="8172" width="64" style="39" customWidth="1"/>
    <col min="8173" max="8173" width="14.75" style="39" customWidth="1"/>
    <col min="8174" max="8174" width="12.75" style="39" customWidth="1"/>
    <col min="8175" max="8175" width="13.375" style="39" customWidth="1"/>
    <col min="8176" max="8176" width="3.25" style="39" customWidth="1"/>
    <col min="8177" max="8177" width="14.75" style="39" customWidth="1"/>
    <col min="8178" max="8178" width="16.875" style="39" customWidth="1"/>
    <col min="8179" max="8179" width="14.75" style="39" customWidth="1"/>
    <col min="8180" max="8425" width="9.375" style="39"/>
    <col min="8426" max="8426" width="4.5" style="39" customWidth="1"/>
    <col min="8427" max="8427" width="11.25" style="39" customWidth="1"/>
    <col min="8428" max="8428" width="64" style="39" customWidth="1"/>
    <col min="8429" max="8429" width="14.75" style="39" customWidth="1"/>
    <col min="8430" max="8430" width="12.75" style="39" customWidth="1"/>
    <col min="8431" max="8431" width="13.375" style="39" customWidth="1"/>
    <col min="8432" max="8432" width="3.25" style="39" customWidth="1"/>
    <col min="8433" max="8433" width="14.75" style="39" customWidth="1"/>
    <col min="8434" max="8434" width="16.875" style="39" customWidth="1"/>
    <col min="8435" max="8435" width="14.75" style="39" customWidth="1"/>
    <col min="8436" max="8681" width="9.375" style="39"/>
    <col min="8682" max="8682" width="4.5" style="39" customWidth="1"/>
    <col min="8683" max="8683" width="11.25" style="39" customWidth="1"/>
    <col min="8684" max="8684" width="64" style="39" customWidth="1"/>
    <col min="8685" max="8685" width="14.75" style="39" customWidth="1"/>
    <col min="8686" max="8686" width="12.75" style="39" customWidth="1"/>
    <col min="8687" max="8687" width="13.375" style="39" customWidth="1"/>
    <col min="8688" max="8688" width="3.25" style="39" customWidth="1"/>
    <col min="8689" max="8689" width="14.75" style="39" customWidth="1"/>
    <col min="8690" max="8690" width="16.875" style="39" customWidth="1"/>
    <col min="8691" max="8691" width="14.75" style="39" customWidth="1"/>
    <col min="8692" max="8937" width="9.375" style="39"/>
    <col min="8938" max="8938" width="4.5" style="39" customWidth="1"/>
    <col min="8939" max="8939" width="11.25" style="39" customWidth="1"/>
    <col min="8940" max="8940" width="64" style="39" customWidth="1"/>
    <col min="8941" max="8941" width="14.75" style="39" customWidth="1"/>
    <col min="8942" max="8942" width="12.75" style="39" customWidth="1"/>
    <col min="8943" max="8943" width="13.375" style="39" customWidth="1"/>
    <col min="8944" max="8944" width="3.25" style="39" customWidth="1"/>
    <col min="8945" max="8945" width="14.75" style="39" customWidth="1"/>
    <col min="8946" max="8946" width="16.875" style="39" customWidth="1"/>
    <col min="8947" max="8947" width="14.75" style="39" customWidth="1"/>
    <col min="8948" max="9193" width="9.375" style="39"/>
    <col min="9194" max="9194" width="4.5" style="39" customWidth="1"/>
    <col min="9195" max="9195" width="11.25" style="39" customWidth="1"/>
    <col min="9196" max="9196" width="64" style="39" customWidth="1"/>
    <col min="9197" max="9197" width="14.75" style="39" customWidth="1"/>
    <col min="9198" max="9198" width="12.75" style="39" customWidth="1"/>
    <col min="9199" max="9199" width="13.375" style="39" customWidth="1"/>
    <col min="9200" max="9200" width="3.25" style="39" customWidth="1"/>
    <col min="9201" max="9201" width="14.75" style="39" customWidth="1"/>
    <col min="9202" max="9202" width="16.875" style="39" customWidth="1"/>
    <col min="9203" max="9203" width="14.75" style="39" customWidth="1"/>
    <col min="9204" max="9449" width="9.375" style="39"/>
    <col min="9450" max="9450" width="4.5" style="39" customWidth="1"/>
    <col min="9451" max="9451" width="11.25" style="39" customWidth="1"/>
    <col min="9452" max="9452" width="64" style="39" customWidth="1"/>
    <col min="9453" max="9453" width="14.75" style="39" customWidth="1"/>
    <col min="9454" max="9454" width="12.75" style="39" customWidth="1"/>
    <col min="9455" max="9455" width="13.375" style="39" customWidth="1"/>
    <col min="9456" max="9456" width="3.25" style="39" customWidth="1"/>
    <col min="9457" max="9457" width="14.75" style="39" customWidth="1"/>
    <col min="9458" max="9458" width="16.875" style="39" customWidth="1"/>
    <col min="9459" max="9459" width="14.75" style="39" customWidth="1"/>
    <col min="9460" max="9705" width="9.375" style="39"/>
    <col min="9706" max="9706" width="4.5" style="39" customWidth="1"/>
    <col min="9707" max="9707" width="11.25" style="39" customWidth="1"/>
    <col min="9708" max="9708" width="64" style="39" customWidth="1"/>
    <col min="9709" max="9709" width="14.75" style="39" customWidth="1"/>
    <col min="9710" max="9710" width="12.75" style="39" customWidth="1"/>
    <col min="9711" max="9711" width="13.375" style="39" customWidth="1"/>
    <col min="9712" max="9712" width="3.25" style="39" customWidth="1"/>
    <col min="9713" max="9713" width="14.75" style="39" customWidth="1"/>
    <col min="9714" max="9714" width="16.875" style="39" customWidth="1"/>
    <col min="9715" max="9715" width="14.75" style="39" customWidth="1"/>
    <col min="9716" max="9961" width="9.375" style="39"/>
    <col min="9962" max="9962" width="4.5" style="39" customWidth="1"/>
    <col min="9963" max="9963" width="11.25" style="39" customWidth="1"/>
    <col min="9964" max="9964" width="64" style="39" customWidth="1"/>
    <col min="9965" max="9965" width="14.75" style="39" customWidth="1"/>
    <col min="9966" max="9966" width="12.75" style="39" customWidth="1"/>
    <col min="9967" max="9967" width="13.375" style="39" customWidth="1"/>
    <col min="9968" max="9968" width="3.25" style="39" customWidth="1"/>
    <col min="9969" max="9969" width="14.75" style="39" customWidth="1"/>
    <col min="9970" max="9970" width="16.875" style="39" customWidth="1"/>
    <col min="9971" max="9971" width="14.75" style="39" customWidth="1"/>
    <col min="9972" max="10217" width="9.375" style="39"/>
    <col min="10218" max="10218" width="4.5" style="39" customWidth="1"/>
    <col min="10219" max="10219" width="11.25" style="39" customWidth="1"/>
    <col min="10220" max="10220" width="64" style="39" customWidth="1"/>
    <col min="10221" max="10221" width="14.75" style="39" customWidth="1"/>
    <col min="10222" max="10222" width="12.75" style="39" customWidth="1"/>
    <col min="10223" max="10223" width="13.375" style="39" customWidth="1"/>
    <col min="10224" max="10224" width="3.25" style="39" customWidth="1"/>
    <col min="10225" max="10225" width="14.75" style="39" customWidth="1"/>
    <col min="10226" max="10226" width="16.875" style="39" customWidth="1"/>
    <col min="10227" max="10227" width="14.75" style="39" customWidth="1"/>
    <col min="10228" max="10473" width="9.375" style="39"/>
    <col min="10474" max="10474" width="4.5" style="39" customWidth="1"/>
    <col min="10475" max="10475" width="11.25" style="39" customWidth="1"/>
    <col min="10476" max="10476" width="64" style="39" customWidth="1"/>
    <col min="10477" max="10477" width="14.75" style="39" customWidth="1"/>
    <col min="10478" max="10478" width="12.75" style="39" customWidth="1"/>
    <col min="10479" max="10479" width="13.375" style="39" customWidth="1"/>
    <col min="10480" max="10480" width="3.25" style="39" customWidth="1"/>
    <col min="10481" max="10481" width="14.75" style="39" customWidth="1"/>
    <col min="10482" max="10482" width="16.875" style="39" customWidth="1"/>
    <col min="10483" max="10483" width="14.75" style="39" customWidth="1"/>
    <col min="10484" max="10729" width="9.375" style="39"/>
    <col min="10730" max="10730" width="4.5" style="39" customWidth="1"/>
    <col min="10731" max="10731" width="11.25" style="39" customWidth="1"/>
    <col min="10732" max="10732" width="64" style="39" customWidth="1"/>
    <col min="10733" max="10733" width="14.75" style="39" customWidth="1"/>
    <col min="10734" max="10734" width="12.75" style="39" customWidth="1"/>
    <col min="10735" max="10735" width="13.375" style="39" customWidth="1"/>
    <col min="10736" max="10736" width="3.25" style="39" customWidth="1"/>
    <col min="10737" max="10737" width="14.75" style="39" customWidth="1"/>
    <col min="10738" max="10738" width="16.875" style="39" customWidth="1"/>
    <col min="10739" max="10739" width="14.75" style="39" customWidth="1"/>
    <col min="10740" max="10985" width="9.375" style="39"/>
    <col min="10986" max="10986" width="4.5" style="39" customWidth="1"/>
    <col min="10987" max="10987" width="11.25" style="39" customWidth="1"/>
    <col min="10988" max="10988" width="64" style="39" customWidth="1"/>
    <col min="10989" max="10989" width="14.75" style="39" customWidth="1"/>
    <col min="10990" max="10990" width="12.75" style="39" customWidth="1"/>
    <col min="10991" max="10991" width="13.375" style="39" customWidth="1"/>
    <col min="10992" max="10992" width="3.25" style="39" customWidth="1"/>
    <col min="10993" max="10993" width="14.75" style="39" customWidth="1"/>
    <col min="10994" max="10994" width="16.875" style="39" customWidth="1"/>
    <col min="10995" max="10995" width="14.75" style="39" customWidth="1"/>
    <col min="10996" max="11241" width="9.375" style="39"/>
    <col min="11242" max="11242" width="4.5" style="39" customWidth="1"/>
    <col min="11243" max="11243" width="11.25" style="39" customWidth="1"/>
    <col min="11244" max="11244" width="64" style="39" customWidth="1"/>
    <col min="11245" max="11245" width="14.75" style="39" customWidth="1"/>
    <col min="11246" max="11246" width="12.75" style="39" customWidth="1"/>
    <col min="11247" max="11247" width="13.375" style="39" customWidth="1"/>
    <col min="11248" max="11248" width="3.25" style="39" customWidth="1"/>
    <col min="11249" max="11249" width="14.75" style="39" customWidth="1"/>
    <col min="11250" max="11250" width="16.875" style="39" customWidth="1"/>
    <col min="11251" max="11251" width="14.75" style="39" customWidth="1"/>
    <col min="11252" max="11497" width="9.375" style="39"/>
    <col min="11498" max="11498" width="4.5" style="39" customWidth="1"/>
    <col min="11499" max="11499" width="11.25" style="39" customWidth="1"/>
    <col min="11500" max="11500" width="64" style="39" customWidth="1"/>
    <col min="11501" max="11501" width="14.75" style="39" customWidth="1"/>
    <col min="11502" max="11502" width="12.75" style="39" customWidth="1"/>
    <col min="11503" max="11503" width="13.375" style="39" customWidth="1"/>
    <col min="11504" max="11504" width="3.25" style="39" customWidth="1"/>
    <col min="11505" max="11505" width="14.75" style="39" customWidth="1"/>
    <col min="11506" max="11506" width="16.875" style="39" customWidth="1"/>
    <col min="11507" max="11507" width="14.75" style="39" customWidth="1"/>
    <col min="11508" max="11753" width="9.375" style="39"/>
    <col min="11754" max="11754" width="4.5" style="39" customWidth="1"/>
    <col min="11755" max="11755" width="11.25" style="39" customWidth="1"/>
    <col min="11756" max="11756" width="64" style="39" customWidth="1"/>
    <col min="11757" max="11757" width="14.75" style="39" customWidth="1"/>
    <col min="11758" max="11758" width="12.75" style="39" customWidth="1"/>
    <col min="11759" max="11759" width="13.375" style="39" customWidth="1"/>
    <col min="11760" max="11760" width="3.25" style="39" customWidth="1"/>
    <col min="11761" max="11761" width="14.75" style="39" customWidth="1"/>
    <col min="11762" max="11762" width="16.875" style="39" customWidth="1"/>
    <col min="11763" max="11763" width="14.75" style="39" customWidth="1"/>
    <col min="11764" max="12009" width="9.375" style="39"/>
    <col min="12010" max="12010" width="4.5" style="39" customWidth="1"/>
    <col min="12011" max="12011" width="11.25" style="39" customWidth="1"/>
    <col min="12012" max="12012" width="64" style="39" customWidth="1"/>
    <col min="12013" max="12013" width="14.75" style="39" customWidth="1"/>
    <col min="12014" max="12014" width="12.75" style="39" customWidth="1"/>
    <col min="12015" max="12015" width="13.375" style="39" customWidth="1"/>
    <col min="12016" max="12016" width="3.25" style="39" customWidth="1"/>
    <col min="12017" max="12017" width="14.75" style="39" customWidth="1"/>
    <col min="12018" max="12018" width="16.875" style="39" customWidth="1"/>
    <col min="12019" max="12019" width="14.75" style="39" customWidth="1"/>
    <col min="12020" max="12265" width="9.375" style="39"/>
    <col min="12266" max="12266" width="4.5" style="39" customWidth="1"/>
    <col min="12267" max="12267" width="11.25" style="39" customWidth="1"/>
    <col min="12268" max="12268" width="64" style="39" customWidth="1"/>
    <col min="12269" max="12269" width="14.75" style="39" customWidth="1"/>
    <col min="12270" max="12270" width="12.75" style="39" customWidth="1"/>
    <col min="12271" max="12271" width="13.375" style="39" customWidth="1"/>
    <col min="12272" max="12272" width="3.25" style="39" customWidth="1"/>
    <col min="12273" max="12273" width="14.75" style="39" customWidth="1"/>
    <col min="12274" max="12274" width="16.875" style="39" customWidth="1"/>
    <col min="12275" max="12275" width="14.75" style="39" customWidth="1"/>
    <col min="12276" max="12521" width="9.375" style="39"/>
    <col min="12522" max="12522" width="4.5" style="39" customWidth="1"/>
    <col min="12523" max="12523" width="11.25" style="39" customWidth="1"/>
    <col min="12524" max="12524" width="64" style="39" customWidth="1"/>
    <col min="12525" max="12525" width="14.75" style="39" customWidth="1"/>
    <col min="12526" max="12526" width="12.75" style="39" customWidth="1"/>
    <col min="12527" max="12527" width="13.375" style="39" customWidth="1"/>
    <col min="12528" max="12528" width="3.25" style="39" customWidth="1"/>
    <col min="12529" max="12529" width="14.75" style="39" customWidth="1"/>
    <col min="12530" max="12530" width="16.875" style="39" customWidth="1"/>
    <col min="12531" max="12531" width="14.75" style="39" customWidth="1"/>
    <col min="12532" max="12777" width="9.375" style="39"/>
    <col min="12778" max="12778" width="4.5" style="39" customWidth="1"/>
    <col min="12779" max="12779" width="11.25" style="39" customWidth="1"/>
    <col min="12780" max="12780" width="64" style="39" customWidth="1"/>
    <col min="12781" max="12781" width="14.75" style="39" customWidth="1"/>
    <col min="12782" max="12782" width="12.75" style="39" customWidth="1"/>
    <col min="12783" max="12783" width="13.375" style="39" customWidth="1"/>
    <col min="12784" max="12784" width="3.25" style="39" customWidth="1"/>
    <col min="12785" max="12785" width="14.75" style="39" customWidth="1"/>
    <col min="12786" max="12786" width="16.875" style="39" customWidth="1"/>
    <col min="12787" max="12787" width="14.75" style="39" customWidth="1"/>
    <col min="12788" max="13033" width="9.375" style="39"/>
    <col min="13034" max="13034" width="4.5" style="39" customWidth="1"/>
    <col min="13035" max="13035" width="11.25" style="39" customWidth="1"/>
    <col min="13036" max="13036" width="64" style="39" customWidth="1"/>
    <col min="13037" max="13037" width="14.75" style="39" customWidth="1"/>
    <col min="13038" max="13038" width="12.75" style="39" customWidth="1"/>
    <col min="13039" max="13039" width="13.375" style="39" customWidth="1"/>
    <col min="13040" max="13040" width="3.25" style="39" customWidth="1"/>
    <col min="13041" max="13041" width="14.75" style="39" customWidth="1"/>
    <col min="13042" max="13042" width="16.875" style="39" customWidth="1"/>
    <col min="13043" max="13043" width="14.75" style="39" customWidth="1"/>
    <col min="13044" max="13289" width="9.375" style="39"/>
    <col min="13290" max="13290" width="4.5" style="39" customWidth="1"/>
    <col min="13291" max="13291" width="11.25" style="39" customWidth="1"/>
    <col min="13292" max="13292" width="64" style="39" customWidth="1"/>
    <col min="13293" max="13293" width="14.75" style="39" customWidth="1"/>
    <col min="13294" max="13294" width="12.75" style="39" customWidth="1"/>
    <col min="13295" max="13295" width="13.375" style="39" customWidth="1"/>
    <col min="13296" max="13296" width="3.25" style="39" customWidth="1"/>
    <col min="13297" max="13297" width="14.75" style="39" customWidth="1"/>
    <col min="13298" max="13298" width="16.875" style="39" customWidth="1"/>
    <col min="13299" max="13299" width="14.75" style="39" customWidth="1"/>
    <col min="13300" max="13545" width="9.375" style="39"/>
    <col min="13546" max="13546" width="4.5" style="39" customWidth="1"/>
    <col min="13547" max="13547" width="11.25" style="39" customWidth="1"/>
    <col min="13548" max="13548" width="64" style="39" customWidth="1"/>
    <col min="13549" max="13549" width="14.75" style="39" customWidth="1"/>
    <col min="13550" max="13550" width="12.75" style="39" customWidth="1"/>
    <col min="13551" max="13551" width="13.375" style="39" customWidth="1"/>
    <col min="13552" max="13552" width="3.25" style="39" customWidth="1"/>
    <col min="13553" max="13553" width="14.75" style="39" customWidth="1"/>
    <col min="13554" max="13554" width="16.875" style="39" customWidth="1"/>
    <col min="13555" max="13555" width="14.75" style="39" customWidth="1"/>
    <col min="13556" max="13801" width="9.375" style="39"/>
    <col min="13802" max="13802" width="4.5" style="39" customWidth="1"/>
    <col min="13803" max="13803" width="11.25" style="39" customWidth="1"/>
    <col min="13804" max="13804" width="64" style="39" customWidth="1"/>
    <col min="13805" max="13805" width="14.75" style="39" customWidth="1"/>
    <col min="13806" max="13806" width="12.75" style="39" customWidth="1"/>
    <col min="13807" max="13807" width="13.375" style="39" customWidth="1"/>
    <col min="13808" max="13808" width="3.25" style="39" customWidth="1"/>
    <col min="13809" max="13809" width="14.75" style="39" customWidth="1"/>
    <col min="13810" max="13810" width="16.875" style="39" customWidth="1"/>
    <col min="13811" max="13811" width="14.75" style="39" customWidth="1"/>
    <col min="13812" max="14057" width="9.375" style="39"/>
    <col min="14058" max="14058" width="4.5" style="39" customWidth="1"/>
    <col min="14059" max="14059" width="11.25" style="39" customWidth="1"/>
    <col min="14060" max="14060" width="64" style="39" customWidth="1"/>
    <col min="14061" max="14061" width="14.75" style="39" customWidth="1"/>
    <col min="14062" max="14062" width="12.75" style="39" customWidth="1"/>
    <col min="14063" max="14063" width="13.375" style="39" customWidth="1"/>
    <col min="14064" max="14064" width="3.25" style="39" customWidth="1"/>
    <col min="14065" max="14065" width="14.75" style="39" customWidth="1"/>
    <col min="14066" max="14066" width="16.875" style="39" customWidth="1"/>
    <col min="14067" max="14067" width="14.75" style="39" customWidth="1"/>
    <col min="14068" max="14313" width="9.375" style="39"/>
    <col min="14314" max="14314" width="4.5" style="39" customWidth="1"/>
    <col min="14315" max="14315" width="11.25" style="39" customWidth="1"/>
    <col min="14316" max="14316" width="64" style="39" customWidth="1"/>
    <col min="14317" max="14317" width="14.75" style="39" customWidth="1"/>
    <col min="14318" max="14318" width="12.75" style="39" customWidth="1"/>
    <col min="14319" max="14319" width="13.375" style="39" customWidth="1"/>
    <col min="14320" max="14320" width="3.25" style="39" customWidth="1"/>
    <col min="14321" max="14321" width="14.75" style="39" customWidth="1"/>
    <col min="14322" max="14322" width="16.875" style="39" customWidth="1"/>
    <col min="14323" max="14323" width="14.75" style="39" customWidth="1"/>
    <col min="14324" max="14569" width="9.375" style="39"/>
    <col min="14570" max="14570" width="4.5" style="39" customWidth="1"/>
    <col min="14571" max="14571" width="11.25" style="39" customWidth="1"/>
    <col min="14572" max="14572" width="64" style="39" customWidth="1"/>
    <col min="14573" max="14573" width="14.75" style="39" customWidth="1"/>
    <col min="14574" max="14574" width="12.75" style="39" customWidth="1"/>
    <col min="14575" max="14575" width="13.375" style="39" customWidth="1"/>
    <col min="14576" max="14576" width="3.25" style="39" customWidth="1"/>
    <col min="14577" max="14577" width="14.75" style="39" customWidth="1"/>
    <col min="14578" max="14578" width="16.875" style="39" customWidth="1"/>
    <col min="14579" max="14579" width="14.75" style="39" customWidth="1"/>
    <col min="14580" max="14825" width="9.375" style="39"/>
    <col min="14826" max="14826" width="4.5" style="39" customWidth="1"/>
    <col min="14827" max="14827" width="11.25" style="39" customWidth="1"/>
    <col min="14828" max="14828" width="64" style="39" customWidth="1"/>
    <col min="14829" max="14829" width="14.75" style="39" customWidth="1"/>
    <col min="14830" max="14830" width="12.75" style="39" customWidth="1"/>
    <col min="14831" max="14831" width="13.375" style="39" customWidth="1"/>
    <col min="14832" max="14832" width="3.25" style="39" customWidth="1"/>
    <col min="14833" max="14833" width="14.75" style="39" customWidth="1"/>
    <col min="14834" max="14834" width="16.875" style="39" customWidth="1"/>
    <col min="14835" max="14835" width="14.75" style="39" customWidth="1"/>
    <col min="14836" max="15081" width="9.375" style="39"/>
    <col min="15082" max="15082" width="4.5" style="39" customWidth="1"/>
    <col min="15083" max="15083" width="11.25" style="39" customWidth="1"/>
    <col min="15084" max="15084" width="64" style="39" customWidth="1"/>
    <col min="15085" max="15085" width="14.75" style="39" customWidth="1"/>
    <col min="15086" max="15086" width="12.75" style="39" customWidth="1"/>
    <col min="15087" max="15087" width="13.375" style="39" customWidth="1"/>
    <col min="15088" max="15088" width="3.25" style="39" customWidth="1"/>
    <col min="15089" max="15089" width="14.75" style="39" customWidth="1"/>
    <col min="15090" max="15090" width="16.875" style="39" customWidth="1"/>
    <col min="15091" max="15091" width="14.75" style="39" customWidth="1"/>
    <col min="15092" max="15337" width="9.375" style="39"/>
    <col min="15338" max="15338" width="4.5" style="39" customWidth="1"/>
    <col min="15339" max="15339" width="11.25" style="39" customWidth="1"/>
    <col min="15340" max="15340" width="64" style="39" customWidth="1"/>
    <col min="15341" max="15341" width="14.75" style="39" customWidth="1"/>
    <col min="15342" max="15342" width="12.75" style="39" customWidth="1"/>
    <col min="15343" max="15343" width="13.375" style="39" customWidth="1"/>
    <col min="15344" max="15344" width="3.25" style="39" customWidth="1"/>
    <col min="15345" max="15345" width="14.75" style="39" customWidth="1"/>
    <col min="15346" max="15346" width="16.875" style="39" customWidth="1"/>
    <col min="15347" max="15347" width="14.75" style="39" customWidth="1"/>
    <col min="15348" max="15593" width="9.375" style="39"/>
    <col min="15594" max="15594" width="4.5" style="39" customWidth="1"/>
    <col min="15595" max="15595" width="11.25" style="39" customWidth="1"/>
    <col min="15596" max="15596" width="64" style="39" customWidth="1"/>
    <col min="15597" max="15597" width="14.75" style="39" customWidth="1"/>
    <col min="15598" max="15598" width="12.75" style="39" customWidth="1"/>
    <col min="15599" max="15599" width="13.375" style="39" customWidth="1"/>
    <col min="15600" max="15600" width="3.25" style="39" customWidth="1"/>
    <col min="15601" max="15601" width="14.75" style="39" customWidth="1"/>
    <col min="15602" max="15602" width="16.875" style="39" customWidth="1"/>
    <col min="15603" max="15603" width="14.75" style="39" customWidth="1"/>
    <col min="15604" max="15849" width="9.375" style="39"/>
    <col min="15850" max="15850" width="4.5" style="39" customWidth="1"/>
    <col min="15851" max="15851" width="11.25" style="39" customWidth="1"/>
    <col min="15852" max="15852" width="64" style="39" customWidth="1"/>
    <col min="15853" max="15853" width="14.75" style="39" customWidth="1"/>
    <col min="15854" max="15854" width="12.75" style="39" customWidth="1"/>
    <col min="15855" max="15855" width="13.375" style="39" customWidth="1"/>
    <col min="15856" max="15856" width="3.25" style="39" customWidth="1"/>
    <col min="15857" max="15857" width="14.75" style="39" customWidth="1"/>
    <col min="15858" max="15858" width="16.875" style="39" customWidth="1"/>
    <col min="15859" max="15859" width="14.75" style="39" customWidth="1"/>
    <col min="15860" max="16105" width="9.375" style="39"/>
    <col min="16106" max="16106" width="4.5" style="39" customWidth="1"/>
    <col min="16107" max="16107" width="11.25" style="39" customWidth="1"/>
    <col min="16108" max="16108" width="64" style="39" customWidth="1"/>
    <col min="16109" max="16109" width="14.75" style="39" customWidth="1"/>
    <col min="16110" max="16110" width="12.75" style="39" customWidth="1"/>
    <col min="16111" max="16111" width="13.375" style="39" customWidth="1"/>
    <col min="16112" max="16112" width="3.25" style="39" customWidth="1"/>
    <col min="16113" max="16113" width="14.75" style="39" customWidth="1"/>
    <col min="16114" max="16114" width="16.875" style="39" customWidth="1"/>
    <col min="16115" max="16115" width="14.75" style="39" customWidth="1"/>
    <col min="16116" max="16384" width="9.375" style="39"/>
  </cols>
  <sheetData>
    <row r="1" spans="1:24" s="26" customFormat="1" ht="15.75" x14ac:dyDescent="0.25">
      <c r="A1" s="363" t="s">
        <v>422</v>
      </c>
      <c r="B1" s="363"/>
      <c r="C1" s="363"/>
      <c r="D1" s="363"/>
      <c r="E1" s="363"/>
      <c r="F1" s="363"/>
      <c r="G1" s="364"/>
      <c r="H1" s="364"/>
      <c r="I1" s="364"/>
      <c r="J1" s="364"/>
      <c r="K1" s="364"/>
      <c r="L1" s="364"/>
      <c r="M1" s="364"/>
      <c r="N1" s="364"/>
      <c r="O1" s="364"/>
      <c r="P1" s="364"/>
      <c r="Q1" s="364"/>
      <c r="R1" s="364"/>
      <c r="S1" s="364"/>
      <c r="T1" s="364"/>
      <c r="U1" s="364"/>
      <c r="V1" s="364"/>
      <c r="W1" s="364"/>
      <c r="X1" s="364"/>
    </row>
    <row r="2" spans="1:24" s="26" customFormat="1" ht="15.75" customHeight="1" x14ac:dyDescent="0.25">
      <c r="A2" s="363" t="s">
        <v>423</v>
      </c>
      <c r="B2" s="363"/>
      <c r="C2" s="363"/>
      <c r="D2" s="363"/>
      <c r="E2" s="363"/>
      <c r="F2" s="363"/>
      <c r="G2" s="364"/>
      <c r="H2" s="364"/>
      <c r="I2" s="364"/>
      <c r="J2" s="364"/>
      <c r="K2" s="364"/>
      <c r="L2" s="364"/>
      <c r="M2" s="364"/>
      <c r="N2" s="364"/>
      <c r="O2" s="364"/>
      <c r="P2" s="364"/>
      <c r="Q2" s="364"/>
      <c r="R2" s="364"/>
      <c r="S2" s="364"/>
      <c r="T2" s="364"/>
      <c r="U2" s="364"/>
      <c r="V2" s="364"/>
      <c r="W2" s="364"/>
      <c r="X2" s="364"/>
    </row>
    <row r="3" spans="1:24" s="26" customFormat="1" ht="15.75" x14ac:dyDescent="0.25">
      <c r="A3" s="363" t="s">
        <v>153</v>
      </c>
      <c r="B3" s="363"/>
      <c r="C3" s="363"/>
      <c r="D3" s="363"/>
      <c r="E3" s="363"/>
      <c r="F3" s="363"/>
      <c r="G3" s="364"/>
      <c r="H3" s="364"/>
      <c r="I3" s="364"/>
      <c r="J3" s="364"/>
      <c r="K3" s="364"/>
      <c r="L3" s="364"/>
      <c r="M3" s="364"/>
      <c r="N3" s="364"/>
      <c r="O3" s="364"/>
      <c r="P3" s="364"/>
      <c r="Q3" s="364"/>
      <c r="R3" s="364"/>
      <c r="S3" s="364"/>
      <c r="T3" s="364"/>
      <c r="U3" s="364"/>
      <c r="V3" s="364"/>
      <c r="W3" s="364"/>
      <c r="X3" s="364"/>
    </row>
    <row r="4" spans="1:24" s="26" customFormat="1" x14ac:dyDescent="0.2">
      <c r="A4" s="27"/>
      <c r="B4" s="27"/>
      <c r="C4" s="27"/>
      <c r="D4" s="27"/>
      <c r="E4" s="27"/>
      <c r="F4" s="27"/>
      <c r="L4" s="28"/>
    </row>
    <row r="5" spans="1:24" s="26" customFormat="1" x14ac:dyDescent="0.2">
      <c r="A5" s="29"/>
      <c r="B5" s="29"/>
      <c r="C5" s="29"/>
      <c r="D5" s="30" t="s">
        <v>152</v>
      </c>
      <c r="E5" s="29"/>
      <c r="F5" s="31" t="s">
        <v>151</v>
      </c>
      <c r="G5" s="32"/>
      <c r="H5" s="32"/>
      <c r="I5" s="32"/>
      <c r="J5" s="33"/>
      <c r="L5" s="28"/>
      <c r="N5" s="360" t="s">
        <v>150</v>
      </c>
      <c r="O5" s="361"/>
      <c r="P5" s="362"/>
      <c r="R5" s="360" t="s">
        <v>149</v>
      </c>
      <c r="S5" s="361"/>
      <c r="T5" s="362"/>
      <c r="V5" s="360" t="s">
        <v>148</v>
      </c>
      <c r="W5" s="361"/>
      <c r="X5" s="362"/>
    </row>
    <row r="6" spans="1:24" s="36" customFormat="1" ht="45" x14ac:dyDescent="0.2">
      <c r="A6" s="34" t="s">
        <v>147</v>
      </c>
      <c r="B6" s="34" t="s">
        <v>146</v>
      </c>
      <c r="C6" s="35" t="s">
        <v>139</v>
      </c>
      <c r="D6" s="34" t="s">
        <v>145</v>
      </c>
      <c r="E6" s="34"/>
      <c r="F6" s="34" t="s">
        <v>144</v>
      </c>
      <c r="G6" s="34" t="s">
        <v>143</v>
      </c>
      <c r="H6" s="34"/>
      <c r="I6" s="34" t="s">
        <v>142</v>
      </c>
      <c r="J6" s="34" t="s">
        <v>141</v>
      </c>
      <c r="K6" s="34" t="s">
        <v>138</v>
      </c>
      <c r="L6" s="34" t="s">
        <v>140</v>
      </c>
      <c r="N6" s="34" t="s">
        <v>424</v>
      </c>
      <c r="O6" s="34" t="s">
        <v>139</v>
      </c>
      <c r="P6" s="34" t="s">
        <v>138</v>
      </c>
      <c r="R6" s="34" t="s">
        <v>424</v>
      </c>
      <c r="S6" s="34" t="s">
        <v>139</v>
      </c>
      <c r="T6" s="34" t="s">
        <v>138</v>
      </c>
      <c r="V6" s="34" t="s">
        <v>424</v>
      </c>
      <c r="W6" s="34" t="s">
        <v>139</v>
      </c>
      <c r="X6" s="34" t="s">
        <v>138</v>
      </c>
    </row>
    <row r="7" spans="1:24" s="37" customFormat="1" x14ac:dyDescent="0.2">
      <c r="B7" s="37" t="s">
        <v>137</v>
      </c>
      <c r="C7" s="37" t="s">
        <v>136</v>
      </c>
      <c r="D7" s="38" t="s">
        <v>135</v>
      </c>
      <c r="E7" s="38"/>
      <c r="F7" s="38" t="s">
        <v>134</v>
      </c>
      <c r="G7" s="38" t="s">
        <v>133</v>
      </c>
      <c r="H7" s="38"/>
      <c r="I7" s="38" t="s">
        <v>132</v>
      </c>
      <c r="J7" s="38" t="s">
        <v>131</v>
      </c>
      <c r="K7" s="37" t="s">
        <v>130</v>
      </c>
      <c r="L7" s="37" t="s">
        <v>129</v>
      </c>
      <c r="N7" s="37" t="s">
        <v>128</v>
      </c>
      <c r="O7" s="37" t="s">
        <v>127</v>
      </c>
      <c r="P7" s="37" t="s">
        <v>126</v>
      </c>
      <c r="R7" s="37" t="s">
        <v>125</v>
      </c>
      <c r="S7" s="37" t="s">
        <v>124</v>
      </c>
      <c r="T7" s="37" t="s">
        <v>123</v>
      </c>
      <c r="V7" s="38" t="s">
        <v>122</v>
      </c>
      <c r="W7" s="37" t="s">
        <v>121</v>
      </c>
      <c r="X7" s="37" t="s">
        <v>120</v>
      </c>
    </row>
    <row r="8" spans="1:24" x14ac:dyDescent="0.2">
      <c r="A8" s="37">
        <v>1</v>
      </c>
      <c r="B8" s="45" t="s">
        <v>119</v>
      </c>
      <c r="C8" s="39" t="s">
        <v>14</v>
      </c>
    </row>
    <row r="9" spans="1:24" x14ac:dyDescent="0.2">
      <c r="A9" s="37">
        <f t="shared" ref="A9:A40" si="0">+A8+1</f>
        <v>2</v>
      </c>
      <c r="B9" s="37" t="str">
        <f>+B8</f>
        <v>7 (307) (317) (327)</v>
      </c>
      <c r="C9" s="41" t="s">
        <v>8</v>
      </c>
      <c r="D9" s="42">
        <v>7.49</v>
      </c>
      <c r="E9" s="42"/>
      <c r="F9" s="42">
        <f>ROUND('Exh CTM-6 (Rate Design)'!H14,2)</f>
        <v>9.74</v>
      </c>
      <c r="G9" s="42">
        <f>+F9-D9</f>
        <v>2.25</v>
      </c>
      <c r="H9" s="42"/>
      <c r="I9" s="42">
        <f>ROUND('Exh CTM-6 (Rate Design)'!I14,2)</f>
        <v>12.66</v>
      </c>
      <c r="J9" s="42">
        <f>+I9-F9</f>
        <v>2.92</v>
      </c>
      <c r="K9" s="43" t="s">
        <v>113</v>
      </c>
      <c r="L9" s="40">
        <v>7</v>
      </c>
    </row>
    <row r="10" spans="1:24" x14ac:dyDescent="0.2">
      <c r="A10" s="37">
        <f t="shared" si="0"/>
        <v>3</v>
      </c>
      <c r="B10" s="37" t="str">
        <f>+B9</f>
        <v>7 (307) (317) (327)</v>
      </c>
      <c r="C10" s="41" t="s">
        <v>7</v>
      </c>
      <c r="D10" s="42">
        <v>17.989999999999998</v>
      </c>
      <c r="E10" s="42"/>
      <c r="F10" s="42">
        <f>ROUND('Exh CTM-6 (Rate Design)'!H15,2)</f>
        <v>23.39</v>
      </c>
      <c r="G10" s="42">
        <f>+F10-D10</f>
        <v>5.4000000000000021</v>
      </c>
      <c r="H10" s="42"/>
      <c r="I10" s="42">
        <f>ROUND('Exh CTM-6 (Rate Design)'!I15,2)</f>
        <v>30.4</v>
      </c>
      <c r="J10" s="42">
        <f>+I10-F10</f>
        <v>7.009999999999998</v>
      </c>
      <c r="K10" s="43" t="s">
        <v>113</v>
      </c>
      <c r="L10" s="40">
        <v>7</v>
      </c>
    </row>
    <row r="11" spans="1:24" x14ac:dyDescent="0.2">
      <c r="A11" s="37">
        <f t="shared" si="0"/>
        <v>4</v>
      </c>
      <c r="B11" s="37" t="str">
        <f>+B10</f>
        <v>7 (307) (317) (327)</v>
      </c>
      <c r="C11" s="41"/>
      <c r="D11" s="42"/>
      <c r="E11" s="42"/>
      <c r="F11" s="42"/>
      <c r="G11" s="42"/>
      <c r="H11" s="42"/>
      <c r="I11" s="42"/>
      <c r="J11" s="42"/>
    </row>
    <row r="12" spans="1:24" x14ac:dyDescent="0.2">
      <c r="A12" s="37">
        <f t="shared" si="0"/>
        <v>5</v>
      </c>
      <c r="B12" s="37" t="str">
        <f>+B11</f>
        <v>7 (307) (317) (327)</v>
      </c>
      <c r="C12" s="41" t="s">
        <v>118</v>
      </c>
      <c r="D12" s="44">
        <v>8.9437000000000003E-2</v>
      </c>
      <c r="E12" s="44"/>
      <c r="F12" s="44">
        <f>ROUND('Exh CTM-6 (Rate Design)'!H18,6)</f>
        <v>0.11651599999999999</v>
      </c>
      <c r="G12" s="44">
        <f>+F12-D12</f>
        <v>2.7078999999999992E-2</v>
      </c>
      <c r="H12" s="44"/>
      <c r="I12" s="44">
        <f>ROUND('Exh CTM-6 (Rate Design)'!I18,6)</f>
        <v>0.12567500000000001</v>
      </c>
      <c r="J12" s="44">
        <f>+I12-F12</f>
        <v>9.1590000000000144E-3</v>
      </c>
      <c r="K12" s="43" t="s">
        <v>113</v>
      </c>
      <c r="L12" s="40">
        <v>7</v>
      </c>
      <c r="N12" s="44">
        <f>ROUND(+'Exh CTM-6 (141CGR)'!H10,6)</f>
        <v>3.6549999999999998E-3</v>
      </c>
      <c r="O12" s="44" t="s">
        <v>5</v>
      </c>
      <c r="P12" s="43" t="s">
        <v>117</v>
      </c>
      <c r="R12" s="44">
        <f>ROUND('Exh CTM-6 (141DCARB)'!G10,6)</f>
        <v>5.8900000000000001E-4</v>
      </c>
      <c r="S12" s="44" t="s">
        <v>5</v>
      </c>
      <c r="T12" s="43" t="s">
        <v>116</v>
      </c>
      <c r="V12" s="44">
        <f>ROUND(+'Exh CTM-6 (141WFP)'!G10,6)</f>
        <v>1.4120000000000001E-3</v>
      </c>
      <c r="W12" s="44" t="s">
        <v>5</v>
      </c>
      <c r="X12" s="43" t="s">
        <v>115</v>
      </c>
    </row>
    <row r="13" spans="1:24" x14ac:dyDescent="0.2">
      <c r="A13" s="37">
        <f t="shared" si="0"/>
        <v>6</v>
      </c>
      <c r="B13" s="37" t="str">
        <f>+B12</f>
        <v>7 (307) (317) (327)</v>
      </c>
      <c r="C13" s="41" t="s">
        <v>114</v>
      </c>
      <c r="D13" s="44">
        <v>0.10885400000000001</v>
      </c>
      <c r="E13" s="44"/>
      <c r="F13" s="44">
        <f>ROUND('Exh CTM-6 (Rate Design)'!H19,6)</f>
        <v>0.135933</v>
      </c>
      <c r="G13" s="44">
        <f>+F13-D13</f>
        <v>2.7078999999999992E-2</v>
      </c>
      <c r="H13" s="44"/>
      <c r="I13" s="44">
        <f>ROUND('Exh CTM-6 (Rate Design)'!I19,6)</f>
        <v>0.145092</v>
      </c>
      <c r="J13" s="44">
        <f>+I13-F13</f>
        <v>9.1590000000000005E-3</v>
      </c>
      <c r="K13" s="43" t="s">
        <v>113</v>
      </c>
      <c r="L13" s="40">
        <v>7</v>
      </c>
      <c r="N13" s="44">
        <f>N12</f>
        <v>3.6549999999999998E-3</v>
      </c>
      <c r="O13" s="44" t="s">
        <v>5</v>
      </c>
      <c r="P13" s="43" t="str">
        <f>P$12</f>
        <v>Sheet No. 141CGR</v>
      </c>
      <c r="R13" s="44">
        <f>R12</f>
        <v>5.8900000000000001E-4</v>
      </c>
      <c r="S13" s="44" t="s">
        <v>5</v>
      </c>
      <c r="T13" s="43" t="str">
        <f>T$12</f>
        <v>Sheet No. 141DCARB</v>
      </c>
      <c r="V13" s="44">
        <f>V12</f>
        <v>1.4120000000000001E-3</v>
      </c>
      <c r="W13" s="44" t="s">
        <v>5</v>
      </c>
      <c r="X13" s="43" t="str">
        <f>X$12</f>
        <v>Sheet No. 141WFR</v>
      </c>
    </row>
    <row r="14" spans="1:24" x14ac:dyDescent="0.2">
      <c r="A14" s="37">
        <f t="shared" si="0"/>
        <v>7</v>
      </c>
      <c r="O14" s="44"/>
      <c r="P14" s="40"/>
      <c r="S14" s="44"/>
      <c r="T14" s="40"/>
      <c r="W14" s="44"/>
      <c r="X14" s="40"/>
    </row>
    <row r="15" spans="1:24" x14ac:dyDescent="0.2">
      <c r="A15" s="37">
        <f t="shared" si="0"/>
        <v>8</v>
      </c>
      <c r="B15" s="45" t="s">
        <v>112</v>
      </c>
      <c r="C15" s="43" t="s">
        <v>9</v>
      </c>
      <c r="D15" s="42"/>
      <c r="E15" s="42"/>
      <c r="F15" s="42"/>
      <c r="G15" s="42"/>
      <c r="H15" s="42"/>
      <c r="I15" s="42"/>
      <c r="J15" s="42"/>
      <c r="O15" s="44"/>
      <c r="P15" s="40"/>
      <c r="S15" s="44"/>
      <c r="T15" s="40"/>
      <c r="W15" s="44"/>
      <c r="X15" s="40"/>
    </row>
    <row r="16" spans="1:24" x14ac:dyDescent="0.2">
      <c r="A16" s="37">
        <f t="shared" si="0"/>
        <v>9</v>
      </c>
      <c r="B16" s="37" t="str">
        <f>+B15</f>
        <v>08 (24) (324)</v>
      </c>
      <c r="C16" s="41" t="s">
        <v>8</v>
      </c>
      <c r="D16" s="42">
        <v>10.210000000000001</v>
      </c>
      <c r="E16" s="42"/>
      <c r="F16" s="42">
        <f>ROUND('Exh CTM-6 (Rate Design)'!H33,2)</f>
        <v>13.27</v>
      </c>
      <c r="G16" s="42">
        <f>+F16-D16</f>
        <v>3.0599999999999987</v>
      </c>
      <c r="H16" s="42"/>
      <c r="I16" s="42">
        <f>ROUND('Exh CTM-6 (Rate Design)'!I33,2)</f>
        <v>17.25</v>
      </c>
      <c r="J16" s="42">
        <f>+I16-F16</f>
        <v>3.9800000000000004</v>
      </c>
      <c r="K16" s="39" t="s">
        <v>109</v>
      </c>
      <c r="L16" s="40">
        <v>24</v>
      </c>
      <c r="O16" s="44"/>
      <c r="P16" s="40"/>
      <c r="S16" s="44"/>
      <c r="T16" s="40"/>
      <c r="W16" s="44"/>
      <c r="X16" s="40"/>
    </row>
    <row r="17" spans="1:24" x14ac:dyDescent="0.2">
      <c r="A17" s="37">
        <f t="shared" si="0"/>
        <v>10</v>
      </c>
      <c r="B17" s="37" t="str">
        <f>+B15</f>
        <v>08 (24) (324)</v>
      </c>
      <c r="C17" s="41" t="s">
        <v>7</v>
      </c>
      <c r="D17" s="42">
        <v>25.95</v>
      </c>
      <c r="E17" s="42"/>
      <c r="F17" s="42">
        <f>ROUND('Exh CTM-6 (Rate Design)'!H34,2)</f>
        <v>33.74</v>
      </c>
      <c r="G17" s="42">
        <f>+F17-D17</f>
        <v>7.7900000000000027</v>
      </c>
      <c r="H17" s="42"/>
      <c r="I17" s="42">
        <f>ROUND('Exh CTM-6 (Rate Design)'!I34,2)</f>
        <v>43.86</v>
      </c>
      <c r="J17" s="42">
        <f>+I17-F17</f>
        <v>10.119999999999997</v>
      </c>
      <c r="K17" s="39" t="s">
        <v>109</v>
      </c>
      <c r="L17" s="40">
        <v>24</v>
      </c>
      <c r="O17" s="44"/>
      <c r="P17" s="40"/>
      <c r="S17" s="44"/>
      <c r="T17" s="40"/>
      <c r="W17" s="44"/>
      <c r="X17" s="40"/>
    </row>
    <row r="18" spans="1:24" x14ac:dyDescent="0.2">
      <c r="A18" s="37">
        <f t="shared" si="0"/>
        <v>11</v>
      </c>
      <c r="B18" s="37" t="str">
        <f>+B15</f>
        <v>08 (24) (324)</v>
      </c>
      <c r="C18" s="41"/>
      <c r="D18" s="42"/>
      <c r="E18" s="42"/>
      <c r="F18" s="42"/>
      <c r="G18" s="42"/>
      <c r="H18" s="42"/>
      <c r="I18" s="42"/>
      <c r="J18" s="42"/>
      <c r="O18" s="44"/>
      <c r="P18" s="40"/>
      <c r="S18" s="44"/>
      <c r="T18" s="40"/>
      <c r="W18" s="44"/>
      <c r="X18" s="40"/>
    </row>
    <row r="19" spans="1:24" x14ac:dyDescent="0.2">
      <c r="A19" s="37">
        <f t="shared" si="0"/>
        <v>12</v>
      </c>
      <c r="B19" s="37" t="str">
        <f>+B15</f>
        <v>08 (24) (324)</v>
      </c>
      <c r="C19" s="41" t="s">
        <v>111</v>
      </c>
      <c r="D19" s="44">
        <v>9.2536999999999994E-2</v>
      </c>
      <c r="E19" s="44"/>
      <c r="F19" s="44">
        <f>ROUND('Exh CTM-6 (Rate Design)'!H37,6)</f>
        <v>0.116996</v>
      </c>
      <c r="G19" s="44">
        <f>+F19-D19</f>
        <v>2.4459000000000009E-2</v>
      </c>
      <c r="H19" s="44"/>
      <c r="I19" s="44">
        <f>ROUND('Exh CTM-6 (Rate Design)'!I37,6)</f>
        <v>0.125609</v>
      </c>
      <c r="J19" s="44">
        <f>+I19-F19</f>
        <v>8.6129999999999957E-3</v>
      </c>
      <c r="K19" s="39" t="s">
        <v>109</v>
      </c>
      <c r="L19" s="40">
        <v>24</v>
      </c>
      <c r="N19" s="44">
        <f>ROUND(+'Exh CTM-6 (141CGR)'!H12,6)</f>
        <v>3.2690000000000002E-3</v>
      </c>
      <c r="O19" s="44" t="s">
        <v>5</v>
      </c>
      <c r="P19" s="43" t="str">
        <f>P$12</f>
        <v>Sheet No. 141CGR</v>
      </c>
      <c r="R19" s="44">
        <f>ROUND('Exh CTM-6 (141DCARB)'!G12,6)</f>
        <v>2.8699999999999998E-4</v>
      </c>
      <c r="S19" s="44" t="s">
        <v>5</v>
      </c>
      <c r="T19" s="43" t="str">
        <f>T$12</f>
        <v>Sheet No. 141DCARB</v>
      </c>
      <c r="V19" s="44">
        <f>ROUND(+'Exh CTM-6 (141WFP)'!G12,6)</f>
        <v>1.2329999999999999E-3</v>
      </c>
      <c r="W19" s="44" t="s">
        <v>5</v>
      </c>
      <c r="X19" s="43" t="str">
        <f>X$12</f>
        <v>Sheet No. 141WFR</v>
      </c>
    </row>
    <row r="20" spans="1:24" x14ac:dyDescent="0.2">
      <c r="A20" s="37">
        <f t="shared" si="0"/>
        <v>13</v>
      </c>
      <c r="B20" s="37" t="str">
        <f>+B15</f>
        <v>08 (24) (324)</v>
      </c>
      <c r="C20" s="41" t="s">
        <v>110</v>
      </c>
      <c r="D20" s="44">
        <v>8.9337E-2</v>
      </c>
      <c r="E20" s="44"/>
      <c r="F20" s="44">
        <f>ROUND('Exh CTM-6 (Rate Design)'!H38,6)</f>
        <v>0.11379599999999999</v>
      </c>
      <c r="G20" s="44">
        <f>+F20-D20</f>
        <v>2.4458999999999995E-2</v>
      </c>
      <c r="H20" s="44"/>
      <c r="I20" s="44">
        <f>ROUND('Exh CTM-6 (Rate Design)'!I38,6)</f>
        <v>0.122409</v>
      </c>
      <c r="J20" s="44">
        <f>+I20-F20</f>
        <v>8.6130000000000095E-3</v>
      </c>
      <c r="K20" s="39" t="s">
        <v>109</v>
      </c>
      <c r="L20" s="40">
        <v>24</v>
      </c>
      <c r="N20" s="44">
        <f>N19</f>
        <v>3.2690000000000002E-3</v>
      </c>
      <c r="O20" s="44" t="s">
        <v>5</v>
      </c>
      <c r="P20" s="43" t="str">
        <f>P$12</f>
        <v>Sheet No. 141CGR</v>
      </c>
      <c r="R20" s="44">
        <f>R19</f>
        <v>2.8699999999999998E-4</v>
      </c>
      <c r="S20" s="44" t="s">
        <v>5</v>
      </c>
      <c r="T20" s="43" t="str">
        <f>T$12</f>
        <v>Sheet No. 141DCARB</v>
      </c>
      <c r="V20" s="44">
        <f>V19</f>
        <v>1.2329999999999999E-3</v>
      </c>
      <c r="W20" s="44" t="s">
        <v>5</v>
      </c>
      <c r="X20" s="43" t="str">
        <f>X$12</f>
        <v>Sheet No. 141WFR</v>
      </c>
    </row>
    <row r="21" spans="1:24" x14ac:dyDescent="0.2">
      <c r="A21" s="37">
        <f t="shared" si="0"/>
        <v>14</v>
      </c>
      <c r="O21" s="44"/>
      <c r="P21" s="40"/>
      <c r="S21" s="44"/>
      <c r="T21" s="40"/>
      <c r="W21" s="44"/>
      <c r="X21" s="40"/>
    </row>
    <row r="22" spans="1:24" x14ac:dyDescent="0.2">
      <c r="A22" s="37">
        <f t="shared" si="0"/>
        <v>15</v>
      </c>
      <c r="B22" s="45" t="s">
        <v>108</v>
      </c>
      <c r="C22" s="43" t="s">
        <v>87</v>
      </c>
      <c r="O22" s="44"/>
      <c r="P22" s="40"/>
      <c r="S22" s="44"/>
      <c r="T22" s="40"/>
      <c r="W22" s="44"/>
      <c r="X22" s="40"/>
    </row>
    <row r="23" spans="1:24" x14ac:dyDescent="0.2">
      <c r="A23" s="37">
        <f t="shared" si="0"/>
        <v>16</v>
      </c>
      <c r="B23" s="45" t="str">
        <f>+B22</f>
        <v>7A (11) (25)</v>
      </c>
      <c r="C23" s="41" t="s">
        <v>63</v>
      </c>
      <c r="D23" s="42">
        <v>53.95</v>
      </c>
      <c r="E23" s="42"/>
      <c r="F23" s="42">
        <f>ROUND('Exh CTM-6 (Rate Design)'!H53,2)</f>
        <v>70.14</v>
      </c>
      <c r="G23" s="42">
        <f>+F23-D23</f>
        <v>16.189999999999998</v>
      </c>
      <c r="H23" s="42"/>
      <c r="I23" s="42">
        <f>ROUND('Exh CTM-6 (Rate Design)'!I53,2)</f>
        <v>91.18</v>
      </c>
      <c r="J23" s="42">
        <f>+I23-F23</f>
        <v>21.040000000000006</v>
      </c>
      <c r="K23" s="39" t="s">
        <v>104</v>
      </c>
      <c r="L23" s="43" t="s">
        <v>105</v>
      </c>
      <c r="O23" s="44"/>
      <c r="P23" s="40"/>
      <c r="S23" s="44"/>
      <c r="T23" s="40"/>
      <c r="W23" s="44"/>
      <c r="X23" s="40"/>
    </row>
    <row r="24" spans="1:24" x14ac:dyDescent="0.2">
      <c r="A24" s="37">
        <f t="shared" si="0"/>
        <v>17</v>
      </c>
      <c r="B24" s="45" t="str">
        <f>+B22</f>
        <v>7A (11) (25)</v>
      </c>
      <c r="C24" s="41"/>
      <c r="D24" s="42"/>
      <c r="E24" s="42"/>
      <c r="F24" s="42"/>
      <c r="G24" s="42"/>
      <c r="H24" s="42"/>
      <c r="I24" s="42"/>
      <c r="J24" s="42"/>
      <c r="O24" s="44"/>
      <c r="P24" s="40"/>
      <c r="S24" s="44"/>
      <c r="T24" s="40"/>
      <c r="W24" s="44"/>
      <c r="X24" s="40"/>
    </row>
    <row r="25" spans="1:24" x14ac:dyDescent="0.2">
      <c r="A25" s="37">
        <f t="shared" si="0"/>
        <v>18</v>
      </c>
      <c r="B25" s="45" t="str">
        <f>+B22</f>
        <v>7A (11) (25)</v>
      </c>
      <c r="C25" s="41" t="s">
        <v>86</v>
      </c>
      <c r="D25" s="44">
        <v>9.0594999999999995E-2</v>
      </c>
      <c r="E25" s="44"/>
      <c r="F25" s="44">
        <f>ROUND('Exh CTM-6 (Rate Design)'!H55,6)</f>
        <v>0.110684</v>
      </c>
      <c r="G25" s="44">
        <f>+F25-D25</f>
        <v>2.008900000000001E-2</v>
      </c>
      <c r="H25" s="44"/>
      <c r="I25" s="44">
        <f>ROUND('Exh CTM-6 (Rate Design)'!I55,6)</f>
        <v>0.115771</v>
      </c>
      <c r="J25" s="44">
        <f>+I25-F25</f>
        <v>5.0869999999999943E-3</v>
      </c>
      <c r="K25" s="39" t="s">
        <v>104</v>
      </c>
      <c r="L25" s="43" t="s">
        <v>105</v>
      </c>
      <c r="N25" s="44">
        <f>ROUND(+'Exh CTM-6 (141CGR)'!H14,6)</f>
        <v>1.0089999999999999E-3</v>
      </c>
      <c r="O25" s="44" t="s">
        <v>5</v>
      </c>
      <c r="P25" s="43" t="str">
        <f>P$12</f>
        <v>Sheet No. 141CGR</v>
      </c>
      <c r="R25" s="44">
        <f>ROUND('Exh CTM-6 (141DCARB)'!G14,6)</f>
        <v>2.4000000000000001E-5</v>
      </c>
      <c r="S25" s="44" t="s">
        <v>5</v>
      </c>
      <c r="T25" s="43" t="str">
        <f>T$12</f>
        <v>Sheet No. 141DCARB</v>
      </c>
      <c r="V25" s="44">
        <f>ROUND(+'Exh CTM-6 (141WFP)'!G14,6)</f>
        <v>1.2E-5</v>
      </c>
      <c r="W25" s="44" t="s">
        <v>5</v>
      </c>
      <c r="X25" s="43" t="str">
        <f>X$12</f>
        <v>Sheet No. 141WFR</v>
      </c>
    </row>
    <row r="26" spans="1:24" x14ac:dyDescent="0.2">
      <c r="A26" s="37">
        <f t="shared" si="0"/>
        <v>19</v>
      </c>
      <c r="B26" s="45" t="str">
        <f>+B22</f>
        <v>7A (11) (25)</v>
      </c>
      <c r="C26" s="41" t="s">
        <v>84</v>
      </c>
      <c r="D26" s="44">
        <v>8.1648999999999999E-2</v>
      </c>
      <c r="E26" s="44"/>
      <c r="F26" s="44">
        <f>ROUND('Exh CTM-6 (Rate Design)'!H56,6)</f>
        <v>0.101738</v>
      </c>
      <c r="G26" s="44">
        <f>+F26-D26</f>
        <v>2.0088999999999996E-2</v>
      </c>
      <c r="H26" s="44"/>
      <c r="I26" s="44">
        <f>ROUND('Exh CTM-6 (Rate Design)'!I56,6)</f>
        <v>0.106825</v>
      </c>
      <c r="J26" s="44">
        <f>+I26-F26</f>
        <v>5.0870000000000082E-3</v>
      </c>
      <c r="K26" s="39" t="s">
        <v>104</v>
      </c>
      <c r="L26" s="43" t="s">
        <v>105</v>
      </c>
      <c r="N26" s="44">
        <f>N25</f>
        <v>1.0089999999999999E-3</v>
      </c>
      <c r="O26" s="44" t="s">
        <v>5</v>
      </c>
      <c r="P26" s="43" t="str">
        <f>P$12</f>
        <v>Sheet No. 141CGR</v>
      </c>
      <c r="R26" s="44">
        <f>R25</f>
        <v>2.4000000000000001E-5</v>
      </c>
      <c r="S26" s="44" t="s">
        <v>5</v>
      </c>
      <c r="T26" s="43" t="str">
        <f>T$12</f>
        <v>Sheet No. 141DCARB</v>
      </c>
      <c r="V26" s="44">
        <f>V25</f>
        <v>1.2E-5</v>
      </c>
      <c r="W26" s="44" t="s">
        <v>5</v>
      </c>
      <c r="X26" s="43" t="str">
        <f>X$12</f>
        <v>Sheet No. 141WFR</v>
      </c>
    </row>
    <row r="27" spans="1:24" x14ac:dyDescent="0.2">
      <c r="A27" s="37">
        <f t="shared" si="0"/>
        <v>20</v>
      </c>
      <c r="B27" s="45" t="str">
        <f>+B22</f>
        <v>7A (11) (25)</v>
      </c>
      <c r="C27" s="41" t="s">
        <v>107</v>
      </c>
      <c r="D27" s="44">
        <v>6.4577999999999997E-2</v>
      </c>
      <c r="E27" s="44"/>
      <c r="F27" s="44">
        <f>ROUND('Exh CTM-6 (Rate Design)'!H57,6)</f>
        <v>8.4667000000000006E-2</v>
      </c>
      <c r="G27" s="44">
        <f>+F27-D27</f>
        <v>2.008900000000001E-2</v>
      </c>
      <c r="H27" s="44"/>
      <c r="I27" s="44">
        <f>ROUND('Exh CTM-6 (Rate Design)'!I57,6)</f>
        <v>8.9754E-2</v>
      </c>
      <c r="J27" s="44">
        <f>+I27-F27</f>
        <v>5.0869999999999943E-3</v>
      </c>
      <c r="K27" s="39" t="s">
        <v>104</v>
      </c>
      <c r="L27" s="43" t="s">
        <v>105</v>
      </c>
      <c r="N27" s="44">
        <f>N26</f>
        <v>1.0089999999999999E-3</v>
      </c>
      <c r="O27" s="44" t="s">
        <v>5</v>
      </c>
      <c r="P27" s="43" t="str">
        <f>P$12</f>
        <v>Sheet No. 141CGR</v>
      </c>
      <c r="R27" s="44">
        <f>R26</f>
        <v>2.4000000000000001E-5</v>
      </c>
      <c r="S27" s="44" t="s">
        <v>5</v>
      </c>
      <c r="T27" s="43" t="str">
        <f>T$12</f>
        <v>Sheet No. 141DCARB</v>
      </c>
      <c r="V27" s="44">
        <f>V26</f>
        <v>1.2E-5</v>
      </c>
      <c r="W27" s="44" t="s">
        <v>5</v>
      </c>
      <c r="X27" s="43" t="str">
        <f>X$12</f>
        <v>Sheet No. 141WFR</v>
      </c>
    </row>
    <row r="28" spans="1:24" x14ac:dyDescent="0.2">
      <c r="A28" s="37">
        <f t="shared" si="0"/>
        <v>21</v>
      </c>
      <c r="B28" s="45" t="str">
        <f>+B22</f>
        <v>7A (11) (25)</v>
      </c>
      <c r="C28" s="46"/>
      <c r="P28" s="40"/>
      <c r="T28" s="40"/>
      <c r="X28" s="40"/>
    </row>
    <row r="29" spans="1:24" x14ac:dyDescent="0.2">
      <c r="A29" s="37">
        <f t="shared" si="0"/>
        <v>22</v>
      </c>
      <c r="B29" s="45" t="str">
        <f>+B22</f>
        <v>7A (11) (25)</v>
      </c>
      <c r="C29" s="41" t="s">
        <v>106</v>
      </c>
      <c r="D29" s="42">
        <v>0</v>
      </c>
      <c r="E29" s="42"/>
      <c r="F29" s="42">
        <v>0</v>
      </c>
      <c r="G29" s="42">
        <f>+F29-D29</f>
        <v>0</v>
      </c>
      <c r="H29" s="42"/>
      <c r="I29" s="42">
        <v>0</v>
      </c>
      <c r="J29" s="42">
        <f>+I29-F29</f>
        <v>0</v>
      </c>
      <c r="K29" s="43" t="s">
        <v>43</v>
      </c>
      <c r="L29" s="43" t="s">
        <v>43</v>
      </c>
      <c r="O29" s="44"/>
      <c r="P29" s="40"/>
      <c r="S29" s="44"/>
      <c r="T29" s="40"/>
      <c r="W29" s="44"/>
      <c r="X29" s="40"/>
    </row>
    <row r="30" spans="1:24" x14ac:dyDescent="0.2">
      <c r="A30" s="37">
        <f t="shared" si="0"/>
        <v>23</v>
      </c>
      <c r="B30" s="45" t="str">
        <f>+B22</f>
        <v>7A (11) (25)</v>
      </c>
      <c r="C30" s="41" t="s">
        <v>81</v>
      </c>
      <c r="D30" s="42">
        <v>10.119999999999999</v>
      </c>
      <c r="E30" s="42"/>
      <c r="F30" s="42">
        <f>ROUND('Exh CTM-6 (Rate Design)'!H63,2)</f>
        <v>13.16</v>
      </c>
      <c r="G30" s="42">
        <f>+F30-D30</f>
        <v>3.0400000000000009</v>
      </c>
      <c r="H30" s="42"/>
      <c r="I30" s="42">
        <f>ROUND('Exh CTM-6 (Rate Design)'!I63,2)</f>
        <v>17.100000000000001</v>
      </c>
      <c r="J30" s="42">
        <f>+I30-F30</f>
        <v>3.9400000000000013</v>
      </c>
      <c r="K30" s="39" t="s">
        <v>104</v>
      </c>
      <c r="L30" s="43" t="s">
        <v>105</v>
      </c>
      <c r="N30" s="42">
        <f>ROUND(+'Exh CTM-6 (141CGR)'!H15,2)</f>
        <v>1.54</v>
      </c>
      <c r="O30" s="44" t="s">
        <v>61</v>
      </c>
      <c r="P30" s="43" t="str">
        <f>P$12</f>
        <v>Sheet No. 141CGR</v>
      </c>
      <c r="R30" s="42"/>
      <c r="S30" s="44"/>
      <c r="T30" s="43"/>
      <c r="V30" s="42">
        <f>ROUND(+'Exh CTM-6 (141WFP)'!G15,2)</f>
        <v>0.78</v>
      </c>
      <c r="W30" s="44" t="s">
        <v>61</v>
      </c>
      <c r="X30" s="43" t="str">
        <f>X$12</f>
        <v>Sheet No. 141WFR</v>
      </c>
    </row>
    <row r="31" spans="1:24" x14ac:dyDescent="0.2">
      <c r="A31" s="37">
        <f t="shared" si="0"/>
        <v>24</v>
      </c>
      <c r="B31" s="45" t="str">
        <f>+B22</f>
        <v>7A (11) (25)</v>
      </c>
      <c r="C31" s="41" t="s">
        <v>80</v>
      </c>
      <c r="D31" s="42">
        <v>6.75</v>
      </c>
      <c r="E31" s="42"/>
      <c r="F31" s="42">
        <f>ROUND('Exh CTM-6 (Rate Design)'!H64,2)</f>
        <v>8.7799999999999994</v>
      </c>
      <c r="G31" s="42">
        <f>+F31-D31</f>
        <v>2.0299999999999994</v>
      </c>
      <c r="H31" s="42"/>
      <c r="I31" s="42">
        <f>ROUND('Exh CTM-6 (Rate Design)'!I64,2)</f>
        <v>11.41</v>
      </c>
      <c r="J31" s="42">
        <f>+I31-F31</f>
        <v>2.6300000000000008</v>
      </c>
      <c r="K31" s="39" t="s">
        <v>104</v>
      </c>
      <c r="L31" s="43" t="s">
        <v>105</v>
      </c>
      <c r="N31" s="42">
        <f>N30</f>
        <v>1.54</v>
      </c>
      <c r="O31" s="44" t="s">
        <v>61</v>
      </c>
      <c r="P31" s="43" t="str">
        <f>P$12</f>
        <v>Sheet No. 141CGR</v>
      </c>
      <c r="R31" s="42"/>
      <c r="S31" s="44"/>
      <c r="T31" s="43"/>
      <c r="V31" s="42">
        <f>V30</f>
        <v>0.78</v>
      </c>
      <c r="W31" s="44" t="s">
        <v>61</v>
      </c>
      <c r="X31" s="43" t="str">
        <f>X$12</f>
        <v>Sheet No. 141WFR</v>
      </c>
    </row>
    <row r="32" spans="1:24" x14ac:dyDescent="0.2">
      <c r="A32" s="37">
        <f t="shared" si="0"/>
        <v>25</v>
      </c>
      <c r="B32" s="45" t="str">
        <f>+B22</f>
        <v>7A (11) (25)</v>
      </c>
      <c r="C32" s="41"/>
      <c r="D32" s="42"/>
      <c r="E32" s="42"/>
      <c r="F32" s="42"/>
      <c r="G32" s="42"/>
      <c r="H32" s="42"/>
      <c r="I32" s="42"/>
      <c r="J32" s="42"/>
      <c r="O32" s="44"/>
      <c r="P32" s="40"/>
      <c r="S32" s="44"/>
      <c r="T32" s="40"/>
      <c r="W32" s="44"/>
      <c r="X32" s="40"/>
    </row>
    <row r="33" spans="1:24" x14ac:dyDescent="0.2">
      <c r="A33" s="37">
        <f t="shared" si="0"/>
        <v>26</v>
      </c>
      <c r="B33" s="45" t="str">
        <f>+B22</f>
        <v>7A (11) (25)</v>
      </c>
      <c r="C33" s="41" t="s">
        <v>59</v>
      </c>
      <c r="D33" s="47">
        <v>3.1800000000000001E-3</v>
      </c>
      <c r="E33" s="47"/>
      <c r="F33" s="47">
        <f>ROUND('Exh CTM-6 (Rate Design)'!H67,5)</f>
        <v>4.13E-3</v>
      </c>
      <c r="G33" s="47">
        <f>+F33-D33</f>
        <v>9.4999999999999989E-4</v>
      </c>
      <c r="H33" s="47"/>
      <c r="I33" s="47">
        <f>ROUND('Exh CTM-6 (Rate Design)'!I67,5)</f>
        <v>5.3699999999999998E-3</v>
      </c>
      <c r="J33" s="47">
        <f>+I33-F33</f>
        <v>1.2399999999999998E-3</v>
      </c>
      <c r="K33" s="39" t="s">
        <v>104</v>
      </c>
      <c r="L33" s="43" t="s">
        <v>103</v>
      </c>
      <c r="O33" s="44"/>
      <c r="P33" s="40"/>
      <c r="S33" s="44"/>
      <c r="T33" s="40"/>
      <c r="W33" s="44"/>
      <c r="X33" s="40"/>
    </row>
    <row r="34" spans="1:24" x14ac:dyDescent="0.2">
      <c r="A34" s="37">
        <f t="shared" si="0"/>
        <v>27</v>
      </c>
      <c r="O34" s="44"/>
      <c r="P34" s="40"/>
      <c r="S34" s="44"/>
      <c r="T34" s="40"/>
      <c r="W34" s="44"/>
      <c r="X34" s="40"/>
    </row>
    <row r="35" spans="1:24" x14ac:dyDescent="0.2">
      <c r="A35" s="37">
        <f t="shared" si="0"/>
        <v>28</v>
      </c>
      <c r="B35" s="45" t="s">
        <v>102</v>
      </c>
      <c r="C35" s="43" t="s">
        <v>101</v>
      </c>
      <c r="O35" s="44"/>
      <c r="P35" s="40"/>
      <c r="S35" s="44"/>
      <c r="T35" s="40"/>
      <c r="W35" s="44"/>
      <c r="X35" s="40"/>
    </row>
    <row r="36" spans="1:24" x14ac:dyDescent="0.2">
      <c r="A36" s="37">
        <f t="shared" si="0"/>
        <v>29</v>
      </c>
      <c r="B36" s="37" t="str">
        <f>+B35</f>
        <v>12 (26) (26P)</v>
      </c>
      <c r="C36" s="41" t="s">
        <v>63</v>
      </c>
      <c r="D36" s="42">
        <v>109.08</v>
      </c>
      <c r="E36" s="42"/>
      <c r="F36" s="42">
        <f>ROUND('Exh CTM-6 (Rate Design)'!H80,2)</f>
        <v>141.80000000000001</v>
      </c>
      <c r="G36" s="42">
        <f>+F36-D36</f>
        <v>32.720000000000013</v>
      </c>
      <c r="H36" s="42"/>
      <c r="I36" s="42">
        <f>ROUND('Exh CTM-6 (Rate Design)'!I80,2)</f>
        <v>184.35</v>
      </c>
      <c r="J36" s="42">
        <f>+I36-F36</f>
        <v>42.549999999999983</v>
      </c>
      <c r="K36" s="39" t="s">
        <v>94</v>
      </c>
      <c r="L36" s="40">
        <v>26</v>
      </c>
      <c r="O36" s="44"/>
      <c r="P36" s="40"/>
      <c r="S36" s="44"/>
      <c r="T36" s="40"/>
      <c r="W36" s="44"/>
      <c r="X36" s="40"/>
    </row>
    <row r="37" spans="1:24" x14ac:dyDescent="0.2">
      <c r="A37" s="37">
        <f t="shared" si="0"/>
        <v>30</v>
      </c>
      <c r="B37" s="37" t="str">
        <f>+B35</f>
        <v>12 (26) (26P)</v>
      </c>
      <c r="C37" s="41"/>
      <c r="D37" s="42"/>
      <c r="E37" s="42"/>
      <c r="F37" s="42"/>
      <c r="G37" s="42"/>
      <c r="H37" s="42"/>
      <c r="I37" s="42"/>
      <c r="J37" s="42"/>
      <c r="O37" s="44"/>
      <c r="P37" s="40"/>
      <c r="S37" s="44"/>
      <c r="T37" s="40"/>
      <c r="W37" s="44"/>
      <c r="X37" s="40"/>
    </row>
    <row r="38" spans="1:24" x14ac:dyDescent="0.2">
      <c r="A38" s="37">
        <f t="shared" si="0"/>
        <v>31</v>
      </c>
      <c r="B38" s="37" t="str">
        <f>+B35</f>
        <v>12 (26) (26P)</v>
      </c>
      <c r="C38" s="41" t="s">
        <v>100</v>
      </c>
      <c r="D38" s="44">
        <v>5.7457000000000001E-2</v>
      </c>
      <c r="E38" s="44"/>
      <c r="F38" s="44">
        <f>ROUND('Exh CTM-6 (Rate Design)'!H82,6)</f>
        <v>7.2320999999999996E-2</v>
      </c>
      <c r="G38" s="44">
        <f>+F38-D38</f>
        <v>1.4863999999999995E-2</v>
      </c>
      <c r="H38" s="44"/>
      <c r="I38" s="44">
        <f>ROUND('Exh CTM-6 (Rate Design)'!I82,6)</f>
        <v>7.2173000000000001E-2</v>
      </c>
      <c r="J38" s="44">
        <f>+I38-F38</f>
        <v>-1.4799999999999536E-4</v>
      </c>
      <c r="K38" s="39" t="s">
        <v>94</v>
      </c>
      <c r="L38" s="40">
        <v>26</v>
      </c>
      <c r="N38" s="44">
        <f>ROUND(+'Exh CTM-6 (141CGR)'!H18,6)</f>
        <v>8.4599999999999996E-4</v>
      </c>
      <c r="O38" s="44" t="s">
        <v>5</v>
      </c>
      <c r="P38" s="43" t="str">
        <f>P$12</f>
        <v>Sheet No. 141CGR</v>
      </c>
      <c r="R38" s="44">
        <f>ROUND('Exh CTM-6 (141DCARB)'!G16,6)</f>
        <v>1.8E-5</v>
      </c>
      <c r="S38" s="44" t="s">
        <v>5</v>
      </c>
      <c r="T38" s="43" t="str">
        <f>T$12</f>
        <v>Sheet No. 141DCARB</v>
      </c>
      <c r="V38" s="44">
        <f>ROUND(+'Exh CTM-6 (141WFP)'!G18,6)</f>
        <v>1.0000000000000001E-5</v>
      </c>
      <c r="W38" s="44" t="s">
        <v>5</v>
      </c>
      <c r="X38" s="43" t="str">
        <f>X$12</f>
        <v>Sheet No. 141WFR</v>
      </c>
    </row>
    <row r="39" spans="1:24" x14ac:dyDescent="0.2">
      <c r="A39" s="37">
        <f t="shared" si="0"/>
        <v>32</v>
      </c>
      <c r="B39" s="37" t="str">
        <f>+B35</f>
        <v>12 (26) (26P)</v>
      </c>
      <c r="C39" s="46"/>
      <c r="O39" s="44"/>
      <c r="P39" s="40"/>
      <c r="S39" s="44"/>
      <c r="T39" s="40"/>
      <c r="W39" s="44"/>
      <c r="X39" s="40"/>
    </row>
    <row r="40" spans="1:24" x14ac:dyDescent="0.2">
      <c r="A40" s="37">
        <f t="shared" si="0"/>
        <v>33</v>
      </c>
      <c r="B40" s="37" t="str">
        <f>+B35</f>
        <v>12 (26) (26P)</v>
      </c>
      <c r="C40" s="41" t="s">
        <v>76</v>
      </c>
      <c r="D40" s="42">
        <v>12.23</v>
      </c>
      <c r="E40" s="42"/>
      <c r="F40" s="42">
        <f>ROUND('Exh CTM-6 (Rate Design)'!H88,2)</f>
        <v>15.9</v>
      </c>
      <c r="G40" s="42">
        <f t="shared" ref="G40:G45" si="1">+F40-D40</f>
        <v>3.67</v>
      </c>
      <c r="H40" s="42"/>
      <c r="I40" s="42">
        <f>ROUND('Exh CTM-6 (Rate Design)'!I88,2)</f>
        <v>20.67</v>
      </c>
      <c r="J40" s="42">
        <f t="shared" ref="J40:J45" si="2">+I40-F40</f>
        <v>4.7700000000000014</v>
      </c>
      <c r="K40" s="39" t="s">
        <v>94</v>
      </c>
      <c r="L40" s="40">
        <v>26</v>
      </c>
      <c r="N40" s="42">
        <f>ROUND(+'Exh CTM-6 (141CGR)'!H19,2)</f>
        <v>0.8</v>
      </c>
      <c r="O40" s="44" t="s">
        <v>61</v>
      </c>
      <c r="P40" s="43" t="str">
        <f>P$12</f>
        <v>Sheet No. 141CGR</v>
      </c>
      <c r="R40" s="42"/>
      <c r="S40" s="44"/>
      <c r="T40" s="43"/>
      <c r="V40" s="42">
        <f>ROUND(+'Exh CTM-6 (141WFP)'!G19,2)</f>
        <v>0.38</v>
      </c>
      <c r="W40" s="44" t="s">
        <v>61</v>
      </c>
      <c r="X40" s="43" t="str">
        <f>X$12</f>
        <v>Sheet No. 141WFR</v>
      </c>
    </row>
    <row r="41" spans="1:24" x14ac:dyDescent="0.2">
      <c r="A41" s="37">
        <f t="shared" ref="A41:A72" si="3">+A40+1</f>
        <v>34</v>
      </c>
      <c r="B41" s="37" t="str">
        <f>+B35</f>
        <v>12 (26) (26P)</v>
      </c>
      <c r="C41" s="48" t="s">
        <v>74</v>
      </c>
      <c r="D41" s="42">
        <v>5.79</v>
      </c>
      <c r="E41" s="42"/>
      <c r="F41" s="42">
        <f>ROUND('Exh CTM-6 (Rate Design)'!H105,2)</f>
        <v>8.74</v>
      </c>
      <c r="G41" s="42">
        <f t="shared" si="1"/>
        <v>2.95</v>
      </c>
      <c r="H41" s="42"/>
      <c r="I41" s="42">
        <f>ROUND('Exh CTM-6 (Rate Design)'!I105,2)</f>
        <v>11.37</v>
      </c>
      <c r="J41" s="42">
        <f t="shared" si="2"/>
        <v>2.629999999999999</v>
      </c>
      <c r="K41" s="39" t="s">
        <v>94</v>
      </c>
      <c r="L41" s="40" t="s">
        <v>99</v>
      </c>
      <c r="N41" s="42">
        <f>N40</f>
        <v>0.8</v>
      </c>
      <c r="O41" s="44" t="s">
        <v>61</v>
      </c>
      <c r="P41" s="43" t="str">
        <f>P$12</f>
        <v>Sheet No. 141CGR</v>
      </c>
      <c r="R41" s="42"/>
      <c r="S41" s="44"/>
      <c r="T41" s="43"/>
      <c r="V41" s="42">
        <f>V40</f>
        <v>0.38</v>
      </c>
      <c r="W41" s="44" t="s">
        <v>61</v>
      </c>
      <c r="X41" s="43" t="str">
        <f>X$12</f>
        <v>Sheet No. 141WFR</v>
      </c>
    </row>
    <row r="42" spans="1:24" x14ac:dyDescent="0.2">
      <c r="A42" s="37">
        <f t="shared" si="3"/>
        <v>35</v>
      </c>
      <c r="B42" s="37" t="str">
        <f>+B35</f>
        <v>12 (26) (26P)</v>
      </c>
      <c r="C42" s="48" t="s">
        <v>73</v>
      </c>
      <c r="D42" s="42">
        <v>6.44</v>
      </c>
      <c r="E42" s="42"/>
      <c r="F42" s="42">
        <f>ROUND('Exh CTM-6 (Rate Design)'!H110,2)</f>
        <v>7.15</v>
      </c>
      <c r="G42" s="42">
        <f t="shared" si="1"/>
        <v>0.71</v>
      </c>
      <c r="H42" s="42"/>
      <c r="I42" s="42">
        <f>ROUND('Exh CTM-6 (Rate Design)'!I110,2)</f>
        <v>9.3000000000000007</v>
      </c>
      <c r="J42" s="42">
        <f t="shared" si="2"/>
        <v>2.1500000000000004</v>
      </c>
      <c r="K42" s="39" t="s">
        <v>94</v>
      </c>
      <c r="L42" s="40" t="s">
        <v>99</v>
      </c>
      <c r="N42" s="42"/>
      <c r="O42" s="44"/>
      <c r="P42" s="43"/>
      <c r="R42" s="42"/>
      <c r="S42" s="44"/>
      <c r="T42" s="43"/>
      <c r="V42" s="42"/>
      <c r="W42" s="44"/>
      <c r="X42" s="43"/>
    </row>
    <row r="43" spans="1:24" x14ac:dyDescent="0.2">
      <c r="A43" s="37">
        <f t="shared" si="3"/>
        <v>36</v>
      </c>
      <c r="B43" s="37" t="str">
        <f>+B35</f>
        <v>12 (26) (26P)</v>
      </c>
      <c r="C43" s="41" t="s">
        <v>75</v>
      </c>
      <c r="D43" s="42">
        <v>8.15</v>
      </c>
      <c r="E43" s="42"/>
      <c r="F43" s="42">
        <f>ROUND('Exh CTM-6 (Rate Design)'!H89,2)</f>
        <v>10.6</v>
      </c>
      <c r="G43" s="42">
        <f t="shared" si="1"/>
        <v>2.4499999999999993</v>
      </c>
      <c r="H43" s="42"/>
      <c r="I43" s="42">
        <f>ROUND('Exh CTM-6 (Rate Design)'!I89,2)</f>
        <v>13.77</v>
      </c>
      <c r="J43" s="42">
        <f t="shared" si="2"/>
        <v>3.17</v>
      </c>
      <c r="K43" s="39" t="s">
        <v>94</v>
      </c>
      <c r="L43" s="40">
        <v>26</v>
      </c>
      <c r="N43" s="42">
        <f>N40</f>
        <v>0.8</v>
      </c>
      <c r="O43" s="44" t="s">
        <v>61</v>
      </c>
      <c r="P43" s="43" t="str">
        <f>P$12</f>
        <v>Sheet No. 141CGR</v>
      </c>
      <c r="R43" s="42"/>
      <c r="S43" s="44"/>
      <c r="T43" s="43"/>
      <c r="V43" s="42">
        <f>V40</f>
        <v>0.38</v>
      </c>
      <c r="W43" s="44" t="s">
        <v>61</v>
      </c>
      <c r="X43" s="43" t="str">
        <f>X$12</f>
        <v>Sheet No. 141WFR</v>
      </c>
    </row>
    <row r="44" spans="1:24" x14ac:dyDescent="0.2">
      <c r="A44" s="37">
        <f t="shared" si="3"/>
        <v>37</v>
      </c>
      <c r="B44" s="37" t="str">
        <f>+B35</f>
        <v>12 (26) (26P)</v>
      </c>
      <c r="C44" s="48" t="s">
        <v>74</v>
      </c>
      <c r="D44" s="42">
        <v>3.86</v>
      </c>
      <c r="E44" s="42"/>
      <c r="F44" s="42">
        <f>ROUND('Exh CTM-6 (Rate Design)'!H106,2)</f>
        <v>5.83</v>
      </c>
      <c r="G44" s="42">
        <f t="shared" si="1"/>
        <v>1.9700000000000002</v>
      </c>
      <c r="H44" s="42"/>
      <c r="I44" s="42">
        <f>ROUND('Exh CTM-6 (Rate Design)'!I106,2)</f>
        <v>7.58</v>
      </c>
      <c r="J44" s="42">
        <f t="shared" si="2"/>
        <v>1.75</v>
      </c>
      <c r="K44" s="39" t="s">
        <v>94</v>
      </c>
      <c r="L44" s="40" t="s">
        <v>99</v>
      </c>
      <c r="N44" s="42">
        <f>N43</f>
        <v>0.8</v>
      </c>
      <c r="O44" s="44" t="s">
        <v>61</v>
      </c>
      <c r="P44" s="43" t="str">
        <f>P$12</f>
        <v>Sheet No. 141CGR</v>
      </c>
      <c r="R44" s="42"/>
      <c r="S44" s="44"/>
      <c r="T44" s="43"/>
      <c r="V44" s="42">
        <f>V43</f>
        <v>0.38</v>
      </c>
      <c r="W44" s="44" t="s">
        <v>61</v>
      </c>
      <c r="X44" s="43" t="str">
        <f>X$12</f>
        <v>Sheet No. 141WFR</v>
      </c>
    </row>
    <row r="45" spans="1:24" x14ac:dyDescent="0.2">
      <c r="A45" s="37">
        <f t="shared" si="3"/>
        <v>38</v>
      </c>
      <c r="B45" s="37" t="str">
        <f>+B35</f>
        <v>12 (26) (26P)</v>
      </c>
      <c r="C45" s="48" t="s">
        <v>73</v>
      </c>
      <c r="D45" s="42">
        <v>4.29</v>
      </c>
      <c r="E45" s="42"/>
      <c r="F45" s="42">
        <f>ROUND('Exh CTM-6 (Rate Design)'!H111,2)</f>
        <v>4.7699999999999996</v>
      </c>
      <c r="G45" s="42">
        <f t="shared" si="1"/>
        <v>0.47999999999999954</v>
      </c>
      <c r="H45" s="42"/>
      <c r="I45" s="42">
        <f>ROUND('Exh CTM-6 (Rate Design)'!I111,2)</f>
        <v>6.2</v>
      </c>
      <c r="J45" s="42">
        <f t="shared" si="2"/>
        <v>1.4300000000000006</v>
      </c>
      <c r="K45" s="39" t="s">
        <v>94</v>
      </c>
      <c r="L45" s="40" t="s">
        <v>99</v>
      </c>
      <c r="N45" s="42"/>
      <c r="O45" s="44"/>
      <c r="P45" s="43"/>
      <c r="R45" s="42"/>
      <c r="S45" s="44"/>
      <c r="T45" s="43"/>
      <c r="V45" s="42"/>
      <c r="W45" s="44"/>
      <c r="X45" s="43"/>
    </row>
    <row r="46" spans="1:24" x14ac:dyDescent="0.2">
      <c r="A46" s="37">
        <f t="shared" si="3"/>
        <v>39</v>
      </c>
      <c r="B46" s="37" t="str">
        <f>+B35</f>
        <v>12 (26) (26P)</v>
      </c>
      <c r="C46" s="41"/>
      <c r="D46" s="42"/>
      <c r="E46" s="42"/>
      <c r="F46" s="42"/>
      <c r="G46" s="42"/>
      <c r="H46" s="42"/>
      <c r="I46" s="42"/>
      <c r="J46" s="42"/>
      <c r="O46" s="44"/>
      <c r="P46" s="40"/>
      <c r="S46" s="44"/>
      <c r="T46" s="40"/>
      <c r="W46" s="44"/>
      <c r="X46" s="40"/>
    </row>
    <row r="47" spans="1:24" x14ac:dyDescent="0.2">
      <c r="A47" s="37">
        <f t="shared" si="3"/>
        <v>40</v>
      </c>
      <c r="B47" s="37" t="str">
        <f>+B35</f>
        <v>12 (26) (26P)</v>
      </c>
      <c r="C47" s="41" t="s">
        <v>59</v>
      </c>
      <c r="D47" s="47">
        <v>1.2999999999999999E-3</v>
      </c>
      <c r="E47" s="47"/>
      <c r="F47" s="47">
        <f>ROUND('Exh CTM-6 (Rate Design)'!H92,5)</f>
        <v>1.6900000000000001E-3</v>
      </c>
      <c r="G47" s="47">
        <f>+F47-D47</f>
        <v>3.9000000000000016E-4</v>
      </c>
      <c r="H47" s="47"/>
      <c r="I47" s="47">
        <f>ROUND('Exh CTM-6 (Rate Design)'!I92,5)</f>
        <v>2.2000000000000001E-3</v>
      </c>
      <c r="J47" s="47">
        <f>+I47-F47</f>
        <v>5.1000000000000004E-4</v>
      </c>
      <c r="K47" s="39" t="s">
        <v>94</v>
      </c>
      <c r="L47" s="40">
        <v>26</v>
      </c>
      <c r="O47" s="44"/>
      <c r="P47" s="40"/>
      <c r="S47" s="44"/>
      <c r="T47" s="40"/>
      <c r="W47" s="44"/>
      <c r="X47" s="40"/>
    </row>
    <row r="48" spans="1:24" x14ac:dyDescent="0.2">
      <c r="A48" s="37">
        <f t="shared" si="3"/>
        <v>41</v>
      </c>
      <c r="B48" s="37" t="str">
        <f>+B35</f>
        <v>12 (26) (26P)</v>
      </c>
      <c r="C48" s="41"/>
      <c r="D48" s="47"/>
      <c r="E48" s="47"/>
      <c r="F48" s="47"/>
      <c r="G48" s="47"/>
      <c r="H48" s="47"/>
      <c r="I48" s="47"/>
      <c r="J48" s="47"/>
      <c r="O48" s="44"/>
      <c r="P48" s="40"/>
      <c r="S48" s="44"/>
      <c r="T48" s="40"/>
      <c r="W48" s="44"/>
      <c r="X48" s="40"/>
    </row>
    <row r="49" spans="1:24" x14ac:dyDescent="0.2">
      <c r="A49" s="37">
        <f t="shared" si="3"/>
        <v>42</v>
      </c>
      <c r="B49" s="37" t="str">
        <f>+B35</f>
        <v>12 (26) (26P)</v>
      </c>
      <c r="C49" s="41" t="s">
        <v>98</v>
      </c>
      <c r="D49" s="47"/>
      <c r="E49" s="47"/>
      <c r="F49" s="47"/>
      <c r="G49" s="47"/>
      <c r="H49" s="47"/>
      <c r="I49" s="47"/>
      <c r="J49" s="47"/>
      <c r="O49" s="44"/>
      <c r="P49" s="40"/>
      <c r="S49" s="44"/>
      <c r="T49" s="40"/>
      <c r="W49" s="44"/>
      <c r="X49" s="40"/>
    </row>
    <row r="50" spans="1:24" x14ac:dyDescent="0.2">
      <c r="A50" s="37">
        <f t="shared" si="3"/>
        <v>43</v>
      </c>
      <c r="B50" s="37" t="str">
        <f>+B35</f>
        <v>12 (26) (26P)</v>
      </c>
      <c r="C50" s="41" t="s">
        <v>97</v>
      </c>
      <c r="D50" s="42">
        <v>249.03000000000003</v>
      </c>
      <c r="E50" s="42"/>
      <c r="F50" s="42">
        <f>ROUND('Exh CTM-6 (Rate Design)'!H128,2)</f>
        <v>323.74</v>
      </c>
      <c r="G50" s="42">
        <f t="shared" ref="G50:G57" si="4">+F50-D50</f>
        <v>74.70999999999998</v>
      </c>
      <c r="H50" s="42"/>
      <c r="I50" s="42">
        <f>ROUND('Exh CTM-6 (Rate Design)'!I128,2)</f>
        <v>420.86</v>
      </c>
      <c r="J50" s="42">
        <f t="shared" ref="J50:J57" si="5">+I50-F50</f>
        <v>97.12</v>
      </c>
      <c r="K50" s="39" t="s">
        <v>94</v>
      </c>
      <c r="L50" s="40">
        <v>26</v>
      </c>
      <c r="O50" s="44"/>
      <c r="P50" s="40"/>
      <c r="S50" s="44"/>
      <c r="T50" s="40"/>
      <c r="W50" s="44"/>
      <c r="X50" s="40"/>
    </row>
    <row r="51" spans="1:24" x14ac:dyDescent="0.2">
      <c r="A51" s="37">
        <f t="shared" si="3"/>
        <v>44</v>
      </c>
      <c r="B51" s="37" t="str">
        <f>+B35</f>
        <v>12 (26) (26P)</v>
      </c>
      <c r="C51" s="41" t="s">
        <v>96</v>
      </c>
      <c r="D51" s="42">
        <v>-0.25</v>
      </c>
      <c r="E51" s="42"/>
      <c r="F51" s="42">
        <f>ROUND(F54-F40,2)</f>
        <v>-0.33</v>
      </c>
      <c r="G51" s="42">
        <f t="shared" si="4"/>
        <v>-8.0000000000000016E-2</v>
      </c>
      <c r="H51" s="42"/>
      <c r="I51" s="42">
        <f>ROUND(I54-I40,2)</f>
        <v>-0.42</v>
      </c>
      <c r="J51" s="42">
        <f t="shared" si="5"/>
        <v>-8.9999999999999969E-2</v>
      </c>
      <c r="K51" s="39" t="s">
        <v>94</v>
      </c>
      <c r="L51" s="40">
        <v>26</v>
      </c>
      <c r="O51" s="44"/>
      <c r="P51" s="40"/>
      <c r="S51" s="44"/>
      <c r="T51" s="40"/>
      <c r="W51" s="44"/>
      <c r="X51" s="40"/>
    </row>
    <row r="52" spans="1:24" x14ac:dyDescent="0.2">
      <c r="A52" s="37">
        <f t="shared" si="3"/>
        <v>45</v>
      </c>
      <c r="B52" s="37" t="str">
        <f>+B35</f>
        <v>12 (26) (26P)</v>
      </c>
      <c r="C52" s="41" t="s">
        <v>95</v>
      </c>
      <c r="D52" s="49">
        <v>2.4400000000000002E-2</v>
      </c>
      <c r="E52" s="49"/>
      <c r="F52" s="49">
        <f>'Exh CTM-6 (Rate Design)'!H150</f>
        <v>2.4400000000000002E-2</v>
      </c>
      <c r="G52" s="49">
        <f t="shared" si="4"/>
        <v>0</v>
      </c>
      <c r="H52" s="49"/>
      <c r="I52" s="49">
        <f>'Exh CTM-6 (Rate Design)'!I150</f>
        <v>2.4400000000000002E-2</v>
      </c>
      <c r="J52" s="49">
        <f t="shared" si="5"/>
        <v>0</v>
      </c>
      <c r="K52" s="39" t="s">
        <v>94</v>
      </c>
      <c r="L52" s="40">
        <v>26</v>
      </c>
      <c r="O52" s="44"/>
      <c r="P52" s="40"/>
      <c r="S52" s="44"/>
      <c r="T52" s="40"/>
      <c r="W52" s="44"/>
      <c r="X52" s="40"/>
    </row>
    <row r="53" spans="1:24" x14ac:dyDescent="0.2">
      <c r="A53" s="37">
        <f t="shared" si="3"/>
        <v>46</v>
      </c>
      <c r="B53" s="37" t="str">
        <f>+B35</f>
        <v>12 (26) (26P)</v>
      </c>
      <c r="C53" s="50" t="s">
        <v>93</v>
      </c>
      <c r="D53" s="42">
        <v>358.11</v>
      </c>
      <c r="E53" s="42"/>
      <c r="F53" s="42">
        <f>ROUND('Exh CTM-6 (Rate Design)'!H129,2)</f>
        <v>465.54</v>
      </c>
      <c r="G53" s="42">
        <f t="shared" si="4"/>
        <v>107.43</v>
      </c>
      <c r="H53" s="42"/>
      <c r="I53" s="42">
        <f>ROUND('Exh CTM-6 (Rate Design)'!I129,2)</f>
        <v>605.21</v>
      </c>
      <c r="J53" s="42">
        <f t="shared" si="5"/>
        <v>139.67000000000002</v>
      </c>
      <c r="K53" s="43" t="s">
        <v>43</v>
      </c>
      <c r="L53" s="43" t="s">
        <v>43</v>
      </c>
      <c r="O53" s="44"/>
      <c r="P53" s="40"/>
      <c r="S53" s="44"/>
      <c r="T53" s="40"/>
      <c r="W53" s="44"/>
      <c r="X53" s="40"/>
    </row>
    <row r="54" spans="1:24" x14ac:dyDescent="0.2">
      <c r="A54" s="37">
        <f t="shared" si="3"/>
        <v>47</v>
      </c>
      <c r="B54" s="37" t="str">
        <f>+B35</f>
        <v>12 (26) (26P)</v>
      </c>
      <c r="C54" s="41" t="s">
        <v>92</v>
      </c>
      <c r="D54" s="42">
        <v>11.98</v>
      </c>
      <c r="E54" s="42"/>
      <c r="F54" s="42">
        <f>ROUND('Exh CTM-6 (Rate Design)'!H137,2)</f>
        <v>15.57</v>
      </c>
      <c r="G54" s="42">
        <f t="shared" si="4"/>
        <v>3.59</v>
      </c>
      <c r="H54" s="42"/>
      <c r="I54" s="42">
        <f>ROUND('Exh CTM-6 (Rate Design)'!I137,2)</f>
        <v>20.25</v>
      </c>
      <c r="J54" s="42">
        <f t="shared" si="5"/>
        <v>4.68</v>
      </c>
      <c r="K54" s="43" t="s">
        <v>43</v>
      </c>
      <c r="L54" s="43" t="s">
        <v>43</v>
      </c>
      <c r="N54" s="42">
        <f>N40</f>
        <v>0.8</v>
      </c>
      <c r="O54" s="44" t="s">
        <v>61</v>
      </c>
      <c r="P54" s="43" t="str">
        <f>P$12</f>
        <v>Sheet No. 141CGR</v>
      </c>
      <c r="R54" s="42"/>
      <c r="S54" s="44"/>
      <c r="T54" s="43"/>
      <c r="V54" s="42">
        <f>V40</f>
        <v>0.38</v>
      </c>
      <c r="W54" s="44" t="s">
        <v>61</v>
      </c>
      <c r="X54" s="43" t="str">
        <f>X$12</f>
        <v>Sheet No. 141WFR</v>
      </c>
    </row>
    <row r="55" spans="1:24" x14ac:dyDescent="0.2">
      <c r="A55" s="37">
        <f t="shared" si="3"/>
        <v>48</v>
      </c>
      <c r="B55" s="37" t="str">
        <f>+B35</f>
        <v>12 (26) (26P)</v>
      </c>
      <c r="C55" s="41" t="s">
        <v>91</v>
      </c>
      <c r="D55" s="42">
        <v>7.9</v>
      </c>
      <c r="E55" s="42"/>
      <c r="F55" s="42">
        <f>ROUND('Exh CTM-6 (Rate Design)'!H138,2)</f>
        <v>10.27</v>
      </c>
      <c r="G55" s="42">
        <f t="shared" si="4"/>
        <v>2.3699999999999992</v>
      </c>
      <c r="H55" s="42"/>
      <c r="I55" s="42">
        <f>ROUND('Exh CTM-6 (Rate Design)'!I138,2)</f>
        <v>13.35</v>
      </c>
      <c r="J55" s="42">
        <f t="shared" si="5"/>
        <v>3.08</v>
      </c>
      <c r="K55" s="43" t="s">
        <v>43</v>
      </c>
      <c r="L55" s="43" t="s">
        <v>43</v>
      </c>
      <c r="N55" s="42">
        <f>N40</f>
        <v>0.8</v>
      </c>
      <c r="O55" s="44" t="s">
        <v>61</v>
      </c>
      <c r="P55" s="43" t="str">
        <f>P$12</f>
        <v>Sheet No. 141CGR</v>
      </c>
      <c r="R55" s="42"/>
      <c r="S55" s="44"/>
      <c r="T55" s="43"/>
      <c r="V55" s="42">
        <f>V40</f>
        <v>0.38</v>
      </c>
      <c r="W55" s="44" t="s">
        <v>61</v>
      </c>
      <c r="X55" s="43" t="str">
        <f>X$12</f>
        <v>Sheet No. 141WFR</v>
      </c>
    </row>
    <row r="56" spans="1:24" x14ac:dyDescent="0.2">
      <c r="A56" s="37">
        <f t="shared" si="3"/>
        <v>49</v>
      </c>
      <c r="B56" s="37" t="str">
        <f>+B35</f>
        <v>12 (26) (26P)</v>
      </c>
      <c r="C56" s="50" t="s">
        <v>90</v>
      </c>
      <c r="D56" s="44">
        <v>5.6055000000000001E-2</v>
      </c>
      <c r="E56" s="44"/>
      <c r="F56" s="44">
        <f>ROUND('Exh CTM-6 (Rate Design)'!H132,6)</f>
        <v>7.0918999999999996E-2</v>
      </c>
      <c r="G56" s="44">
        <f t="shared" si="4"/>
        <v>1.4863999999999995E-2</v>
      </c>
      <c r="H56" s="44"/>
      <c r="I56" s="44">
        <f>ROUND('Exh CTM-6 (Rate Design)'!I132,6)</f>
        <v>7.0771000000000001E-2</v>
      </c>
      <c r="J56" s="44">
        <f t="shared" si="5"/>
        <v>-1.4799999999999536E-4</v>
      </c>
      <c r="K56" s="43" t="s">
        <v>43</v>
      </c>
      <c r="L56" s="43" t="s">
        <v>43</v>
      </c>
      <c r="N56" s="44">
        <f>+N38</f>
        <v>8.4599999999999996E-4</v>
      </c>
      <c r="O56" s="44" t="s">
        <v>5</v>
      </c>
      <c r="P56" s="43" t="str">
        <f>P$12</f>
        <v>Sheet No. 141CGR</v>
      </c>
      <c r="R56" s="44">
        <f>+R38</f>
        <v>1.8E-5</v>
      </c>
      <c r="S56" s="44" t="s">
        <v>5</v>
      </c>
      <c r="T56" s="43" t="str">
        <f>T$12</f>
        <v>Sheet No. 141DCARB</v>
      </c>
      <c r="V56" s="44">
        <f>+V38</f>
        <v>1.0000000000000001E-5</v>
      </c>
      <c r="W56" s="44" t="s">
        <v>5</v>
      </c>
      <c r="X56" s="43" t="str">
        <f>X$12</f>
        <v>Sheet No. 141WFR</v>
      </c>
    </row>
    <row r="57" spans="1:24" x14ac:dyDescent="0.2">
      <c r="A57" s="37">
        <f t="shared" si="3"/>
        <v>50</v>
      </c>
      <c r="B57" s="37" t="str">
        <f>+B35</f>
        <v>12 (26) (26P)</v>
      </c>
      <c r="C57" s="41" t="s">
        <v>89</v>
      </c>
      <c r="D57" s="47">
        <v>1.2699999999999999E-3</v>
      </c>
      <c r="E57" s="47"/>
      <c r="F57" s="47">
        <f>ROUND('Exh CTM-6 (Rate Design)'!H143,5)</f>
        <v>1.65E-3</v>
      </c>
      <c r="G57" s="47">
        <f t="shared" si="4"/>
        <v>3.8000000000000013E-4</v>
      </c>
      <c r="H57" s="47"/>
      <c r="I57" s="47">
        <f>ROUND('Exh CTM-6 (Rate Design)'!I143,5)</f>
        <v>2.15E-3</v>
      </c>
      <c r="J57" s="47">
        <f t="shared" si="5"/>
        <v>5.0000000000000001E-4</v>
      </c>
      <c r="K57" s="43" t="s">
        <v>43</v>
      </c>
      <c r="L57" s="43" t="s">
        <v>43</v>
      </c>
      <c r="P57" s="40"/>
      <c r="T57" s="40"/>
      <c r="X57" s="40"/>
    </row>
    <row r="58" spans="1:24" x14ac:dyDescent="0.2">
      <c r="A58" s="37">
        <f t="shared" si="3"/>
        <v>51</v>
      </c>
      <c r="P58" s="40"/>
      <c r="T58" s="40"/>
      <c r="X58" s="40"/>
    </row>
    <row r="59" spans="1:24" x14ac:dyDescent="0.2">
      <c r="A59" s="37">
        <f t="shared" si="3"/>
        <v>52</v>
      </c>
      <c r="B59" s="45" t="s">
        <v>88</v>
      </c>
      <c r="C59" s="43" t="s">
        <v>87</v>
      </c>
      <c r="P59" s="40"/>
      <c r="T59" s="40"/>
      <c r="X59" s="40"/>
    </row>
    <row r="60" spans="1:24" x14ac:dyDescent="0.2">
      <c r="A60" s="37">
        <f t="shared" si="3"/>
        <v>53</v>
      </c>
      <c r="B60" s="37" t="str">
        <f>+B59</f>
        <v>29</v>
      </c>
      <c r="C60" s="41" t="s">
        <v>8</v>
      </c>
      <c r="D60" s="42">
        <v>9.99</v>
      </c>
      <c r="E60" s="42"/>
      <c r="F60" s="42">
        <f>ROUND('Exh CTM-6 (Rate Design)'!H159,2)</f>
        <v>12.99</v>
      </c>
      <c r="G60" s="42">
        <f>+F60-D60</f>
        <v>3</v>
      </c>
      <c r="H60" s="42"/>
      <c r="I60" s="42">
        <f>ROUND('Exh CTM-6 (Rate Design)'!I159,2)</f>
        <v>16.88</v>
      </c>
      <c r="J60" s="42">
        <f>+I60-F60</f>
        <v>3.8899999999999988</v>
      </c>
      <c r="K60" s="39" t="s">
        <v>79</v>
      </c>
      <c r="L60" s="40">
        <v>29</v>
      </c>
      <c r="P60" s="40"/>
      <c r="T60" s="40"/>
      <c r="X60" s="40"/>
    </row>
    <row r="61" spans="1:24" x14ac:dyDescent="0.2">
      <c r="A61" s="37">
        <f t="shared" si="3"/>
        <v>54</v>
      </c>
      <c r="B61" s="37" t="str">
        <f>+B59</f>
        <v>29</v>
      </c>
      <c r="C61" s="41" t="s">
        <v>7</v>
      </c>
      <c r="D61" s="42">
        <v>25.36</v>
      </c>
      <c r="E61" s="42"/>
      <c r="F61" s="42">
        <f>ROUND('Exh CTM-6 (Rate Design)'!H160,2)</f>
        <v>32.97</v>
      </c>
      <c r="G61" s="42">
        <f>+F61-D61</f>
        <v>7.6099999999999994</v>
      </c>
      <c r="H61" s="42"/>
      <c r="I61" s="42">
        <f>ROUND('Exh CTM-6 (Rate Design)'!I160,2)</f>
        <v>42.86</v>
      </c>
      <c r="J61" s="42">
        <f>+I61-F61</f>
        <v>9.89</v>
      </c>
      <c r="K61" s="39" t="s">
        <v>79</v>
      </c>
      <c r="L61" s="40">
        <v>29</v>
      </c>
      <c r="P61" s="40"/>
      <c r="T61" s="40"/>
      <c r="X61" s="40"/>
    </row>
    <row r="62" spans="1:24" x14ac:dyDescent="0.2">
      <c r="A62" s="37">
        <f t="shared" si="3"/>
        <v>55</v>
      </c>
      <c r="B62" s="37" t="str">
        <f>+B59</f>
        <v>29</v>
      </c>
      <c r="C62" s="41"/>
      <c r="D62" s="42"/>
      <c r="E62" s="42"/>
      <c r="F62" s="42"/>
      <c r="G62" s="42"/>
      <c r="H62" s="42"/>
      <c r="I62" s="42"/>
      <c r="J62" s="42"/>
      <c r="P62" s="40"/>
      <c r="T62" s="40"/>
      <c r="X62" s="40"/>
    </row>
    <row r="63" spans="1:24" x14ac:dyDescent="0.2">
      <c r="A63" s="37">
        <f t="shared" si="3"/>
        <v>56</v>
      </c>
      <c r="B63" s="37" t="str">
        <f>+B59</f>
        <v>29</v>
      </c>
      <c r="C63" s="41" t="s">
        <v>86</v>
      </c>
      <c r="D63" s="44">
        <v>9.1401999999999997E-2</v>
      </c>
      <c r="E63" s="44"/>
      <c r="F63" s="44">
        <f>ROUND('Exh CTM-6 (Rate Design)'!H163,6)</f>
        <v>0.110945</v>
      </c>
      <c r="G63" s="44">
        <f>+F63-D63</f>
        <v>1.9543000000000005E-2</v>
      </c>
      <c r="H63" s="44"/>
      <c r="I63" s="44">
        <f>ROUND('Exh CTM-6 (Rate Design)'!I163,6)</f>
        <v>0.115643</v>
      </c>
      <c r="J63" s="44">
        <f>+I63-F63</f>
        <v>4.6979999999999938E-3</v>
      </c>
      <c r="K63" s="39" t="s">
        <v>79</v>
      </c>
      <c r="L63" s="40">
        <v>29</v>
      </c>
      <c r="N63" s="44">
        <f>ROUND(+'Exh CTM-6 (141CGR)'!H22,6)</f>
        <v>1.0089999999999999E-3</v>
      </c>
      <c r="O63" s="44" t="s">
        <v>5</v>
      </c>
      <c r="P63" s="43" t="str">
        <f>P$12</f>
        <v>Sheet No. 141CGR</v>
      </c>
      <c r="R63" s="44">
        <f>ROUND('Exh CTM-6 (141DCARB)'!G18,6)</f>
        <v>3.5100000000000002E-4</v>
      </c>
      <c r="S63" s="44" t="s">
        <v>5</v>
      </c>
      <c r="T63" s="43" t="str">
        <f>T$12</f>
        <v>Sheet No. 141DCARB</v>
      </c>
      <c r="V63" s="44">
        <f>ROUND(+'Exh CTM-6 (141WFP)'!G22,6)</f>
        <v>1.2E-5</v>
      </c>
      <c r="W63" s="44" t="s">
        <v>5</v>
      </c>
      <c r="X63" s="43" t="str">
        <f>X$12</f>
        <v>Sheet No. 141WFR</v>
      </c>
    </row>
    <row r="64" spans="1:24" x14ac:dyDescent="0.2">
      <c r="A64" s="37">
        <f t="shared" si="3"/>
        <v>57</v>
      </c>
      <c r="B64" s="37" t="str">
        <f>+B59</f>
        <v>29</v>
      </c>
      <c r="C64" s="41" t="s">
        <v>85</v>
      </c>
      <c r="D64" s="44">
        <v>6.9417000000000006E-2</v>
      </c>
      <c r="E64" s="44"/>
      <c r="F64" s="44">
        <f>ROUND('Exh CTM-6 (Rate Design)'!H164,6)</f>
        <v>8.8959999999999997E-2</v>
      </c>
      <c r="G64" s="44">
        <f>+F64-D64</f>
        <v>1.9542999999999991E-2</v>
      </c>
      <c r="H64" s="44"/>
      <c r="I64" s="44">
        <f>ROUND('Exh CTM-6 (Rate Design)'!I164,6)</f>
        <v>9.3658000000000005E-2</v>
      </c>
      <c r="J64" s="44">
        <f>+I64-F64</f>
        <v>4.6980000000000077E-3</v>
      </c>
      <c r="K64" s="39" t="s">
        <v>79</v>
      </c>
      <c r="L64" s="40">
        <v>29</v>
      </c>
      <c r="N64" s="44">
        <f>N63</f>
        <v>1.0089999999999999E-3</v>
      </c>
      <c r="O64" s="44" t="s">
        <v>5</v>
      </c>
      <c r="P64" s="43" t="str">
        <f>P$12</f>
        <v>Sheet No. 141CGR</v>
      </c>
      <c r="R64" s="44">
        <f>R63</f>
        <v>3.5100000000000002E-4</v>
      </c>
      <c r="S64" s="44" t="s">
        <v>5</v>
      </c>
      <c r="T64" s="43" t="str">
        <f>T$12</f>
        <v>Sheet No. 141DCARB</v>
      </c>
      <c r="V64" s="44">
        <f>V63</f>
        <v>1.2E-5</v>
      </c>
      <c r="W64" s="44" t="s">
        <v>5</v>
      </c>
      <c r="X64" s="43" t="str">
        <f>X$12</f>
        <v>Sheet No. 141WFR</v>
      </c>
    </row>
    <row r="65" spans="1:24" x14ac:dyDescent="0.2">
      <c r="A65" s="37">
        <f t="shared" si="3"/>
        <v>58</v>
      </c>
      <c r="B65" s="37" t="str">
        <f>+B59</f>
        <v>29</v>
      </c>
      <c r="C65" s="41" t="s">
        <v>84</v>
      </c>
      <c r="D65" s="44">
        <v>6.3336000000000003E-2</v>
      </c>
      <c r="E65" s="44"/>
      <c r="F65" s="44">
        <f>ROUND('Exh CTM-6 (Rate Design)'!H165,6)</f>
        <v>8.2878999999999994E-2</v>
      </c>
      <c r="G65" s="44">
        <f>+F65-D65</f>
        <v>1.9542999999999991E-2</v>
      </c>
      <c r="H65" s="44"/>
      <c r="I65" s="44">
        <f>ROUND('Exh CTM-6 (Rate Design)'!I165,6)</f>
        <v>8.7577000000000002E-2</v>
      </c>
      <c r="J65" s="44">
        <f>+I65-F65</f>
        <v>4.6980000000000077E-3</v>
      </c>
      <c r="K65" s="39" t="s">
        <v>79</v>
      </c>
      <c r="L65" s="40">
        <v>29</v>
      </c>
      <c r="N65" s="44">
        <f>N64</f>
        <v>1.0089999999999999E-3</v>
      </c>
      <c r="O65" s="44" t="s">
        <v>5</v>
      </c>
      <c r="P65" s="43" t="str">
        <f>P$12</f>
        <v>Sheet No. 141CGR</v>
      </c>
      <c r="R65" s="44">
        <f>R64</f>
        <v>3.5100000000000002E-4</v>
      </c>
      <c r="S65" s="44" t="s">
        <v>5</v>
      </c>
      <c r="T65" s="43" t="str">
        <f>T$12</f>
        <v>Sheet No. 141DCARB</v>
      </c>
      <c r="V65" s="44">
        <f>V64</f>
        <v>1.2E-5</v>
      </c>
      <c r="W65" s="44" t="s">
        <v>5</v>
      </c>
      <c r="X65" s="43" t="str">
        <f>X$12</f>
        <v>Sheet No. 141WFR</v>
      </c>
    </row>
    <row r="66" spans="1:24" x14ac:dyDescent="0.2">
      <c r="A66" s="37">
        <f t="shared" si="3"/>
        <v>59</v>
      </c>
      <c r="B66" s="37" t="str">
        <f>+B59</f>
        <v>29</v>
      </c>
      <c r="C66" s="41" t="s">
        <v>83</v>
      </c>
      <c r="D66" s="44">
        <v>5.4267999999999997E-2</v>
      </c>
      <c r="E66" s="44"/>
      <c r="F66" s="44">
        <f>ROUND('Exh CTM-6 (Rate Design)'!H166,6)</f>
        <v>7.3811000000000002E-2</v>
      </c>
      <c r="G66" s="44">
        <f>+F66-D66</f>
        <v>1.9543000000000005E-2</v>
      </c>
      <c r="H66" s="44"/>
      <c r="I66" s="44">
        <f>ROUND('Exh CTM-6 (Rate Design)'!I166,6)</f>
        <v>7.8508999999999995E-2</v>
      </c>
      <c r="J66" s="44">
        <f>+I66-F66</f>
        <v>4.6979999999999938E-3</v>
      </c>
      <c r="K66" s="39" t="s">
        <v>79</v>
      </c>
      <c r="L66" s="40">
        <v>29</v>
      </c>
      <c r="N66" s="44">
        <f>N65</f>
        <v>1.0089999999999999E-3</v>
      </c>
      <c r="O66" s="44" t="s">
        <v>5</v>
      </c>
      <c r="P66" s="43" t="str">
        <f>P$12</f>
        <v>Sheet No. 141CGR</v>
      </c>
      <c r="R66" s="44">
        <f>R65</f>
        <v>3.5100000000000002E-4</v>
      </c>
      <c r="S66" s="44" t="s">
        <v>5</v>
      </c>
      <c r="T66" s="43" t="str">
        <f>T$12</f>
        <v>Sheet No. 141DCARB</v>
      </c>
      <c r="V66" s="44">
        <f>V65</f>
        <v>1.2E-5</v>
      </c>
      <c r="W66" s="44" t="s">
        <v>5</v>
      </c>
      <c r="X66" s="43" t="str">
        <f>X$12</f>
        <v>Sheet No. 141WFR</v>
      </c>
    </row>
    <row r="67" spans="1:24" x14ac:dyDescent="0.2">
      <c r="A67" s="37">
        <f t="shared" si="3"/>
        <v>60</v>
      </c>
      <c r="B67" s="37" t="str">
        <f>+B59</f>
        <v>29</v>
      </c>
      <c r="C67" s="46"/>
      <c r="O67" s="44"/>
      <c r="P67" s="40"/>
      <c r="S67" s="44"/>
      <c r="T67" s="40"/>
      <c r="W67" s="44"/>
      <c r="X67" s="40"/>
    </row>
    <row r="68" spans="1:24" x14ac:dyDescent="0.2">
      <c r="A68" s="37">
        <f t="shared" si="3"/>
        <v>61</v>
      </c>
      <c r="B68" s="37" t="str">
        <f>+B59</f>
        <v>29</v>
      </c>
      <c r="C68" s="41" t="s">
        <v>82</v>
      </c>
      <c r="D68" s="42">
        <v>0</v>
      </c>
      <c r="E68" s="42"/>
      <c r="F68" s="42">
        <v>0</v>
      </c>
      <c r="G68" s="42">
        <f>+F68-D68</f>
        <v>0</v>
      </c>
      <c r="H68" s="42"/>
      <c r="I68" s="42">
        <v>0</v>
      </c>
      <c r="J68" s="42">
        <f>+I68-F68</f>
        <v>0</v>
      </c>
      <c r="K68" s="43" t="s">
        <v>43</v>
      </c>
      <c r="L68" s="43" t="s">
        <v>43</v>
      </c>
      <c r="O68" s="44"/>
      <c r="P68" s="40"/>
      <c r="S68" s="44"/>
      <c r="T68" s="40"/>
      <c r="W68" s="44"/>
      <c r="X68" s="40"/>
    </row>
    <row r="69" spans="1:24" x14ac:dyDescent="0.2">
      <c r="A69" s="37">
        <f t="shared" si="3"/>
        <v>62</v>
      </c>
      <c r="B69" s="37" t="str">
        <f>+B59</f>
        <v>29</v>
      </c>
      <c r="C69" s="41" t="s">
        <v>81</v>
      </c>
      <c r="D69" s="42">
        <v>9.2200000000000006</v>
      </c>
      <c r="E69" s="42"/>
      <c r="F69" s="42">
        <f>ROUND('Exh CTM-6 (Rate Design)'!H173,2)</f>
        <v>11.99</v>
      </c>
      <c r="G69" s="42">
        <f>+F69-D69</f>
        <v>2.7699999999999996</v>
      </c>
      <c r="H69" s="42"/>
      <c r="I69" s="42">
        <f>ROUND('Exh CTM-6 (Rate Design)'!I173,2)</f>
        <v>15.58</v>
      </c>
      <c r="J69" s="42">
        <f>+I69-F69</f>
        <v>3.59</v>
      </c>
      <c r="K69" s="39" t="s">
        <v>79</v>
      </c>
      <c r="L69" s="40">
        <v>29</v>
      </c>
      <c r="N69" s="42">
        <f>ROUND(+'Exh CTM-6 (141CGR)'!H23,2)</f>
        <v>5.51</v>
      </c>
      <c r="O69" s="44" t="s">
        <v>61</v>
      </c>
      <c r="P69" s="43" t="str">
        <f>P$12</f>
        <v>Sheet No. 141CGR</v>
      </c>
      <c r="R69" s="42"/>
      <c r="S69" s="44"/>
      <c r="T69" s="43"/>
      <c r="V69" s="42">
        <f>ROUND(+'Exh CTM-6 (141WFP)'!G23,2)</f>
        <v>2.79</v>
      </c>
      <c r="W69" s="44" t="s">
        <v>61</v>
      </c>
      <c r="X69" s="43" t="str">
        <f>X$12</f>
        <v>Sheet No. 141WFR</v>
      </c>
    </row>
    <row r="70" spans="1:24" x14ac:dyDescent="0.2">
      <c r="A70" s="37">
        <f t="shared" si="3"/>
        <v>63</v>
      </c>
      <c r="B70" s="37" t="str">
        <f>+B59</f>
        <v>29</v>
      </c>
      <c r="C70" s="41" t="s">
        <v>80</v>
      </c>
      <c r="D70" s="42">
        <v>4.54</v>
      </c>
      <c r="E70" s="42"/>
      <c r="F70" s="42">
        <f>ROUND('Exh CTM-6 (Rate Design)'!H174,2)</f>
        <v>5.9</v>
      </c>
      <c r="G70" s="42">
        <f>+F70-D70</f>
        <v>1.3600000000000003</v>
      </c>
      <c r="H70" s="42"/>
      <c r="I70" s="42">
        <f>ROUND('Exh CTM-6 (Rate Design)'!I174,2)</f>
        <v>7.67</v>
      </c>
      <c r="J70" s="42">
        <f>+I70-F70</f>
        <v>1.7699999999999996</v>
      </c>
      <c r="K70" s="39" t="s">
        <v>79</v>
      </c>
      <c r="L70" s="40">
        <v>29</v>
      </c>
      <c r="N70" s="42">
        <f>N69</f>
        <v>5.51</v>
      </c>
      <c r="O70" s="44" t="s">
        <v>61</v>
      </c>
      <c r="P70" s="43" t="str">
        <f>P$12</f>
        <v>Sheet No. 141CGR</v>
      </c>
      <c r="R70" s="42"/>
      <c r="S70" s="44"/>
      <c r="T70" s="43"/>
      <c r="V70" s="42">
        <f>V69</f>
        <v>2.79</v>
      </c>
      <c r="W70" s="44" t="s">
        <v>61</v>
      </c>
      <c r="X70" s="43" t="str">
        <f>X$12</f>
        <v>Sheet No. 141WFR</v>
      </c>
    </row>
    <row r="71" spans="1:24" x14ac:dyDescent="0.2">
      <c r="A71" s="37">
        <f t="shared" si="3"/>
        <v>64</v>
      </c>
      <c r="B71" s="37" t="str">
        <f>+B59</f>
        <v>29</v>
      </c>
      <c r="C71" s="41"/>
      <c r="D71" s="42"/>
      <c r="E71" s="42"/>
      <c r="F71" s="42"/>
      <c r="G71" s="42"/>
      <c r="H71" s="42"/>
      <c r="I71" s="42"/>
      <c r="J71" s="42"/>
      <c r="O71" s="44"/>
      <c r="P71" s="40"/>
      <c r="S71" s="44"/>
      <c r="T71" s="40"/>
      <c r="W71" s="44"/>
      <c r="X71" s="40"/>
    </row>
    <row r="72" spans="1:24" x14ac:dyDescent="0.2">
      <c r="A72" s="37">
        <f t="shared" si="3"/>
        <v>65</v>
      </c>
      <c r="B72" s="37" t="str">
        <f>+B59</f>
        <v>29</v>
      </c>
      <c r="C72" s="41" t="s">
        <v>59</v>
      </c>
      <c r="D72" s="47">
        <v>2.9299999999999999E-3</v>
      </c>
      <c r="E72" s="47"/>
      <c r="F72" s="47">
        <f>ROUND('Exh CTM-6 (Rate Design)'!H177,5)</f>
        <v>3.81E-3</v>
      </c>
      <c r="G72" s="47">
        <f>+F72-D72</f>
        <v>8.8000000000000014E-4</v>
      </c>
      <c r="H72" s="47"/>
      <c r="I72" s="47">
        <f>ROUND('Exh CTM-6 (Rate Design)'!I177,5)</f>
        <v>4.9500000000000004E-3</v>
      </c>
      <c r="J72" s="47">
        <f>+I72-F72</f>
        <v>1.1400000000000004E-3</v>
      </c>
      <c r="K72" s="39" t="s">
        <v>79</v>
      </c>
      <c r="L72" s="40">
        <v>29</v>
      </c>
      <c r="O72" s="44"/>
      <c r="P72" s="40"/>
      <c r="S72" s="44"/>
      <c r="T72" s="40"/>
      <c r="W72" s="44"/>
      <c r="X72" s="40"/>
    </row>
    <row r="73" spans="1:24" x14ac:dyDescent="0.2">
      <c r="A73" s="37">
        <f t="shared" ref="A73:A104" si="6">+A72+1</f>
        <v>66</v>
      </c>
      <c r="O73" s="44"/>
      <c r="P73" s="40"/>
      <c r="S73" s="44"/>
      <c r="T73" s="40"/>
      <c r="W73" s="44"/>
      <c r="X73" s="40"/>
    </row>
    <row r="74" spans="1:24" x14ac:dyDescent="0.2">
      <c r="A74" s="37">
        <f t="shared" si="6"/>
        <v>67</v>
      </c>
      <c r="B74" s="45" t="s">
        <v>78</v>
      </c>
      <c r="C74" s="43" t="s">
        <v>77</v>
      </c>
      <c r="O74" s="44"/>
      <c r="P74" s="40"/>
      <c r="S74" s="44"/>
      <c r="T74" s="40"/>
      <c r="W74" s="44"/>
      <c r="X74" s="40"/>
    </row>
    <row r="75" spans="1:24" x14ac:dyDescent="0.2">
      <c r="A75" s="37">
        <f t="shared" si="6"/>
        <v>68</v>
      </c>
      <c r="B75" s="37" t="str">
        <f>+B74</f>
        <v>10 (31)</v>
      </c>
      <c r="C75" s="41" t="s">
        <v>63</v>
      </c>
      <c r="D75" s="42">
        <v>358.11</v>
      </c>
      <c r="E75" s="42"/>
      <c r="F75" s="42">
        <f>ROUND('Exh CTM-6 (Rate Design)'!H188,2)</f>
        <v>465.54</v>
      </c>
      <c r="G75" s="42">
        <f>+F75-D75</f>
        <v>107.43</v>
      </c>
      <c r="H75" s="42"/>
      <c r="I75" s="42">
        <f>ROUND('Exh CTM-6 (Rate Design)'!I188,2)</f>
        <v>605.21</v>
      </c>
      <c r="J75" s="42">
        <f>+I75-F75</f>
        <v>139.67000000000002</v>
      </c>
      <c r="K75" s="39" t="s">
        <v>71</v>
      </c>
      <c r="L75" s="40">
        <v>31</v>
      </c>
      <c r="O75" s="44"/>
      <c r="P75" s="40"/>
      <c r="S75" s="44"/>
      <c r="T75" s="40"/>
      <c r="W75" s="44"/>
      <c r="X75" s="40"/>
    </row>
    <row r="76" spans="1:24" x14ac:dyDescent="0.2">
      <c r="A76" s="37">
        <f t="shared" si="6"/>
        <v>69</v>
      </c>
      <c r="B76" s="37" t="str">
        <f>+B74</f>
        <v>10 (31)</v>
      </c>
      <c r="C76" s="41"/>
      <c r="D76" s="42"/>
      <c r="E76" s="42"/>
      <c r="F76" s="42"/>
      <c r="G76" s="42"/>
      <c r="H76" s="42"/>
      <c r="I76" s="42"/>
      <c r="J76" s="42"/>
      <c r="P76" s="40"/>
      <c r="T76" s="40"/>
      <c r="X76" s="40"/>
    </row>
    <row r="77" spans="1:24" x14ac:dyDescent="0.2">
      <c r="A77" s="37">
        <f t="shared" si="6"/>
        <v>70</v>
      </c>
      <c r="B77" s="37" t="str">
        <f>+B74</f>
        <v>10 (31)</v>
      </c>
      <c r="C77" s="41" t="s">
        <v>33</v>
      </c>
      <c r="D77" s="44">
        <v>5.5718999999999998E-2</v>
      </c>
      <c r="E77" s="44"/>
      <c r="F77" s="44">
        <f>ROUND('Exh CTM-6 (Rate Design)'!H190,6)</f>
        <v>7.0125999999999994E-2</v>
      </c>
      <c r="G77" s="44">
        <f>+F77-D77</f>
        <v>1.4406999999999996E-2</v>
      </c>
      <c r="H77" s="44"/>
      <c r="I77" s="44">
        <f>ROUND('Exh CTM-6 (Rate Design)'!I190,6)</f>
        <v>7.0437E-2</v>
      </c>
      <c r="J77" s="44">
        <f>+I77-F77</f>
        <v>3.1100000000000572E-4</v>
      </c>
      <c r="K77" s="39" t="s">
        <v>71</v>
      </c>
      <c r="L77" s="40">
        <v>31</v>
      </c>
      <c r="N77" s="44">
        <f>ROUND(+'Exh CTM-6 (141CGR)'!H26,6)</f>
        <v>8.3500000000000002E-4</v>
      </c>
      <c r="O77" s="44" t="s">
        <v>5</v>
      </c>
      <c r="P77" s="43" t="str">
        <f>P$12</f>
        <v>Sheet No. 141CGR</v>
      </c>
      <c r="R77" s="44">
        <f>ROUND('Exh CTM-6 (141DCARB)'!G20,6)</f>
        <v>2.0999999999999999E-5</v>
      </c>
      <c r="S77" s="44" t="s">
        <v>5</v>
      </c>
      <c r="T77" s="43" t="str">
        <f>T$12</f>
        <v>Sheet No. 141DCARB</v>
      </c>
      <c r="V77" s="44">
        <f>ROUND(+'Exh CTM-6 (141WFP)'!G26,6)</f>
        <v>1.1E-5</v>
      </c>
      <c r="W77" s="44" t="s">
        <v>5</v>
      </c>
      <c r="X77" s="43" t="str">
        <f>X$12</f>
        <v>Sheet No. 141WFR</v>
      </c>
    </row>
    <row r="78" spans="1:24" x14ac:dyDescent="0.2">
      <c r="A78" s="37">
        <f t="shared" si="6"/>
        <v>71</v>
      </c>
      <c r="B78" s="37" t="str">
        <f>+B74</f>
        <v>10 (31)</v>
      </c>
      <c r="C78" s="46"/>
      <c r="O78" s="44"/>
      <c r="P78" s="40"/>
      <c r="S78" s="44"/>
      <c r="T78" s="40"/>
      <c r="W78" s="44"/>
      <c r="X78" s="40"/>
    </row>
    <row r="79" spans="1:24" x14ac:dyDescent="0.2">
      <c r="A79" s="37">
        <f t="shared" si="6"/>
        <v>72</v>
      </c>
      <c r="B79" s="37" t="str">
        <f>+B74</f>
        <v>10 (31)</v>
      </c>
      <c r="C79" s="41" t="s">
        <v>76</v>
      </c>
      <c r="D79" s="42">
        <v>11.94</v>
      </c>
      <c r="E79" s="42"/>
      <c r="F79" s="42">
        <f>ROUND('Exh CTM-6 (Rate Design)'!H197,2)</f>
        <v>15.52</v>
      </c>
      <c r="G79" s="42">
        <f t="shared" ref="G79:G84" si="7">+F79-D79</f>
        <v>3.58</v>
      </c>
      <c r="H79" s="42"/>
      <c r="I79" s="42">
        <f>ROUND('Exh CTM-6 (Rate Design)'!I197,2)</f>
        <v>20.18</v>
      </c>
      <c r="J79" s="42">
        <f t="shared" ref="J79:J84" si="8">+I79-F79</f>
        <v>4.66</v>
      </c>
      <c r="K79" s="39" t="s">
        <v>71</v>
      </c>
      <c r="L79" s="40">
        <v>31</v>
      </c>
      <c r="N79" s="42">
        <f>ROUND(+'Exh CTM-6 (141CGR)'!H27,2)</f>
        <v>0.82</v>
      </c>
      <c r="O79" s="44" t="s">
        <v>61</v>
      </c>
      <c r="P79" s="43" t="str">
        <f>P$12</f>
        <v>Sheet No. 141CGR</v>
      </c>
      <c r="R79" s="42"/>
      <c r="S79" s="44"/>
      <c r="T79" s="43"/>
      <c r="V79" s="42">
        <f>ROUND(+'Exh CTM-6 (141WFP)'!G27,2)</f>
        <v>0.39</v>
      </c>
      <c r="W79" s="44" t="s">
        <v>61</v>
      </c>
      <c r="X79" s="43" t="str">
        <f>X$12</f>
        <v>Sheet No. 141WFR</v>
      </c>
    </row>
    <row r="80" spans="1:24" x14ac:dyDescent="0.2">
      <c r="A80" s="37">
        <f t="shared" si="6"/>
        <v>73</v>
      </c>
      <c r="B80" s="37" t="str">
        <f>+B74</f>
        <v>10 (31)</v>
      </c>
      <c r="C80" s="48" t="s">
        <v>74</v>
      </c>
      <c r="D80" s="42">
        <v>5.85</v>
      </c>
      <c r="E80" s="42"/>
      <c r="F80" s="42">
        <f>ROUND('Exh CTM-6 (Rate Design)'!H214,2)</f>
        <v>8.5399999999999991</v>
      </c>
      <c r="G80" s="42">
        <f t="shared" si="7"/>
        <v>2.6899999999999995</v>
      </c>
      <c r="H80" s="42"/>
      <c r="I80" s="42">
        <f>ROUND('Exh CTM-6 (Rate Design)'!I214,2)</f>
        <v>11.1</v>
      </c>
      <c r="J80" s="42">
        <f t="shared" si="8"/>
        <v>2.5600000000000005</v>
      </c>
      <c r="K80" s="39" t="s">
        <v>71</v>
      </c>
      <c r="L80" s="40" t="s">
        <v>72</v>
      </c>
      <c r="N80" s="42">
        <f>N79</f>
        <v>0.82</v>
      </c>
      <c r="O80" s="42" t="str">
        <f>O79</f>
        <v xml:space="preserve"> / kW</v>
      </c>
      <c r="P80" s="43" t="str">
        <f>P$12</f>
        <v>Sheet No. 141CGR</v>
      </c>
      <c r="R80" s="42"/>
      <c r="S80" s="42"/>
      <c r="T80" s="42"/>
      <c r="V80" s="42">
        <f>V79</f>
        <v>0.39</v>
      </c>
      <c r="W80" s="42" t="str">
        <f>W79</f>
        <v xml:space="preserve"> / kW</v>
      </c>
      <c r="X80" s="43" t="str">
        <f>X$12</f>
        <v>Sheet No. 141WFR</v>
      </c>
    </row>
    <row r="81" spans="1:24" x14ac:dyDescent="0.2">
      <c r="A81" s="37">
        <f t="shared" si="6"/>
        <v>74</v>
      </c>
      <c r="B81" s="37" t="str">
        <f>+B74</f>
        <v>10 (31)</v>
      </c>
      <c r="C81" s="48" t="s">
        <v>73</v>
      </c>
      <c r="D81" s="42">
        <v>6.09</v>
      </c>
      <c r="E81" s="42"/>
      <c r="F81" s="42">
        <f>ROUND('Exh CTM-6 (Rate Design)'!H219,2)</f>
        <v>6.98</v>
      </c>
      <c r="G81" s="42">
        <f t="shared" si="7"/>
        <v>0.89000000000000057</v>
      </c>
      <c r="H81" s="42"/>
      <c r="I81" s="42">
        <f>ROUND('Exh CTM-6 (Rate Design)'!I219,2)</f>
        <v>9.08</v>
      </c>
      <c r="J81" s="42">
        <f t="shared" si="8"/>
        <v>2.0999999999999996</v>
      </c>
      <c r="K81" s="39" t="s">
        <v>71</v>
      </c>
      <c r="L81" s="40" t="s">
        <v>72</v>
      </c>
      <c r="O81" s="44"/>
      <c r="P81" s="40"/>
      <c r="S81" s="44"/>
      <c r="T81" s="40"/>
      <c r="W81" s="44"/>
      <c r="X81" s="40"/>
    </row>
    <row r="82" spans="1:24" x14ac:dyDescent="0.2">
      <c r="A82" s="37">
        <f t="shared" si="6"/>
        <v>75</v>
      </c>
      <c r="B82" s="37" t="str">
        <f>+B74</f>
        <v>10 (31)</v>
      </c>
      <c r="C82" s="41" t="s">
        <v>75</v>
      </c>
      <c r="D82" s="42">
        <v>7.96</v>
      </c>
      <c r="E82" s="42"/>
      <c r="F82" s="42">
        <f>ROUND('Exh CTM-6 (Rate Design)'!H198,2)</f>
        <v>10.35</v>
      </c>
      <c r="G82" s="42">
        <f t="shared" si="7"/>
        <v>2.3899999999999997</v>
      </c>
      <c r="H82" s="42"/>
      <c r="I82" s="42">
        <f>ROUND('Exh CTM-6 (Rate Design)'!I198,2)</f>
        <v>13.45</v>
      </c>
      <c r="J82" s="42">
        <f t="shared" si="8"/>
        <v>3.0999999999999996</v>
      </c>
      <c r="K82" s="39" t="s">
        <v>71</v>
      </c>
      <c r="L82" s="40">
        <v>31</v>
      </c>
      <c r="N82" s="42">
        <f>N79</f>
        <v>0.82</v>
      </c>
      <c r="O82" s="44" t="s">
        <v>61</v>
      </c>
      <c r="P82" s="43" t="str">
        <f>P$12</f>
        <v>Sheet No. 141CGR</v>
      </c>
      <c r="R82" s="42"/>
      <c r="S82" s="44"/>
      <c r="T82" s="43"/>
      <c r="V82" s="42">
        <f>V79</f>
        <v>0.39</v>
      </c>
      <c r="W82" s="44" t="s">
        <v>61</v>
      </c>
      <c r="X82" s="43" t="str">
        <f>X$12</f>
        <v>Sheet No. 141WFR</v>
      </c>
    </row>
    <row r="83" spans="1:24" x14ac:dyDescent="0.2">
      <c r="A83" s="37">
        <f t="shared" si="6"/>
        <v>76</v>
      </c>
      <c r="B83" s="37" t="str">
        <f>+B74</f>
        <v>10 (31)</v>
      </c>
      <c r="C83" s="48" t="s">
        <v>74</v>
      </c>
      <c r="D83" s="42">
        <v>3.9</v>
      </c>
      <c r="E83" s="42"/>
      <c r="F83" s="42">
        <f>ROUND('Exh CTM-6 (Rate Design)'!H215,2)</f>
        <v>5.69</v>
      </c>
      <c r="G83" s="42">
        <f t="shared" si="7"/>
        <v>1.7900000000000005</v>
      </c>
      <c r="H83" s="42"/>
      <c r="I83" s="42">
        <f>ROUND('Exh CTM-6 (Rate Design)'!I215,2)</f>
        <v>7.4</v>
      </c>
      <c r="J83" s="42">
        <f t="shared" si="8"/>
        <v>1.71</v>
      </c>
      <c r="K83" s="39" t="s">
        <v>71</v>
      </c>
      <c r="L83" s="40" t="s">
        <v>72</v>
      </c>
      <c r="N83" s="42">
        <f>N82</f>
        <v>0.82</v>
      </c>
      <c r="O83" s="42" t="str">
        <f>O82</f>
        <v xml:space="preserve"> / kW</v>
      </c>
      <c r="P83" s="43" t="str">
        <f>P$12</f>
        <v>Sheet No. 141CGR</v>
      </c>
      <c r="R83" s="42"/>
      <c r="S83" s="42"/>
      <c r="T83" s="42"/>
      <c r="V83" s="42">
        <f>V82</f>
        <v>0.39</v>
      </c>
      <c r="W83" s="42" t="str">
        <f>W82</f>
        <v xml:space="preserve"> / kW</v>
      </c>
      <c r="X83" s="43" t="str">
        <f>X$12</f>
        <v>Sheet No. 141WFR</v>
      </c>
    </row>
    <row r="84" spans="1:24" x14ac:dyDescent="0.2">
      <c r="A84" s="37">
        <f t="shared" si="6"/>
        <v>77</v>
      </c>
      <c r="B84" s="37" t="str">
        <f>+B74</f>
        <v>10 (31)</v>
      </c>
      <c r="C84" s="48" t="s">
        <v>73</v>
      </c>
      <c r="D84" s="42">
        <v>4.0599999999999996</v>
      </c>
      <c r="E84" s="42"/>
      <c r="F84" s="42">
        <f>ROUND('Exh CTM-6 (Rate Design)'!H220,2)</f>
        <v>4.66</v>
      </c>
      <c r="G84" s="42">
        <f t="shared" si="7"/>
        <v>0.60000000000000053</v>
      </c>
      <c r="H84" s="42"/>
      <c r="I84" s="42">
        <f>ROUND('Exh CTM-6 (Rate Design)'!I220,2)</f>
        <v>6.05</v>
      </c>
      <c r="J84" s="42">
        <f t="shared" si="8"/>
        <v>1.3899999999999997</v>
      </c>
      <c r="K84" s="39" t="s">
        <v>71</v>
      </c>
      <c r="L84" s="40" t="s">
        <v>72</v>
      </c>
      <c r="O84" s="44"/>
      <c r="P84" s="40"/>
      <c r="S84" s="44"/>
      <c r="T84" s="40"/>
      <c r="W84" s="44"/>
      <c r="X84" s="40"/>
    </row>
    <row r="85" spans="1:24" x14ac:dyDescent="0.2">
      <c r="A85" s="37">
        <f t="shared" si="6"/>
        <v>78</v>
      </c>
      <c r="B85" s="37" t="str">
        <f>+B74</f>
        <v>10 (31)</v>
      </c>
      <c r="C85" s="41"/>
      <c r="D85" s="42"/>
      <c r="E85" s="42"/>
      <c r="F85" s="42"/>
      <c r="G85" s="42"/>
      <c r="H85" s="42"/>
      <c r="I85" s="42"/>
      <c r="J85" s="42"/>
      <c r="O85" s="44"/>
      <c r="P85" s="40"/>
      <c r="S85" s="44"/>
      <c r="T85" s="40"/>
      <c r="W85" s="44"/>
      <c r="X85" s="40"/>
    </row>
    <row r="86" spans="1:24" x14ac:dyDescent="0.2">
      <c r="A86" s="37">
        <f t="shared" si="6"/>
        <v>79</v>
      </c>
      <c r="B86" s="37" t="str">
        <f>+B74</f>
        <v>10 (31)</v>
      </c>
      <c r="C86" s="41" t="s">
        <v>59</v>
      </c>
      <c r="D86" s="47">
        <v>1.1199999999999999E-3</v>
      </c>
      <c r="E86" s="47"/>
      <c r="F86" s="47">
        <f>ROUND('Exh CTM-6 (Rate Design)'!H201,5)</f>
        <v>1.4599999999999999E-3</v>
      </c>
      <c r="G86" s="47">
        <f>+F86-D86</f>
        <v>3.4000000000000002E-4</v>
      </c>
      <c r="H86" s="47"/>
      <c r="I86" s="47">
        <f>ROUND('Exh CTM-6 (Rate Design)'!I201,5)</f>
        <v>1.89E-3</v>
      </c>
      <c r="J86" s="47">
        <f>+I86-F86</f>
        <v>4.3000000000000004E-4</v>
      </c>
      <c r="K86" s="39" t="s">
        <v>71</v>
      </c>
      <c r="L86" s="40">
        <v>31</v>
      </c>
      <c r="O86" s="44"/>
      <c r="P86" s="40"/>
      <c r="S86" s="44"/>
      <c r="T86" s="40"/>
      <c r="W86" s="44"/>
      <c r="X86" s="40"/>
    </row>
    <row r="87" spans="1:24" x14ac:dyDescent="0.2">
      <c r="A87" s="37">
        <f t="shared" si="6"/>
        <v>80</v>
      </c>
      <c r="O87" s="44"/>
      <c r="P87" s="40"/>
      <c r="S87" s="44"/>
      <c r="T87" s="40"/>
      <c r="W87" s="44"/>
      <c r="X87" s="40"/>
    </row>
    <row r="88" spans="1:24" x14ac:dyDescent="0.2">
      <c r="A88" s="37">
        <f t="shared" si="6"/>
        <v>81</v>
      </c>
      <c r="B88" s="45" t="s">
        <v>70</v>
      </c>
      <c r="C88" s="43" t="s">
        <v>69</v>
      </c>
      <c r="O88" s="44"/>
      <c r="P88" s="40"/>
      <c r="S88" s="44"/>
      <c r="T88" s="40"/>
      <c r="W88" s="44"/>
      <c r="X88" s="40"/>
    </row>
    <row r="89" spans="1:24" x14ac:dyDescent="0.2">
      <c r="A89" s="37">
        <f t="shared" si="6"/>
        <v>82</v>
      </c>
      <c r="B89" s="37" t="str">
        <f>+B88</f>
        <v>35</v>
      </c>
      <c r="C89" s="41" t="s">
        <v>63</v>
      </c>
      <c r="D89" s="42">
        <v>358.11</v>
      </c>
      <c r="E89" s="42"/>
      <c r="F89" s="42">
        <f>ROUND('Exh CTM-6 (Rate Design)'!H237,2)</f>
        <v>465.54</v>
      </c>
      <c r="G89" s="42">
        <f>+F89-D89</f>
        <v>107.43</v>
      </c>
      <c r="H89" s="42"/>
      <c r="I89" s="42">
        <f>ROUND('Exh CTM-6 (Rate Design)'!I237,2)</f>
        <v>605.21</v>
      </c>
      <c r="J89" s="42">
        <f>+I89-F89</f>
        <v>139.67000000000002</v>
      </c>
      <c r="K89" s="39" t="s">
        <v>66</v>
      </c>
      <c r="L89" s="40">
        <v>35</v>
      </c>
      <c r="P89" s="40"/>
      <c r="T89" s="40"/>
      <c r="X89" s="40"/>
    </row>
    <row r="90" spans="1:24" x14ac:dyDescent="0.2">
      <c r="A90" s="37">
        <f t="shared" si="6"/>
        <v>83</v>
      </c>
      <c r="B90" s="37" t="str">
        <f>+B88</f>
        <v>35</v>
      </c>
      <c r="C90" s="41"/>
      <c r="D90" s="42"/>
      <c r="E90" s="42"/>
      <c r="F90" s="42"/>
      <c r="G90" s="42"/>
      <c r="H90" s="42"/>
      <c r="I90" s="42"/>
      <c r="J90" s="42"/>
      <c r="P90" s="40"/>
      <c r="T90" s="40"/>
      <c r="X90" s="40"/>
    </row>
    <row r="91" spans="1:24" x14ac:dyDescent="0.2">
      <c r="A91" s="37">
        <f t="shared" si="6"/>
        <v>84</v>
      </c>
      <c r="B91" s="37" t="str">
        <f>+B88</f>
        <v>35</v>
      </c>
      <c r="C91" s="41" t="s">
        <v>33</v>
      </c>
      <c r="D91" s="44">
        <v>5.3178000000000003E-2</v>
      </c>
      <c r="E91" s="44"/>
      <c r="F91" s="44">
        <f>ROUND('Exh CTM-6 (Rate Design)'!H239,6)</f>
        <v>8.0796000000000007E-2</v>
      </c>
      <c r="G91" s="44">
        <f>+F91-D91</f>
        <v>2.7618000000000004E-2</v>
      </c>
      <c r="H91" s="44"/>
      <c r="I91" s="44">
        <f>ROUND('Exh CTM-6 (Rate Design)'!I239,6)</f>
        <v>8.8636000000000006E-2</v>
      </c>
      <c r="J91" s="44">
        <f>+I91-F91</f>
        <v>7.8399999999999997E-3</v>
      </c>
      <c r="K91" s="39" t="s">
        <v>66</v>
      </c>
      <c r="L91" s="40">
        <v>35</v>
      </c>
      <c r="N91" s="44">
        <f>ROUND(+'Exh CTM-6 (141CGR)'!H30,6)</f>
        <v>7.6900000000000004E-4</v>
      </c>
      <c r="O91" s="44" t="s">
        <v>5</v>
      </c>
      <c r="P91" s="43" t="str">
        <f>P$12</f>
        <v>Sheet No. 141CGR</v>
      </c>
      <c r="R91" s="44">
        <f>ROUND('Exh CTM-6 (141DCARB)'!G22,6)</f>
        <v>1.9999999999999999E-6</v>
      </c>
      <c r="S91" s="44" t="s">
        <v>5</v>
      </c>
      <c r="T91" s="43" t="str">
        <f>T$12</f>
        <v>Sheet No. 141DCARB</v>
      </c>
      <c r="V91" s="44">
        <f>ROUND(+'Exh CTM-6 (141WFP)'!G30,6)</f>
        <v>1.2999999999999999E-5</v>
      </c>
      <c r="W91" s="44" t="s">
        <v>5</v>
      </c>
      <c r="X91" s="43" t="str">
        <f>X$12</f>
        <v>Sheet No. 141WFR</v>
      </c>
    </row>
    <row r="92" spans="1:24" x14ac:dyDescent="0.2">
      <c r="A92" s="37">
        <f t="shared" si="6"/>
        <v>85</v>
      </c>
      <c r="B92" s="37" t="str">
        <f>+B88</f>
        <v>35</v>
      </c>
      <c r="C92" s="46"/>
      <c r="O92" s="44"/>
      <c r="P92" s="40"/>
      <c r="S92" s="44"/>
      <c r="T92" s="40"/>
      <c r="W92" s="44"/>
      <c r="X92" s="40"/>
    </row>
    <row r="93" spans="1:24" x14ac:dyDescent="0.2">
      <c r="A93" s="37">
        <f t="shared" si="6"/>
        <v>86</v>
      </c>
      <c r="B93" s="37" t="str">
        <f>+B88</f>
        <v>35</v>
      </c>
      <c r="C93" s="41" t="s">
        <v>68</v>
      </c>
      <c r="D93" s="42">
        <v>4.92</v>
      </c>
      <c r="E93" s="42"/>
      <c r="F93" s="42">
        <f>ROUND('Exh CTM-6 (Rate Design)'!H245,2)</f>
        <v>6.4</v>
      </c>
      <c r="G93" s="42">
        <f>+F93-D93</f>
        <v>1.4800000000000004</v>
      </c>
      <c r="H93" s="42"/>
      <c r="I93" s="42">
        <f>ROUND('Exh CTM-6 (Rate Design)'!I245,2)</f>
        <v>8.31</v>
      </c>
      <c r="J93" s="42">
        <f>+I93-F93</f>
        <v>1.9100000000000001</v>
      </c>
      <c r="K93" s="39" t="s">
        <v>66</v>
      </c>
      <c r="L93" s="40">
        <v>35</v>
      </c>
      <c r="N93" s="42">
        <f>ROUND(+'Exh CTM-6 (141CGR)'!H31,2)</f>
        <v>0.96</v>
      </c>
      <c r="O93" s="44" t="s">
        <v>61</v>
      </c>
      <c r="P93" s="43" t="str">
        <f>P$12</f>
        <v>Sheet No. 141CGR</v>
      </c>
      <c r="R93" s="42"/>
      <c r="S93" s="44"/>
      <c r="T93" s="43"/>
      <c r="V93" s="42">
        <f>ROUND(+'Exh CTM-6 (141WFP)'!G31,2)</f>
        <v>2.4500000000000002</v>
      </c>
      <c r="W93" s="44" t="s">
        <v>61</v>
      </c>
      <c r="X93" s="43" t="str">
        <f>X$12</f>
        <v>Sheet No. 141WFR</v>
      </c>
    </row>
    <row r="94" spans="1:24" x14ac:dyDescent="0.2">
      <c r="A94" s="37">
        <f t="shared" si="6"/>
        <v>87</v>
      </c>
      <c r="B94" s="37" t="str">
        <f>+B88</f>
        <v>35</v>
      </c>
      <c r="C94" s="41" t="s">
        <v>67</v>
      </c>
      <c r="D94" s="42">
        <v>3.28</v>
      </c>
      <c r="E94" s="42"/>
      <c r="F94" s="42">
        <f>ROUND('Exh CTM-6 (Rate Design)'!H246,2)</f>
        <v>4.26</v>
      </c>
      <c r="G94" s="42">
        <f>+F94-D94</f>
        <v>0.98</v>
      </c>
      <c r="H94" s="42"/>
      <c r="I94" s="42">
        <f>ROUND('Exh CTM-6 (Rate Design)'!I246,2)</f>
        <v>5.54</v>
      </c>
      <c r="J94" s="42">
        <f>+I94-F94</f>
        <v>1.2800000000000002</v>
      </c>
      <c r="K94" s="39" t="s">
        <v>66</v>
      </c>
      <c r="L94" s="40">
        <v>35</v>
      </c>
      <c r="N94" s="42">
        <f>N93</f>
        <v>0.96</v>
      </c>
      <c r="O94" s="44" t="s">
        <v>61</v>
      </c>
      <c r="P94" s="43" t="str">
        <f>P$12</f>
        <v>Sheet No. 141CGR</v>
      </c>
      <c r="R94" s="42"/>
      <c r="S94" s="44"/>
      <c r="T94" s="43"/>
      <c r="V94" s="42">
        <f>V93</f>
        <v>2.4500000000000002</v>
      </c>
      <c r="W94" s="44" t="s">
        <v>61</v>
      </c>
      <c r="X94" s="43" t="str">
        <f>X$12</f>
        <v>Sheet No. 141WFR</v>
      </c>
    </row>
    <row r="95" spans="1:24" x14ac:dyDescent="0.2">
      <c r="A95" s="37">
        <f t="shared" si="6"/>
        <v>88</v>
      </c>
      <c r="B95" s="37" t="str">
        <f>+B88</f>
        <v>35</v>
      </c>
      <c r="C95" s="41"/>
      <c r="D95" s="42"/>
      <c r="E95" s="42"/>
      <c r="F95" s="42"/>
      <c r="G95" s="42"/>
      <c r="H95" s="42"/>
      <c r="I95" s="42"/>
      <c r="J95" s="42"/>
      <c r="O95" s="44"/>
      <c r="P95" s="40"/>
      <c r="S95" s="44"/>
      <c r="T95" s="40"/>
      <c r="W95" s="44"/>
      <c r="X95" s="40"/>
    </row>
    <row r="96" spans="1:24" x14ac:dyDescent="0.2">
      <c r="A96" s="37">
        <f t="shared" si="6"/>
        <v>89</v>
      </c>
      <c r="B96" s="37" t="str">
        <f>+B88</f>
        <v>35</v>
      </c>
      <c r="C96" s="41" t="s">
        <v>59</v>
      </c>
      <c r="D96" s="47">
        <v>1.1800000000000001E-3</v>
      </c>
      <c r="E96" s="47"/>
      <c r="F96" s="47">
        <f>ROUND('Exh CTM-6 (Rate Design)'!H249,5)</f>
        <v>1.5299999999999999E-3</v>
      </c>
      <c r="G96" s="47">
        <f>+F96-D96</f>
        <v>3.4999999999999983E-4</v>
      </c>
      <c r="H96" s="47"/>
      <c r="I96" s="47">
        <f>ROUND('Exh CTM-6 (Rate Design)'!I249,5)</f>
        <v>1.99E-3</v>
      </c>
      <c r="J96" s="47">
        <f>+I96-F96</f>
        <v>4.6000000000000012E-4</v>
      </c>
      <c r="K96" s="39" t="s">
        <v>66</v>
      </c>
      <c r="L96" s="40">
        <v>35</v>
      </c>
      <c r="O96" s="44"/>
      <c r="P96" s="40"/>
      <c r="S96" s="44"/>
      <c r="T96" s="40"/>
      <c r="W96" s="44"/>
      <c r="X96" s="40"/>
    </row>
    <row r="97" spans="1:24" x14ac:dyDescent="0.2">
      <c r="A97" s="37">
        <f t="shared" si="6"/>
        <v>90</v>
      </c>
      <c r="O97" s="44"/>
      <c r="P97" s="40"/>
      <c r="S97" s="44"/>
      <c r="T97" s="40"/>
      <c r="W97" s="44"/>
      <c r="X97" s="40"/>
    </row>
    <row r="98" spans="1:24" x14ac:dyDescent="0.2">
      <c r="A98" s="37">
        <f t="shared" si="6"/>
        <v>91</v>
      </c>
      <c r="B98" s="45" t="s">
        <v>65</v>
      </c>
      <c r="C98" s="43" t="s">
        <v>64</v>
      </c>
      <c r="O98" s="44"/>
      <c r="P98" s="40"/>
      <c r="S98" s="44"/>
      <c r="T98" s="40"/>
      <c r="W98" s="44"/>
      <c r="X98" s="40"/>
    </row>
    <row r="99" spans="1:24" x14ac:dyDescent="0.2">
      <c r="A99" s="37">
        <f t="shared" si="6"/>
        <v>92</v>
      </c>
      <c r="B99" s="37" t="str">
        <f>+B98</f>
        <v>43</v>
      </c>
      <c r="C99" s="41" t="s">
        <v>63</v>
      </c>
      <c r="D99" s="42">
        <v>358.11</v>
      </c>
      <c r="E99" s="42"/>
      <c r="F99" s="42">
        <f>ROUND('Exh CTM-6 (Rate Design)'!H261,2)</f>
        <v>465.54</v>
      </c>
      <c r="G99" s="42">
        <f>+F99-D99</f>
        <v>107.43</v>
      </c>
      <c r="H99" s="42"/>
      <c r="I99" s="42">
        <f>ROUND('Exh CTM-6 (Rate Design)'!I261,2)</f>
        <v>605.21</v>
      </c>
      <c r="J99" s="42">
        <f>+I99-F99</f>
        <v>139.67000000000002</v>
      </c>
      <c r="K99" s="39" t="s">
        <v>58</v>
      </c>
      <c r="L99" s="40" t="s">
        <v>57</v>
      </c>
      <c r="O99" s="44"/>
      <c r="P99" s="40"/>
      <c r="S99" s="44"/>
      <c r="T99" s="40"/>
      <c r="W99" s="44"/>
      <c r="X99" s="40"/>
    </row>
    <row r="100" spans="1:24" x14ac:dyDescent="0.2">
      <c r="A100" s="37">
        <f t="shared" si="6"/>
        <v>93</v>
      </c>
      <c r="B100" s="37" t="str">
        <f>+B98</f>
        <v>43</v>
      </c>
      <c r="C100" s="41"/>
      <c r="D100" s="42"/>
      <c r="E100" s="42"/>
      <c r="F100" s="42"/>
      <c r="G100" s="42"/>
      <c r="H100" s="42"/>
      <c r="I100" s="42"/>
      <c r="J100" s="42"/>
      <c r="O100" s="44"/>
      <c r="P100" s="40"/>
      <c r="S100" s="44"/>
      <c r="T100" s="40"/>
      <c r="W100" s="44"/>
      <c r="X100" s="40"/>
    </row>
    <row r="101" spans="1:24" x14ac:dyDescent="0.2">
      <c r="A101" s="37">
        <f t="shared" si="6"/>
        <v>94</v>
      </c>
      <c r="B101" s="37" t="str">
        <f>+B98</f>
        <v>43</v>
      </c>
      <c r="C101" s="41" t="s">
        <v>33</v>
      </c>
      <c r="D101" s="44">
        <v>5.7393E-2</v>
      </c>
      <c r="E101" s="44"/>
      <c r="F101" s="44">
        <f>ROUND('Exh CTM-6 (Rate Design)'!H263,6)</f>
        <v>7.2298000000000001E-2</v>
      </c>
      <c r="G101" s="44">
        <f>+F101-D101</f>
        <v>1.4905000000000002E-2</v>
      </c>
      <c r="H101" s="44"/>
      <c r="I101" s="44">
        <f>ROUND('Exh CTM-6 (Rate Design)'!I263,6)</f>
        <v>7.1509000000000003E-2</v>
      </c>
      <c r="J101" s="44">
        <f>+I101-F101</f>
        <v>-7.8899999999999804E-4</v>
      </c>
      <c r="K101" s="39" t="s">
        <v>58</v>
      </c>
      <c r="L101" s="40" t="s">
        <v>57</v>
      </c>
      <c r="N101" s="44">
        <f>ROUND(+'Exh CTM-6 (141CGR)'!H34,6)</f>
        <v>2.9700000000000001E-4</v>
      </c>
      <c r="O101" s="44" t="s">
        <v>5</v>
      </c>
      <c r="P101" s="43" t="str">
        <f>P$12</f>
        <v>Sheet No. 141CGR</v>
      </c>
      <c r="R101" s="44">
        <f>ROUND('Exh CTM-6 (141DCARB)'!G24,6)</f>
        <v>2.8E-5</v>
      </c>
      <c r="S101" s="44" t="s">
        <v>5</v>
      </c>
      <c r="T101" s="43" t="str">
        <f>T$12</f>
        <v>Sheet No. 141DCARB</v>
      </c>
      <c r="V101" s="44">
        <f>ROUND(+'Exh CTM-6 (141WFP)'!G34,6)</f>
        <v>1.1E-5</v>
      </c>
      <c r="W101" s="44" t="s">
        <v>5</v>
      </c>
      <c r="X101" s="43" t="str">
        <f>X$12</f>
        <v>Sheet No. 141WFR</v>
      </c>
    </row>
    <row r="102" spans="1:24" x14ac:dyDescent="0.2">
      <c r="A102" s="37">
        <f t="shared" si="6"/>
        <v>95</v>
      </c>
      <c r="B102" s="37" t="str">
        <f>+B98</f>
        <v>43</v>
      </c>
      <c r="C102" s="46"/>
      <c r="N102" s="44"/>
      <c r="O102" s="44"/>
      <c r="P102" s="40"/>
      <c r="R102" s="44"/>
      <c r="S102" s="44"/>
      <c r="T102" s="40"/>
      <c r="V102" s="44"/>
      <c r="W102" s="44"/>
      <c r="X102" s="40"/>
    </row>
    <row r="103" spans="1:24" x14ac:dyDescent="0.2">
      <c r="A103" s="37">
        <f t="shared" si="6"/>
        <v>96</v>
      </c>
      <c r="B103" s="37" t="str">
        <f>+B98</f>
        <v>43</v>
      </c>
      <c r="C103" s="41" t="s">
        <v>62</v>
      </c>
      <c r="D103" s="42">
        <v>5.01</v>
      </c>
      <c r="E103" s="42"/>
      <c r="F103" s="42">
        <f>ROUND('Exh CTM-6 (Rate Design)'!H269,2)</f>
        <v>6.51</v>
      </c>
      <c r="G103" s="42">
        <f>+F103-D103</f>
        <v>1.5</v>
      </c>
      <c r="H103" s="42"/>
      <c r="I103" s="42">
        <f>ROUND('Exh CTM-6 (Rate Design)'!I269,2)</f>
        <v>8.4700000000000006</v>
      </c>
      <c r="J103" s="42">
        <f>+I103-F103</f>
        <v>1.9600000000000009</v>
      </c>
      <c r="K103" s="39" t="s">
        <v>58</v>
      </c>
      <c r="L103" s="40" t="s">
        <v>57</v>
      </c>
      <c r="N103" s="42">
        <f>ROUND(+'Exh CTM-6 (141CGR)'!H35,2)</f>
        <v>0.15</v>
      </c>
      <c r="O103" s="44" t="s">
        <v>61</v>
      </c>
      <c r="P103" s="43" t="str">
        <f>P$12</f>
        <v>Sheet No. 141CGR</v>
      </c>
      <c r="R103" s="42"/>
      <c r="S103" s="44"/>
      <c r="T103" s="43"/>
      <c r="V103" s="42">
        <f>ROUND(+'Exh CTM-6 (141WFP)'!G35,2)</f>
        <v>0.26</v>
      </c>
      <c r="W103" s="44" t="s">
        <v>61</v>
      </c>
      <c r="X103" s="43" t="str">
        <f>X$12</f>
        <v>Sheet No. 141WFR</v>
      </c>
    </row>
    <row r="104" spans="1:24" x14ac:dyDescent="0.2">
      <c r="A104" s="37">
        <f t="shared" si="6"/>
        <v>97</v>
      </c>
      <c r="B104" s="37" t="str">
        <f>+B98</f>
        <v>43</v>
      </c>
      <c r="C104" s="41"/>
      <c r="D104" s="42"/>
      <c r="E104" s="42"/>
      <c r="F104" s="42"/>
      <c r="G104" s="42"/>
      <c r="H104" s="42"/>
      <c r="I104" s="42"/>
      <c r="J104" s="42"/>
      <c r="O104" s="44"/>
      <c r="P104" s="40"/>
      <c r="S104" s="44"/>
      <c r="T104" s="40"/>
      <c r="W104" s="44"/>
      <c r="X104" s="40"/>
    </row>
    <row r="105" spans="1:24" x14ac:dyDescent="0.2">
      <c r="A105" s="37">
        <f t="shared" ref="A105:A136" si="9">+A104+1</f>
        <v>98</v>
      </c>
      <c r="B105" s="37" t="str">
        <f>+B98</f>
        <v>43</v>
      </c>
      <c r="C105" s="41" t="s">
        <v>60</v>
      </c>
      <c r="D105" s="42">
        <v>6.93</v>
      </c>
      <c r="E105" s="42"/>
      <c r="F105" s="42">
        <f>ROUND('Exh CTM-6 (Rate Design)'!H272,2)</f>
        <v>9.01</v>
      </c>
      <c r="G105" s="42">
        <f>+F105-D105</f>
        <v>2.08</v>
      </c>
      <c r="H105" s="42"/>
      <c r="I105" s="42">
        <f>ROUND('Exh CTM-6 (Rate Design)'!I272,2)</f>
        <v>11.71</v>
      </c>
      <c r="J105" s="42">
        <f>+I105-F105</f>
        <v>2.7000000000000011</v>
      </c>
      <c r="K105" s="39" t="s">
        <v>58</v>
      </c>
      <c r="L105" s="40" t="s">
        <v>57</v>
      </c>
      <c r="O105" s="44"/>
      <c r="P105" s="40"/>
      <c r="S105" s="44"/>
      <c r="T105" s="40"/>
      <c r="W105" s="44"/>
      <c r="X105" s="40"/>
    </row>
    <row r="106" spans="1:24" x14ac:dyDescent="0.2">
      <c r="A106" s="37">
        <f t="shared" si="9"/>
        <v>99</v>
      </c>
      <c r="B106" s="37" t="str">
        <f>+B98</f>
        <v>43</v>
      </c>
      <c r="D106" s="42"/>
      <c r="E106" s="42"/>
      <c r="F106" s="42"/>
      <c r="G106" s="42"/>
      <c r="H106" s="42"/>
      <c r="I106" s="42"/>
      <c r="J106" s="42"/>
      <c r="O106" s="44"/>
      <c r="P106" s="40"/>
      <c r="S106" s="44"/>
      <c r="T106" s="40"/>
      <c r="W106" s="44"/>
      <c r="X106" s="40"/>
    </row>
    <row r="107" spans="1:24" x14ac:dyDescent="0.2">
      <c r="A107" s="37">
        <f t="shared" si="9"/>
        <v>100</v>
      </c>
      <c r="B107" s="37" t="str">
        <f>+B98</f>
        <v>43</v>
      </c>
      <c r="C107" s="41" t="s">
        <v>59</v>
      </c>
      <c r="D107" s="47">
        <v>3.1700000000000001E-3</v>
      </c>
      <c r="E107" s="47"/>
      <c r="F107" s="47">
        <f>ROUND('Exh CTM-6 (Rate Design)'!H274,5)</f>
        <v>4.1200000000000004E-3</v>
      </c>
      <c r="G107" s="47">
        <f>+F107-D107</f>
        <v>9.5000000000000032E-4</v>
      </c>
      <c r="H107" s="47"/>
      <c r="I107" s="47">
        <f>ROUND('Exh CTM-6 (Rate Design)'!I274,5)</f>
        <v>5.3600000000000002E-3</v>
      </c>
      <c r="J107" s="47">
        <f>+I107-F107</f>
        <v>1.2399999999999998E-3</v>
      </c>
      <c r="K107" s="39" t="s">
        <v>58</v>
      </c>
      <c r="L107" s="40" t="s">
        <v>57</v>
      </c>
      <c r="O107" s="44"/>
      <c r="P107" s="40"/>
      <c r="S107" s="44"/>
      <c r="T107" s="40"/>
      <c r="W107" s="44"/>
      <c r="X107" s="40"/>
    </row>
    <row r="108" spans="1:24" x14ac:dyDescent="0.2">
      <c r="A108" s="37">
        <f t="shared" si="9"/>
        <v>101</v>
      </c>
      <c r="O108" s="44"/>
      <c r="P108" s="40"/>
      <c r="S108" s="44"/>
      <c r="T108" s="40"/>
      <c r="W108" s="44"/>
      <c r="X108" s="40"/>
    </row>
    <row r="109" spans="1:24" x14ac:dyDescent="0.2">
      <c r="A109" s="37">
        <f t="shared" si="9"/>
        <v>102</v>
      </c>
      <c r="O109" s="44"/>
      <c r="P109" s="40"/>
      <c r="S109" s="44"/>
      <c r="T109" s="40"/>
      <c r="W109" s="44"/>
      <c r="X109" s="40"/>
    </row>
    <row r="110" spans="1:24" x14ac:dyDescent="0.2">
      <c r="A110" s="37">
        <f t="shared" si="9"/>
        <v>103</v>
      </c>
      <c r="B110" s="45" t="s">
        <v>56</v>
      </c>
      <c r="C110" s="50" t="s">
        <v>55</v>
      </c>
      <c r="D110" s="42">
        <v>307</v>
      </c>
      <c r="E110" s="42"/>
      <c r="F110" s="42">
        <f>ROUND('Exh CTM-6 (Rate Design)'!H338,2)</f>
        <v>471.56</v>
      </c>
      <c r="G110" s="42">
        <f>+F110-D110</f>
        <v>164.56</v>
      </c>
      <c r="H110" s="42"/>
      <c r="I110" s="42">
        <f>ROUND('Exh CTM-6 (Rate Design)'!I338,2)</f>
        <v>471.56</v>
      </c>
      <c r="J110" s="42">
        <f>+I110-F110</f>
        <v>0</v>
      </c>
      <c r="K110" s="43" t="s">
        <v>43</v>
      </c>
      <c r="L110" s="43" t="s">
        <v>43</v>
      </c>
      <c r="P110" s="40"/>
      <c r="T110" s="40"/>
      <c r="X110" s="40"/>
    </row>
    <row r="111" spans="1:24" x14ac:dyDescent="0.2">
      <c r="A111" s="37">
        <f t="shared" si="9"/>
        <v>104</v>
      </c>
      <c r="B111" s="37" t="str">
        <f t="shared" ref="B111:B123" si="10">+B110</f>
        <v>Special Contract</v>
      </c>
      <c r="C111" s="50" t="s">
        <v>54</v>
      </c>
      <c r="F111" s="51"/>
      <c r="G111" s="51"/>
      <c r="H111" s="51"/>
      <c r="I111" s="51"/>
      <c r="J111" s="51"/>
      <c r="N111" s="44">
        <f>ROUND(+'Exh CTM-6 (141CGR)'!H52,6)</f>
        <v>0</v>
      </c>
      <c r="O111" s="44" t="s">
        <v>5</v>
      </c>
      <c r="P111" s="43" t="str">
        <f>P$12</f>
        <v>Sheet No. 141CGR</v>
      </c>
      <c r="R111" s="44">
        <f>ROUND('Exh CTM-6 (141DCARB)'!G36,6)</f>
        <v>1.0000000000000001E-5</v>
      </c>
      <c r="S111" s="44" t="s">
        <v>5</v>
      </c>
      <c r="T111" s="43" t="str">
        <f>T$12</f>
        <v>Sheet No. 141DCARB</v>
      </c>
      <c r="V111" s="44">
        <f>ROUND(+'Exh CTM-6 (141WFP)'!G52,6)</f>
        <v>1.322E-3</v>
      </c>
      <c r="W111" s="44" t="s">
        <v>5</v>
      </c>
      <c r="X111" s="43" t="str">
        <f>X$12</f>
        <v>Sheet No. 141WFR</v>
      </c>
    </row>
    <row r="112" spans="1:24" x14ac:dyDescent="0.2">
      <c r="A112" s="37">
        <f t="shared" si="9"/>
        <v>105</v>
      </c>
      <c r="B112" s="37" t="str">
        <f t="shared" si="10"/>
        <v>Special Contract</v>
      </c>
      <c r="C112" s="50" t="s">
        <v>53</v>
      </c>
      <c r="D112" s="49">
        <v>7.6899999999999996E-2</v>
      </c>
      <c r="E112" s="49"/>
      <c r="F112" s="49">
        <v>8.1799999999999998E-2</v>
      </c>
      <c r="G112" s="49">
        <f>+F112-D112</f>
        <v>4.9000000000000016E-3</v>
      </c>
      <c r="H112" s="49"/>
      <c r="I112" s="49">
        <f>F112</f>
        <v>8.1799999999999998E-2</v>
      </c>
      <c r="J112" s="49">
        <f>+I112-F112</f>
        <v>0</v>
      </c>
      <c r="K112" s="43" t="s">
        <v>43</v>
      </c>
      <c r="L112" s="43" t="s">
        <v>43</v>
      </c>
      <c r="P112" s="40"/>
      <c r="T112" s="40"/>
      <c r="X112" s="40"/>
    </row>
    <row r="113" spans="1:24" x14ac:dyDescent="0.2">
      <c r="A113" s="37">
        <f t="shared" si="9"/>
        <v>106</v>
      </c>
      <c r="B113" s="37" t="str">
        <f t="shared" si="10"/>
        <v>Special Contract</v>
      </c>
      <c r="C113" s="41" t="s">
        <v>52</v>
      </c>
      <c r="D113" s="52">
        <v>0.55000000000000004</v>
      </c>
      <c r="E113" s="52"/>
      <c r="F113" s="52">
        <v>0.61</v>
      </c>
      <c r="G113" s="52">
        <f>+F113-D113</f>
        <v>5.9999999999999942E-2</v>
      </c>
      <c r="H113" s="52"/>
      <c r="I113" s="49">
        <f>F113</f>
        <v>0.61</v>
      </c>
      <c r="J113" s="52">
        <f>+I113-F113</f>
        <v>0</v>
      </c>
      <c r="K113" s="43" t="s">
        <v>43</v>
      </c>
      <c r="L113" s="43" t="s">
        <v>43</v>
      </c>
      <c r="P113" s="40"/>
      <c r="T113" s="40"/>
      <c r="X113" s="40"/>
    </row>
    <row r="114" spans="1:24" x14ac:dyDescent="0.2">
      <c r="A114" s="37">
        <f t="shared" si="9"/>
        <v>107</v>
      </c>
      <c r="B114" s="37" t="str">
        <f t="shared" si="10"/>
        <v>Special Contract</v>
      </c>
      <c r="C114" s="50" t="s">
        <v>51</v>
      </c>
      <c r="D114" s="51">
        <v>4.2294999999999999E-2</v>
      </c>
      <c r="E114" s="51"/>
      <c r="F114" s="51">
        <f>ROUND(F112*F113,6)</f>
        <v>4.9897999999999998E-2</v>
      </c>
      <c r="G114" s="51">
        <f>+F114-D114</f>
        <v>7.6029999999999986E-3</v>
      </c>
      <c r="H114" s="51"/>
      <c r="I114" s="49">
        <f>F114</f>
        <v>4.9897999999999998E-2</v>
      </c>
      <c r="J114" s="51">
        <f>+I114-F114</f>
        <v>0</v>
      </c>
      <c r="K114" s="43" t="s">
        <v>43</v>
      </c>
      <c r="L114" s="43" t="s">
        <v>43</v>
      </c>
      <c r="P114" s="40"/>
      <c r="T114" s="40"/>
      <c r="X114" s="40"/>
    </row>
    <row r="115" spans="1:24" x14ac:dyDescent="0.2">
      <c r="A115" s="37">
        <f t="shared" si="9"/>
        <v>108</v>
      </c>
      <c r="B115" s="37" t="str">
        <f t="shared" si="10"/>
        <v>Special Contract</v>
      </c>
      <c r="C115" s="41" t="s">
        <v>50</v>
      </c>
      <c r="D115" s="49">
        <v>0.08</v>
      </c>
      <c r="E115" s="49"/>
      <c r="F115" s="49">
        <v>6.6699999999999995E-2</v>
      </c>
      <c r="G115" s="49">
        <f>+F115-D115</f>
        <v>-1.3300000000000006E-2</v>
      </c>
      <c r="H115" s="49"/>
      <c r="I115" s="49">
        <f>F115</f>
        <v>6.6699999999999995E-2</v>
      </c>
      <c r="J115" s="49">
        <f>+I115-F115</f>
        <v>0</v>
      </c>
      <c r="K115" s="43" t="s">
        <v>43</v>
      </c>
      <c r="L115" s="43" t="s">
        <v>43</v>
      </c>
      <c r="P115" s="40"/>
      <c r="T115" s="40"/>
      <c r="X115" s="40"/>
    </row>
    <row r="116" spans="1:24" x14ac:dyDescent="0.2">
      <c r="A116" s="37">
        <f t="shared" si="9"/>
        <v>109</v>
      </c>
      <c r="B116" s="37" t="str">
        <f t="shared" si="10"/>
        <v>Special Contract</v>
      </c>
      <c r="C116" s="41" t="s">
        <v>49</v>
      </c>
      <c r="D116" s="49">
        <v>1.66E-2</v>
      </c>
      <c r="E116" s="49"/>
      <c r="F116" s="49">
        <v>1.7500000000000002E-2</v>
      </c>
      <c r="G116" s="49">
        <f>+F116-D116</f>
        <v>9.0000000000000149E-4</v>
      </c>
      <c r="H116" s="49"/>
      <c r="I116" s="49">
        <f>F116</f>
        <v>1.7500000000000002E-2</v>
      </c>
      <c r="J116" s="49">
        <f>+I116-F116</f>
        <v>0</v>
      </c>
      <c r="K116" s="43" t="s">
        <v>43</v>
      </c>
      <c r="L116" s="43" t="s">
        <v>43</v>
      </c>
      <c r="P116" s="40"/>
      <c r="T116" s="40"/>
      <c r="X116" s="40"/>
    </row>
    <row r="117" spans="1:24" x14ac:dyDescent="0.2">
      <c r="A117" s="37">
        <f t="shared" si="9"/>
        <v>110</v>
      </c>
      <c r="B117" s="37" t="str">
        <f t="shared" si="10"/>
        <v>Special Contract</v>
      </c>
      <c r="C117" s="50"/>
      <c r="D117" s="49"/>
      <c r="E117" s="49"/>
      <c r="F117" s="49"/>
      <c r="G117" s="49"/>
      <c r="H117" s="49"/>
      <c r="I117" s="49"/>
      <c r="J117" s="49"/>
      <c r="P117" s="40"/>
      <c r="T117" s="40"/>
      <c r="X117" s="40"/>
    </row>
    <row r="118" spans="1:24" x14ac:dyDescent="0.2">
      <c r="A118" s="37">
        <f t="shared" si="9"/>
        <v>111</v>
      </c>
      <c r="B118" s="37" t="str">
        <f t="shared" si="10"/>
        <v>Special Contract</v>
      </c>
      <c r="C118" s="41" t="s">
        <v>48</v>
      </c>
      <c r="D118" s="51">
        <v>8.6976839394570127E-2</v>
      </c>
      <c r="E118" s="51"/>
      <c r="F118" s="51">
        <v>8.7659247078115191E-2</v>
      </c>
      <c r="G118" s="51">
        <f>+F118-D118</f>
        <v>6.8240768354506376E-4</v>
      </c>
      <c r="H118" s="51"/>
      <c r="I118" s="51">
        <f>F118</f>
        <v>8.7659247078115191E-2</v>
      </c>
      <c r="J118" s="51">
        <f>+I118-F118</f>
        <v>0</v>
      </c>
      <c r="K118" s="43" t="s">
        <v>43</v>
      </c>
      <c r="L118" s="43" t="s">
        <v>43</v>
      </c>
      <c r="P118" s="40"/>
      <c r="T118" s="40"/>
      <c r="X118" s="40"/>
    </row>
    <row r="119" spans="1:24" x14ac:dyDescent="0.2">
      <c r="A119" s="37">
        <f t="shared" si="9"/>
        <v>112</v>
      </c>
      <c r="B119" s="37" t="str">
        <f t="shared" si="10"/>
        <v>Special Contract</v>
      </c>
      <c r="C119" s="50"/>
      <c r="D119" s="49"/>
      <c r="E119" s="49"/>
      <c r="F119" s="51"/>
      <c r="G119" s="51"/>
      <c r="H119" s="51"/>
      <c r="I119" s="51"/>
      <c r="J119" s="51"/>
      <c r="P119" s="40"/>
      <c r="T119" s="40"/>
      <c r="X119" s="40"/>
    </row>
    <row r="120" spans="1:24" x14ac:dyDescent="0.2">
      <c r="A120" s="37">
        <f t="shared" si="9"/>
        <v>113</v>
      </c>
      <c r="B120" s="37" t="str">
        <f t="shared" si="10"/>
        <v>Special Contract</v>
      </c>
      <c r="C120" s="50" t="s">
        <v>47</v>
      </c>
      <c r="D120" s="49"/>
      <c r="E120" s="49"/>
      <c r="F120" s="51"/>
      <c r="G120" s="51"/>
      <c r="H120" s="51"/>
      <c r="I120" s="51"/>
      <c r="J120" s="51"/>
      <c r="P120" s="40"/>
      <c r="T120" s="40"/>
      <c r="X120" s="40"/>
    </row>
    <row r="121" spans="1:24" x14ac:dyDescent="0.2">
      <c r="A121" s="37">
        <f t="shared" si="9"/>
        <v>114</v>
      </c>
      <c r="B121" s="37" t="str">
        <f t="shared" si="10"/>
        <v>Special Contract</v>
      </c>
      <c r="C121" s="48" t="s">
        <v>46</v>
      </c>
      <c r="D121" s="44">
        <v>2.0899867673275771E-2</v>
      </c>
      <c r="E121" s="44"/>
      <c r="F121" s="44">
        <v>2.1298466566021426E-2</v>
      </c>
      <c r="G121" s="44">
        <f>+F121-D121</f>
        <v>3.9859889274565519E-4</v>
      </c>
      <c r="H121" s="44"/>
      <c r="I121" s="44">
        <f>F121</f>
        <v>2.1298466566021426E-2</v>
      </c>
      <c r="J121" s="44">
        <f>+I121-F121</f>
        <v>0</v>
      </c>
      <c r="K121" s="43" t="s">
        <v>43</v>
      </c>
      <c r="L121" s="43" t="s">
        <v>43</v>
      </c>
      <c r="P121" s="40"/>
      <c r="T121" s="40"/>
      <c r="X121" s="40"/>
    </row>
    <row r="122" spans="1:24" x14ac:dyDescent="0.2">
      <c r="A122" s="37">
        <f t="shared" si="9"/>
        <v>115</v>
      </c>
      <c r="B122" s="37" t="str">
        <f t="shared" si="10"/>
        <v>Special Contract</v>
      </c>
      <c r="C122" s="48" t="s">
        <v>45</v>
      </c>
      <c r="D122" s="44">
        <v>1.881489888613579E-2</v>
      </c>
      <c r="E122" s="44"/>
      <c r="F122" s="44">
        <v>1.8787102294244271E-2</v>
      </c>
      <c r="G122" s="44">
        <f>+F122-D122</f>
        <v>-2.7796591891518507E-5</v>
      </c>
      <c r="H122" s="44"/>
      <c r="I122" s="44">
        <f>F122</f>
        <v>1.8787102294244271E-2</v>
      </c>
      <c r="J122" s="44">
        <f>+I122-F122</f>
        <v>0</v>
      </c>
      <c r="K122" s="43" t="s">
        <v>43</v>
      </c>
      <c r="L122" s="43" t="s">
        <v>43</v>
      </c>
      <c r="P122" s="40"/>
      <c r="T122" s="40"/>
      <c r="X122" s="40"/>
    </row>
    <row r="123" spans="1:24" x14ac:dyDescent="0.2">
      <c r="A123" s="37">
        <f t="shared" si="9"/>
        <v>116</v>
      </c>
      <c r="B123" s="37" t="str">
        <f t="shared" si="10"/>
        <v>Special Contract</v>
      </c>
      <c r="C123" s="48" t="s">
        <v>44</v>
      </c>
      <c r="D123" s="44">
        <v>2.2430385926815701E-2</v>
      </c>
      <c r="E123" s="44"/>
      <c r="F123" s="44">
        <v>2.191813764340908E-2</v>
      </c>
      <c r="G123" s="44">
        <f>+F123-D123</f>
        <v>-5.1224828340662096E-4</v>
      </c>
      <c r="H123" s="44"/>
      <c r="I123" s="44">
        <f>F123</f>
        <v>2.191813764340908E-2</v>
      </c>
      <c r="J123" s="44">
        <f>+I123-F123</f>
        <v>0</v>
      </c>
      <c r="K123" s="43" t="s">
        <v>43</v>
      </c>
      <c r="L123" s="43" t="s">
        <v>43</v>
      </c>
      <c r="P123" s="40"/>
      <c r="T123" s="40"/>
      <c r="X123" s="40"/>
    </row>
    <row r="124" spans="1:24" x14ac:dyDescent="0.2">
      <c r="A124" s="37">
        <f t="shared" si="9"/>
        <v>117</v>
      </c>
      <c r="P124" s="40"/>
      <c r="T124" s="40"/>
      <c r="X124" s="40"/>
    </row>
    <row r="125" spans="1:24" x14ac:dyDescent="0.2">
      <c r="A125" s="37">
        <f t="shared" si="9"/>
        <v>118</v>
      </c>
      <c r="B125" s="45" t="s">
        <v>42</v>
      </c>
      <c r="C125" s="43" t="s">
        <v>41</v>
      </c>
      <c r="P125" s="40"/>
      <c r="T125" s="40"/>
      <c r="X125" s="40"/>
    </row>
    <row r="126" spans="1:24" x14ac:dyDescent="0.2">
      <c r="A126" s="37">
        <f t="shared" si="9"/>
        <v>119</v>
      </c>
      <c r="B126" s="37" t="str">
        <f>+B125</f>
        <v>46</v>
      </c>
      <c r="C126" s="41" t="s">
        <v>33</v>
      </c>
      <c r="D126" s="44">
        <v>5.0422000000000002E-2</v>
      </c>
      <c r="E126" s="44"/>
      <c r="F126" s="44">
        <f>ROUND('Exh CTM-6 (Rate Design)'!H287,6)</f>
        <v>6.198E-2</v>
      </c>
      <c r="G126" s="44">
        <f>+F126-D126</f>
        <v>1.1557999999999999E-2</v>
      </c>
      <c r="H126" s="44"/>
      <c r="I126" s="44">
        <f>ROUND('Exh CTM-6 (Rate Design)'!I287,6)</f>
        <v>6.3571000000000003E-2</v>
      </c>
      <c r="J126" s="44">
        <f>+I126-F126</f>
        <v>1.5910000000000021E-3</v>
      </c>
      <c r="K126" s="39" t="s">
        <v>37</v>
      </c>
      <c r="L126" s="40">
        <v>46</v>
      </c>
      <c r="N126" s="44">
        <f>ROUND(+'Exh CTM-6 (141CGR)'!H38,6)</f>
        <v>7.27E-4</v>
      </c>
      <c r="O126" s="44" t="s">
        <v>5</v>
      </c>
      <c r="P126" s="43" t="str">
        <f>P$12</f>
        <v>Sheet No. 141CGR</v>
      </c>
      <c r="R126" s="44">
        <f>ROUND('Exh CTM-6 (141DCARB)'!G26,6)</f>
        <v>5.1999999999999997E-5</v>
      </c>
      <c r="S126" s="44" t="s">
        <v>5</v>
      </c>
      <c r="T126" s="43" t="str">
        <f>T$12</f>
        <v>Sheet No. 141DCARB</v>
      </c>
      <c r="V126" s="44">
        <f>ROUND(+'Exh CTM-6 (141WFP)'!G38,6)</f>
        <v>1.1E-5</v>
      </c>
      <c r="W126" s="44" t="s">
        <v>5</v>
      </c>
      <c r="X126" s="43" t="str">
        <f>X$12</f>
        <v>Sheet No. 141WFR</v>
      </c>
    </row>
    <row r="127" spans="1:24" x14ac:dyDescent="0.2">
      <c r="A127" s="37">
        <f t="shared" si="9"/>
        <v>120</v>
      </c>
      <c r="B127" s="37" t="str">
        <f>+B125</f>
        <v>46</v>
      </c>
      <c r="C127" s="46"/>
      <c r="O127" s="44"/>
      <c r="P127" s="40"/>
      <c r="S127" s="44"/>
      <c r="T127" s="40"/>
      <c r="W127" s="44"/>
      <c r="X127" s="40"/>
    </row>
    <row r="128" spans="1:24" x14ac:dyDescent="0.2">
      <c r="A128" s="37">
        <f t="shared" si="9"/>
        <v>121</v>
      </c>
      <c r="B128" s="37" t="str">
        <f>+B125</f>
        <v>46</v>
      </c>
      <c r="C128" s="41" t="s">
        <v>40</v>
      </c>
      <c r="D128" s="42">
        <v>3.04</v>
      </c>
      <c r="E128" s="42"/>
      <c r="F128" s="42">
        <f>ROUND('Exh CTM-6 (Rate Design)'!H291,2)</f>
        <v>3.95</v>
      </c>
      <c r="G128" s="42">
        <f>+F128-D128</f>
        <v>0.91000000000000014</v>
      </c>
      <c r="H128" s="42"/>
      <c r="I128" s="42">
        <f>ROUND('Exh CTM-6 (Rate Design)'!I291,2)</f>
        <v>5.14</v>
      </c>
      <c r="J128" s="42">
        <f>+I128-F128</f>
        <v>1.1899999999999995</v>
      </c>
      <c r="K128" s="39" t="s">
        <v>37</v>
      </c>
      <c r="L128" s="40">
        <v>46</v>
      </c>
      <c r="N128" s="42">
        <f>ROUND(+'Exh CTM-6 (141CGR)'!H39,2)</f>
        <v>0.36</v>
      </c>
      <c r="O128" s="44" t="s">
        <v>30</v>
      </c>
      <c r="P128" s="43" t="str">
        <f>P$12</f>
        <v>Sheet No. 141CGR</v>
      </c>
      <c r="R128" s="42"/>
      <c r="S128" s="44"/>
      <c r="T128" s="43"/>
      <c r="V128" s="42">
        <f>ROUND(+'Exh CTM-6 (141WFP)'!G39,2)</f>
        <v>0.08</v>
      </c>
      <c r="W128" s="44" t="s">
        <v>30</v>
      </c>
      <c r="X128" s="43" t="str">
        <f>X$12</f>
        <v>Sheet No. 141WFR</v>
      </c>
    </row>
    <row r="129" spans="1:24" x14ac:dyDescent="0.2">
      <c r="A129" s="37">
        <f t="shared" si="9"/>
        <v>122</v>
      </c>
      <c r="B129" s="37" t="str">
        <f>+B125</f>
        <v>46</v>
      </c>
      <c r="C129" s="41"/>
      <c r="D129" s="42"/>
      <c r="E129" s="42"/>
      <c r="F129" s="42"/>
      <c r="G129" s="42"/>
      <c r="H129" s="42"/>
      <c r="I129" s="42"/>
      <c r="J129" s="42"/>
      <c r="O129" s="44"/>
      <c r="P129" s="40"/>
      <c r="S129" s="44"/>
      <c r="T129" s="40"/>
      <c r="W129" s="44"/>
      <c r="X129" s="40"/>
    </row>
    <row r="130" spans="1:24" x14ac:dyDescent="0.2">
      <c r="A130" s="37">
        <f t="shared" si="9"/>
        <v>123</v>
      </c>
      <c r="B130" s="37" t="str">
        <f>+B125</f>
        <v>46</v>
      </c>
      <c r="C130" s="50" t="s">
        <v>39</v>
      </c>
      <c r="D130" s="42">
        <v>36.479999999999997</v>
      </c>
      <c r="E130" s="42"/>
      <c r="F130" s="42">
        <f>ROUND('Exh CTM-6 (Rate Design)'!H298,2)</f>
        <v>47.42</v>
      </c>
      <c r="G130" s="42">
        <f>+F130-D130</f>
        <v>10.940000000000005</v>
      </c>
      <c r="H130" s="42"/>
      <c r="I130" s="42">
        <f>ROUND('Exh CTM-6 (Rate Design)'!I298,2)</f>
        <v>61.65</v>
      </c>
      <c r="J130" s="42">
        <f>+I130-F130</f>
        <v>14.229999999999997</v>
      </c>
      <c r="K130" s="39" t="s">
        <v>37</v>
      </c>
      <c r="L130" s="40" t="s">
        <v>36</v>
      </c>
      <c r="O130" s="44"/>
      <c r="P130" s="40"/>
      <c r="S130" s="44"/>
      <c r="T130" s="40"/>
      <c r="W130" s="44"/>
      <c r="X130" s="40"/>
    </row>
    <row r="131" spans="1:24" x14ac:dyDescent="0.2">
      <c r="A131" s="37">
        <f t="shared" si="9"/>
        <v>124</v>
      </c>
      <c r="B131" s="37" t="str">
        <f>+B125</f>
        <v>46</v>
      </c>
      <c r="C131" s="41" t="s">
        <v>38</v>
      </c>
      <c r="D131" s="44">
        <v>4.5379999999999997E-2</v>
      </c>
      <c r="E131" s="44"/>
      <c r="F131" s="44">
        <f>ROUND('Exh CTM-6 (Rate Design)'!H297,6)</f>
        <v>5.5781999999999998E-2</v>
      </c>
      <c r="G131" s="44">
        <f>+F131-D131</f>
        <v>1.0402000000000002E-2</v>
      </c>
      <c r="H131" s="44"/>
      <c r="I131" s="44">
        <f>ROUND('Exh CTM-6 (Rate Design)'!I297,6)</f>
        <v>5.7214000000000001E-2</v>
      </c>
      <c r="J131" s="44">
        <f>+I131-F131</f>
        <v>1.4320000000000027E-3</v>
      </c>
      <c r="K131" s="39" t="s">
        <v>37</v>
      </c>
      <c r="L131" s="40" t="s">
        <v>36</v>
      </c>
      <c r="O131" s="44"/>
      <c r="P131" s="40"/>
      <c r="S131" s="44"/>
      <c r="T131" s="40"/>
      <c r="W131" s="44"/>
      <c r="X131" s="40"/>
    </row>
    <row r="132" spans="1:24" x14ac:dyDescent="0.2">
      <c r="A132" s="37">
        <f t="shared" si="9"/>
        <v>125</v>
      </c>
      <c r="O132" s="44"/>
      <c r="P132" s="40"/>
      <c r="S132" s="44"/>
      <c r="T132" s="40"/>
      <c r="W132" s="44"/>
      <c r="X132" s="40"/>
    </row>
    <row r="133" spans="1:24" x14ac:dyDescent="0.2">
      <c r="A133" s="37">
        <f t="shared" si="9"/>
        <v>126</v>
      </c>
      <c r="B133" s="45" t="s">
        <v>35</v>
      </c>
      <c r="C133" s="40" t="s">
        <v>34</v>
      </c>
      <c r="P133" s="40"/>
      <c r="T133" s="40"/>
      <c r="X133" s="40"/>
    </row>
    <row r="134" spans="1:24" x14ac:dyDescent="0.2">
      <c r="A134" s="37">
        <f t="shared" si="9"/>
        <v>127</v>
      </c>
      <c r="B134" s="37" t="str">
        <f>+B133</f>
        <v>49</v>
      </c>
      <c r="C134" s="41" t="s">
        <v>33</v>
      </c>
      <c r="D134" s="44">
        <v>5.0422000000000002E-2</v>
      </c>
      <c r="E134" s="44"/>
      <c r="F134" s="44">
        <f>ROUND('Exh CTM-6 (Rate Design)'!H305,6)</f>
        <v>6.1994E-2</v>
      </c>
      <c r="G134" s="44">
        <f>+F134-D134</f>
        <v>1.1571999999999999E-2</v>
      </c>
      <c r="H134" s="44"/>
      <c r="I134" s="44">
        <f>ROUND('Exh CTM-6 (Rate Design)'!I305,6)</f>
        <v>6.3664999999999999E-2</v>
      </c>
      <c r="J134" s="44">
        <f>+I134-F134</f>
        <v>1.6709999999999989E-3</v>
      </c>
      <c r="K134" s="39" t="s">
        <v>31</v>
      </c>
      <c r="L134" s="40">
        <v>49</v>
      </c>
      <c r="N134" s="44">
        <f>ROUND(+'Exh CTM-6 (141CGR)'!H42,6)</f>
        <v>7.27E-4</v>
      </c>
      <c r="O134" s="44" t="s">
        <v>5</v>
      </c>
      <c r="P134" s="43" t="str">
        <f>P$12</f>
        <v>Sheet No. 141CGR</v>
      </c>
      <c r="R134" s="44">
        <f>ROUND('Exh CTM-6 (141DCARB)'!G28,6)</f>
        <v>2.6999999999999999E-5</v>
      </c>
      <c r="S134" s="44" t="s">
        <v>5</v>
      </c>
      <c r="T134" s="43" t="str">
        <f>T$12</f>
        <v>Sheet No. 141DCARB</v>
      </c>
      <c r="V134" s="44">
        <f>ROUND(+'Exh CTM-6 (141WFP)'!G42,6)</f>
        <v>1.1E-5</v>
      </c>
      <c r="W134" s="44" t="s">
        <v>5</v>
      </c>
      <c r="X134" s="43" t="str">
        <f>X$12</f>
        <v>Sheet No. 141WFR</v>
      </c>
    </row>
    <row r="135" spans="1:24" x14ac:dyDescent="0.2">
      <c r="A135" s="37">
        <f t="shared" si="9"/>
        <v>128</v>
      </c>
      <c r="B135" s="37" t="str">
        <f>+B133</f>
        <v>49</v>
      </c>
      <c r="C135" s="46"/>
      <c r="T135" s="43"/>
    </row>
    <row r="136" spans="1:24" x14ac:dyDescent="0.2">
      <c r="A136" s="37">
        <f t="shared" si="9"/>
        <v>129</v>
      </c>
      <c r="B136" s="37" t="str">
        <f>+B133</f>
        <v>49</v>
      </c>
      <c r="C136" s="41" t="s">
        <v>32</v>
      </c>
      <c r="D136" s="42">
        <v>5.65</v>
      </c>
      <c r="E136" s="42"/>
      <c r="F136" s="42">
        <f>ROUND('Exh CTM-6 (Rate Design)'!H309,2)</f>
        <v>7.35</v>
      </c>
      <c r="G136" s="42">
        <f>+F136-D136</f>
        <v>1.6999999999999993</v>
      </c>
      <c r="H136" s="42"/>
      <c r="I136" s="42">
        <f>ROUND('Exh CTM-6 (Rate Design)'!I309,2)</f>
        <v>9.5500000000000007</v>
      </c>
      <c r="J136" s="42">
        <f>+I136-F136</f>
        <v>2.2000000000000011</v>
      </c>
      <c r="K136" s="39" t="s">
        <v>31</v>
      </c>
      <c r="L136" s="40">
        <v>49</v>
      </c>
      <c r="N136" s="42">
        <f>ROUND(+'Exh CTM-6 (141CGR)'!H43,2)</f>
        <v>0.68</v>
      </c>
      <c r="O136" s="44" t="s">
        <v>30</v>
      </c>
      <c r="P136" s="43" t="str">
        <f>P$12</f>
        <v>Sheet No. 141CGR</v>
      </c>
      <c r="R136" s="42"/>
      <c r="S136" s="44"/>
      <c r="T136" s="43"/>
      <c r="V136" s="42">
        <f>ROUND(+'Exh CTM-6 (141WFP)'!G43,2)</f>
        <v>0.15</v>
      </c>
      <c r="W136" s="44" t="s">
        <v>30</v>
      </c>
      <c r="X136" s="43" t="str">
        <f>X$12</f>
        <v>Sheet No. 141WFR</v>
      </c>
    </row>
    <row r="137" spans="1:24" x14ac:dyDescent="0.2">
      <c r="A137" s="37">
        <f t="shared" ref="A137:A168" si="11">+A136+1</f>
        <v>130</v>
      </c>
    </row>
    <row r="138" spans="1:24" x14ac:dyDescent="0.2">
      <c r="A138" s="37">
        <f t="shared" si="11"/>
        <v>131</v>
      </c>
      <c r="B138" s="45" t="s">
        <v>29</v>
      </c>
      <c r="C138" s="43" t="s">
        <v>28</v>
      </c>
    </row>
    <row r="139" spans="1:24" x14ac:dyDescent="0.2">
      <c r="A139" s="37">
        <f t="shared" si="11"/>
        <v>132</v>
      </c>
      <c r="B139" s="37" t="str">
        <f>+B138</f>
        <v>448 / 458</v>
      </c>
      <c r="C139" s="50" t="s">
        <v>23</v>
      </c>
      <c r="D139" s="42">
        <v>1791</v>
      </c>
      <c r="E139" s="42"/>
      <c r="F139" s="42">
        <f>ROUND('Exh CTM-6 (Rate Design)'!H319,2)</f>
        <v>3993.45</v>
      </c>
      <c r="G139" s="42">
        <f>+F139-D139</f>
        <v>2202.4499999999998</v>
      </c>
      <c r="H139" s="42"/>
      <c r="I139" s="42">
        <f>ROUND('Exh CTM-6 (Rate Design)'!I319,2)</f>
        <v>3993.45</v>
      </c>
      <c r="J139" s="42">
        <f>+I139-F139</f>
        <v>0</v>
      </c>
      <c r="K139" s="43" t="s">
        <v>27</v>
      </c>
      <c r="L139" s="43" t="s">
        <v>26</v>
      </c>
      <c r="N139" s="44">
        <f>ROUND(+'Exh CTM-6 (141CGR)'!H54,6)</f>
        <v>0</v>
      </c>
      <c r="O139" s="44" t="s">
        <v>5</v>
      </c>
      <c r="P139" s="43" t="str">
        <f>P$12</f>
        <v>Sheet No. 141CGR</v>
      </c>
      <c r="R139" s="44">
        <f>ROUND('Exh CTM-6 (141DCARB)'!G38,6)</f>
        <v>6.0000000000000002E-6</v>
      </c>
      <c r="S139" s="44" t="s">
        <v>5</v>
      </c>
      <c r="T139" s="43" t="str">
        <f>T$12</f>
        <v>Sheet No. 141DCARB</v>
      </c>
      <c r="V139" s="44">
        <f>ROUND(+'Exh CTM-6 (141WFP)'!G54,6)</f>
        <v>2.0900000000000001E-4</v>
      </c>
      <c r="W139" s="44" t="s">
        <v>5</v>
      </c>
      <c r="X139" s="43" t="str">
        <f>X$12</f>
        <v>Sheet No. 141WFR</v>
      </c>
    </row>
    <row r="140" spans="1:24" x14ac:dyDescent="0.2">
      <c r="A140" s="37">
        <f t="shared" si="11"/>
        <v>133</v>
      </c>
      <c r="D140" s="42"/>
      <c r="E140" s="42"/>
      <c r="F140" s="42"/>
      <c r="G140" s="42"/>
      <c r="H140" s="42"/>
      <c r="I140" s="42"/>
      <c r="J140" s="42"/>
    </row>
    <row r="141" spans="1:24" x14ac:dyDescent="0.2">
      <c r="A141" s="37">
        <f t="shared" si="11"/>
        <v>134</v>
      </c>
      <c r="B141" s="45" t="s">
        <v>25</v>
      </c>
      <c r="C141" s="43" t="s">
        <v>24</v>
      </c>
    </row>
    <row r="142" spans="1:24" x14ac:dyDescent="0.2">
      <c r="A142" s="37">
        <f t="shared" si="11"/>
        <v>135</v>
      </c>
      <c r="B142" s="37" t="str">
        <f>+B141</f>
        <v>449 / 459</v>
      </c>
      <c r="C142" s="50" t="s">
        <v>23</v>
      </c>
      <c r="D142" s="42">
        <v>1791</v>
      </c>
      <c r="E142" s="42"/>
      <c r="F142" s="42">
        <f>F139</f>
        <v>3993.45</v>
      </c>
      <c r="G142" s="42">
        <f>+F142-D142</f>
        <v>2202.4499999999998</v>
      </c>
      <c r="H142" s="42"/>
      <c r="I142" s="42">
        <f>I139</f>
        <v>3993.45</v>
      </c>
      <c r="J142" s="42">
        <f>+I142-F142</f>
        <v>0</v>
      </c>
      <c r="K142" s="43" t="s">
        <v>22</v>
      </c>
      <c r="L142" s="43" t="s">
        <v>21</v>
      </c>
      <c r="N142" s="44">
        <f>N139</f>
        <v>0</v>
      </c>
      <c r="O142" s="44" t="s">
        <v>5</v>
      </c>
      <c r="P142" s="43" t="str">
        <f>P$12</f>
        <v>Sheet No. 141CGR</v>
      </c>
      <c r="R142" s="44">
        <f>R139</f>
        <v>6.0000000000000002E-6</v>
      </c>
      <c r="S142" s="44" t="s">
        <v>5</v>
      </c>
      <c r="T142" s="43" t="str">
        <f>T$12</f>
        <v>Sheet No. 141DCARB</v>
      </c>
      <c r="V142" s="44">
        <f>V139</f>
        <v>2.0900000000000001E-4</v>
      </c>
      <c r="W142" s="44" t="s">
        <v>5</v>
      </c>
      <c r="X142" s="43" t="str">
        <f>X$12</f>
        <v>Sheet No. 141WFR</v>
      </c>
    </row>
    <row r="143" spans="1:24" x14ac:dyDescent="0.2">
      <c r="A143" s="37">
        <f t="shared" si="11"/>
        <v>136</v>
      </c>
    </row>
    <row r="144" spans="1:24" x14ac:dyDescent="0.2">
      <c r="A144" s="37">
        <f t="shared" si="11"/>
        <v>137</v>
      </c>
    </row>
    <row r="145" spans="1:24" x14ac:dyDescent="0.2">
      <c r="A145" s="37">
        <f t="shared" si="11"/>
        <v>138</v>
      </c>
      <c r="B145" s="53" t="s">
        <v>20</v>
      </c>
      <c r="C145" s="53"/>
    </row>
    <row r="146" spans="1:24" x14ac:dyDescent="0.2">
      <c r="A146" s="37">
        <f t="shared" si="11"/>
        <v>139</v>
      </c>
      <c r="B146" s="45" t="s">
        <v>19</v>
      </c>
      <c r="C146" s="39" t="s">
        <v>14</v>
      </c>
    </row>
    <row r="147" spans="1:24" x14ac:dyDescent="0.2">
      <c r="A147" s="37">
        <f t="shared" si="11"/>
        <v>140</v>
      </c>
      <c r="B147" s="37" t="str">
        <f t="shared" ref="B147:B156" si="12">+B146</f>
        <v xml:space="preserve">(307) </v>
      </c>
      <c r="C147" s="41" t="s">
        <v>8</v>
      </c>
      <c r="D147" s="42">
        <f>ROUND('Exh CTM-6 (TVR Rate Design)'!$G$14,2)</f>
        <v>7.49</v>
      </c>
      <c r="E147" s="42"/>
      <c r="F147" s="42">
        <f>ROUND('Exh CTM-6 (TVR Rate Design)'!$H$14,2)</f>
        <v>9.74</v>
      </c>
      <c r="G147" s="42">
        <f>+F147-D147</f>
        <v>2.25</v>
      </c>
      <c r="H147" s="42"/>
      <c r="I147" s="42">
        <f>ROUND('Exh CTM-6 (TVR Rate Design)'!$I$14,2)</f>
        <v>12.66</v>
      </c>
      <c r="J147" s="42">
        <f>+I147-F147</f>
        <v>2.92</v>
      </c>
      <c r="K147" s="43" t="s">
        <v>18</v>
      </c>
    </row>
    <row r="148" spans="1:24" x14ac:dyDescent="0.2">
      <c r="A148" s="37">
        <f t="shared" si="11"/>
        <v>141</v>
      </c>
      <c r="B148" s="37" t="str">
        <f t="shared" si="12"/>
        <v xml:space="preserve">(307) </v>
      </c>
      <c r="C148" s="41" t="s">
        <v>7</v>
      </c>
      <c r="D148" s="42">
        <f>ROUND('Exh CTM-6 (TVR Rate Design)'!$G$15,2)</f>
        <v>17.989999999999998</v>
      </c>
      <c r="E148" s="42"/>
      <c r="F148" s="42">
        <f>ROUND('Exh CTM-6 (TVR Rate Design)'!$H$15,2)</f>
        <v>23.39</v>
      </c>
      <c r="G148" s="42">
        <f>+F148-D148</f>
        <v>5.4000000000000021</v>
      </c>
      <c r="H148" s="42"/>
      <c r="I148" s="42">
        <f>ROUND('Exh CTM-6 (TVR Rate Design)'!$I$15,2)</f>
        <v>30.4</v>
      </c>
      <c r="J148" s="42">
        <f>+I148-F148</f>
        <v>7.009999999999998</v>
      </c>
      <c r="K148" s="43" t="s">
        <v>18</v>
      </c>
    </row>
    <row r="149" spans="1:24" x14ac:dyDescent="0.2">
      <c r="A149" s="37">
        <f t="shared" si="11"/>
        <v>142</v>
      </c>
      <c r="B149" s="37" t="str">
        <f t="shared" si="12"/>
        <v xml:space="preserve">(307) </v>
      </c>
      <c r="C149" s="41"/>
      <c r="D149" s="42"/>
      <c r="E149" s="42"/>
      <c r="F149" s="42"/>
      <c r="G149" s="42"/>
      <c r="H149" s="42"/>
      <c r="I149" s="42"/>
      <c r="J149" s="42"/>
      <c r="K149" s="43"/>
    </row>
    <row r="150" spans="1:24" x14ac:dyDescent="0.2">
      <c r="A150" s="37">
        <f t="shared" si="11"/>
        <v>143</v>
      </c>
      <c r="B150" s="37" t="str">
        <f t="shared" si="12"/>
        <v xml:space="preserve">(307) </v>
      </c>
      <c r="C150" s="41" t="s">
        <v>6</v>
      </c>
      <c r="D150" s="42"/>
      <c r="E150" s="42"/>
      <c r="F150" s="42"/>
      <c r="G150" s="42"/>
      <c r="H150" s="42"/>
      <c r="I150" s="42"/>
      <c r="J150" s="42"/>
      <c r="K150" s="43"/>
      <c r="N150" s="44">
        <f>N12</f>
        <v>3.6549999999999998E-3</v>
      </c>
      <c r="O150" s="44" t="s">
        <v>5</v>
      </c>
      <c r="P150" s="43" t="str">
        <f>P$12</f>
        <v>Sheet No. 141CGR</v>
      </c>
      <c r="R150" s="44">
        <f>R12</f>
        <v>5.8900000000000001E-4</v>
      </c>
      <c r="S150" s="44" t="s">
        <v>5</v>
      </c>
      <c r="T150" s="43" t="str">
        <f>T$12</f>
        <v>Sheet No. 141DCARB</v>
      </c>
      <c r="V150" s="44">
        <f>V12</f>
        <v>1.4120000000000001E-3</v>
      </c>
      <c r="W150" s="44" t="s">
        <v>5</v>
      </c>
      <c r="X150" s="43" t="str">
        <f>X$12</f>
        <v>Sheet No. 141WFR</v>
      </c>
    </row>
    <row r="151" spans="1:24" x14ac:dyDescent="0.2">
      <c r="A151" s="37">
        <f t="shared" si="11"/>
        <v>144</v>
      </c>
      <c r="B151" s="37" t="str">
        <f t="shared" si="12"/>
        <v xml:space="preserve">(307) </v>
      </c>
      <c r="C151" s="50" t="s">
        <v>4</v>
      </c>
      <c r="D151" s="44"/>
      <c r="E151" s="44"/>
      <c r="F151" s="44"/>
      <c r="G151" s="44"/>
      <c r="H151" s="44"/>
      <c r="I151" s="44"/>
      <c r="J151" s="44"/>
      <c r="K151" s="43"/>
      <c r="N151" s="44"/>
      <c r="O151" s="44"/>
      <c r="P151" s="43"/>
      <c r="R151" s="44"/>
      <c r="S151" s="44"/>
      <c r="T151" s="43"/>
      <c r="V151" s="44"/>
      <c r="W151" s="44"/>
      <c r="X151" s="43"/>
    </row>
    <row r="152" spans="1:24" x14ac:dyDescent="0.2">
      <c r="A152" s="37">
        <f t="shared" si="11"/>
        <v>145</v>
      </c>
      <c r="B152" s="37" t="str">
        <f t="shared" si="12"/>
        <v xml:space="preserve">(307) </v>
      </c>
      <c r="C152" s="48" t="s">
        <v>2</v>
      </c>
      <c r="D152" s="44">
        <f>ROUND('Exh CTM-6 (TVR Rate Design)'!$G$19,6)</f>
        <v>0.312776</v>
      </c>
      <c r="E152" s="44"/>
      <c r="F152" s="44">
        <f>ROUND('Exh CTM-6 (TVR Rate Design)'!$H$19,6)</f>
        <v>0.44403300000000001</v>
      </c>
      <c r="G152" s="44">
        <f>+F152-D152</f>
        <v>0.13125700000000001</v>
      </c>
      <c r="H152" s="44"/>
      <c r="I152" s="44">
        <f>ROUND('Exh CTM-6 (TVR Rate Design)'!$I$19,6)</f>
        <v>0.47594900000000001</v>
      </c>
      <c r="J152" s="44">
        <f>+I152-F152</f>
        <v>3.1916E-2</v>
      </c>
      <c r="K152" s="43" t="s">
        <v>18</v>
      </c>
      <c r="N152" s="44"/>
      <c r="O152" s="44"/>
      <c r="P152" s="43"/>
      <c r="R152" s="44"/>
      <c r="S152" s="44"/>
      <c r="T152" s="43"/>
      <c r="V152" s="44"/>
      <c r="W152" s="44"/>
      <c r="X152" s="43"/>
    </row>
    <row r="153" spans="1:24" x14ac:dyDescent="0.2">
      <c r="A153" s="37">
        <f t="shared" si="11"/>
        <v>146</v>
      </c>
      <c r="B153" s="37" t="str">
        <f t="shared" si="12"/>
        <v xml:space="preserve">(307) </v>
      </c>
      <c r="C153" s="48" t="s">
        <v>1</v>
      </c>
      <c r="D153" s="44">
        <f>ROUND('Exh CTM-6 (TVR Rate Design)'!$G$20,6)</f>
        <v>6.3558000000000003E-2</v>
      </c>
      <c r="E153" s="44"/>
      <c r="F153" s="44">
        <f>ROUND('Exh CTM-6 (TVR Rate Design)'!$H$20,6)</f>
        <v>9.0231000000000006E-2</v>
      </c>
      <c r="G153" s="44">
        <f>+F153-D153</f>
        <v>2.6673000000000002E-2</v>
      </c>
      <c r="H153" s="44"/>
      <c r="I153" s="44">
        <f>ROUND('Exh CTM-6 (TVR Rate Design)'!$I$20,6)</f>
        <v>9.6715999999999996E-2</v>
      </c>
      <c r="J153" s="44">
        <f>+I153-F153</f>
        <v>6.4849999999999908E-3</v>
      </c>
      <c r="K153" s="43" t="s">
        <v>18</v>
      </c>
      <c r="N153" s="44"/>
      <c r="O153" s="44"/>
      <c r="P153" s="43"/>
      <c r="R153" s="44"/>
      <c r="S153" s="44"/>
      <c r="T153" s="43"/>
      <c r="V153" s="44"/>
      <c r="W153" s="44"/>
      <c r="X153" s="43"/>
    </row>
    <row r="154" spans="1:24" x14ac:dyDescent="0.2">
      <c r="A154" s="37">
        <f t="shared" si="11"/>
        <v>147</v>
      </c>
      <c r="B154" s="37" t="str">
        <f t="shared" si="12"/>
        <v xml:space="preserve">(307) </v>
      </c>
      <c r="C154" s="41" t="s">
        <v>3</v>
      </c>
      <c r="D154" s="44"/>
      <c r="E154" s="44"/>
      <c r="F154" s="44"/>
      <c r="G154" s="44"/>
      <c r="H154" s="44"/>
      <c r="I154" s="44"/>
      <c r="J154" s="44"/>
      <c r="K154" s="43"/>
      <c r="N154" s="44"/>
      <c r="O154" s="44"/>
      <c r="P154" s="43"/>
      <c r="R154" s="44"/>
      <c r="S154" s="44"/>
      <c r="T154" s="43"/>
      <c r="V154" s="44"/>
      <c r="W154" s="44"/>
      <c r="X154" s="43"/>
    </row>
    <row r="155" spans="1:24" x14ac:dyDescent="0.2">
      <c r="A155" s="37">
        <f t="shared" si="11"/>
        <v>148</v>
      </c>
      <c r="B155" s="37" t="str">
        <f t="shared" si="12"/>
        <v xml:space="preserve">(307) </v>
      </c>
      <c r="C155" s="48" t="s">
        <v>2</v>
      </c>
      <c r="D155" s="44">
        <f>ROUND('Exh CTM-6 (TVR Rate Design)'!$G$22,6)</f>
        <v>0.19689999999999999</v>
      </c>
      <c r="E155" s="44"/>
      <c r="F155" s="44">
        <f>ROUND('Exh CTM-6 (TVR Rate Design)'!$H$22,6)</f>
        <v>0.27952900000000003</v>
      </c>
      <c r="G155" s="44">
        <f>+F155-D155</f>
        <v>8.2629000000000036E-2</v>
      </c>
      <c r="H155" s="44"/>
      <c r="I155" s="44">
        <f>ROUND('Exh CTM-6 (TVR Rate Design)'!$I$22,6)</f>
        <v>0.29962100000000003</v>
      </c>
      <c r="J155" s="44">
        <f>+I155-F155</f>
        <v>2.0091999999999999E-2</v>
      </c>
      <c r="K155" s="43" t="s">
        <v>18</v>
      </c>
      <c r="N155" s="44"/>
      <c r="O155" s="44"/>
      <c r="P155" s="43"/>
      <c r="R155" s="44"/>
      <c r="S155" s="44"/>
      <c r="T155" s="43"/>
      <c r="V155" s="44"/>
      <c r="W155" s="44"/>
      <c r="X155" s="43"/>
    </row>
    <row r="156" spans="1:24" x14ac:dyDescent="0.2">
      <c r="A156" s="37">
        <f t="shared" si="11"/>
        <v>149</v>
      </c>
      <c r="B156" s="37" t="str">
        <f t="shared" si="12"/>
        <v xml:space="preserve">(307) </v>
      </c>
      <c r="C156" s="48" t="s">
        <v>1</v>
      </c>
      <c r="D156" s="44">
        <f>ROUND('Exh CTM-6 (TVR Rate Design)'!$G$23,6)</f>
        <v>6.3558000000000003E-2</v>
      </c>
      <c r="E156" s="44"/>
      <c r="F156" s="44">
        <f>ROUND('Exh CTM-6 (TVR Rate Design)'!$H$23,6)</f>
        <v>9.0231000000000006E-2</v>
      </c>
      <c r="G156" s="44">
        <f>+F156-D156</f>
        <v>2.6673000000000002E-2</v>
      </c>
      <c r="H156" s="44"/>
      <c r="I156" s="44">
        <f>ROUND('Exh CTM-6 (TVR Rate Design)'!$I$23,6)</f>
        <v>9.6715999999999996E-2</v>
      </c>
      <c r="J156" s="44">
        <f>+I156-F156</f>
        <v>6.4849999999999908E-3</v>
      </c>
      <c r="K156" s="43" t="s">
        <v>18</v>
      </c>
      <c r="N156" s="44"/>
      <c r="O156" s="44"/>
      <c r="P156" s="43"/>
      <c r="R156" s="44"/>
      <c r="S156" s="44"/>
      <c r="T156" s="43"/>
      <c r="V156" s="44"/>
      <c r="W156" s="44"/>
      <c r="X156" s="43"/>
    </row>
    <row r="157" spans="1:24" x14ac:dyDescent="0.2">
      <c r="A157" s="37">
        <f t="shared" si="11"/>
        <v>150</v>
      </c>
      <c r="O157" s="44"/>
      <c r="P157" s="40"/>
      <c r="S157" s="44"/>
      <c r="T157" s="40"/>
      <c r="W157" s="44"/>
      <c r="X157" s="40"/>
    </row>
    <row r="158" spans="1:24" x14ac:dyDescent="0.2">
      <c r="A158" s="37">
        <f t="shared" si="11"/>
        <v>151</v>
      </c>
      <c r="B158" s="45" t="s">
        <v>17</v>
      </c>
      <c r="C158" s="39" t="s">
        <v>14</v>
      </c>
    </row>
    <row r="159" spans="1:24" x14ac:dyDescent="0.2">
      <c r="A159" s="37">
        <f t="shared" si="11"/>
        <v>152</v>
      </c>
      <c r="B159" s="37" t="str">
        <f t="shared" ref="B159:B170" si="13">+B158</f>
        <v xml:space="preserve">(317) </v>
      </c>
      <c r="C159" s="41" t="s">
        <v>8</v>
      </c>
      <c r="D159" s="42">
        <f>ROUND('Exh CTM-6 (TVR Rate Design)'!$G$42,2)</f>
        <v>7.49</v>
      </c>
      <c r="E159" s="42"/>
      <c r="F159" s="42">
        <f>ROUND('Exh CTM-6 (TVR Rate Design)'!$H$42,2)</f>
        <v>9.74</v>
      </c>
      <c r="G159" s="42">
        <f>+F159-D159</f>
        <v>2.25</v>
      </c>
      <c r="H159" s="42"/>
      <c r="I159" s="42">
        <f>ROUND('Exh CTM-6 (TVR Rate Design)'!$I$42,2)</f>
        <v>12.66</v>
      </c>
      <c r="J159" s="42">
        <f>+I159-F159</f>
        <v>2.92</v>
      </c>
      <c r="K159" s="43" t="s">
        <v>16</v>
      </c>
    </row>
    <row r="160" spans="1:24" x14ac:dyDescent="0.2">
      <c r="A160" s="37">
        <f t="shared" si="11"/>
        <v>153</v>
      </c>
      <c r="B160" s="37" t="str">
        <f t="shared" si="13"/>
        <v xml:space="preserve">(317) </v>
      </c>
      <c r="C160" s="41" t="s">
        <v>7</v>
      </c>
      <c r="D160" s="42">
        <f>ROUND('Exh CTM-6 (TVR Rate Design)'!$G$43,2)</f>
        <v>17.989999999999998</v>
      </c>
      <c r="E160" s="42"/>
      <c r="F160" s="42">
        <f>ROUND('Exh CTM-6 (TVR Rate Design)'!$H$43,2)</f>
        <v>23.39</v>
      </c>
      <c r="G160" s="42">
        <f>+F160-D160</f>
        <v>5.4000000000000021</v>
      </c>
      <c r="H160" s="42"/>
      <c r="I160" s="42">
        <f>ROUND('Exh CTM-6 (TVR Rate Design)'!$I$43,2)</f>
        <v>30.4</v>
      </c>
      <c r="J160" s="42">
        <f>+I160-F160</f>
        <v>7.009999999999998</v>
      </c>
      <c r="K160" s="43" t="s">
        <v>16</v>
      </c>
    </row>
    <row r="161" spans="1:24" x14ac:dyDescent="0.2">
      <c r="A161" s="37">
        <f t="shared" si="11"/>
        <v>154</v>
      </c>
      <c r="B161" s="37" t="str">
        <f t="shared" si="13"/>
        <v xml:space="preserve">(317) </v>
      </c>
      <c r="C161" s="41"/>
      <c r="D161" s="42"/>
      <c r="E161" s="42"/>
      <c r="F161" s="42"/>
      <c r="G161" s="42"/>
      <c r="H161" s="42"/>
      <c r="I161" s="42"/>
      <c r="J161" s="42"/>
      <c r="K161" s="43"/>
    </row>
    <row r="162" spans="1:24" x14ac:dyDescent="0.2">
      <c r="A162" s="37">
        <f t="shared" si="11"/>
        <v>155</v>
      </c>
      <c r="B162" s="37" t="str">
        <f t="shared" si="13"/>
        <v xml:space="preserve">(317) </v>
      </c>
      <c r="C162" s="41" t="s">
        <v>6</v>
      </c>
      <c r="D162" s="42"/>
      <c r="E162" s="42"/>
      <c r="F162" s="42"/>
      <c r="G162" s="42"/>
      <c r="H162" s="42"/>
      <c r="I162" s="42"/>
      <c r="J162" s="42"/>
      <c r="K162" s="43"/>
      <c r="N162" s="44">
        <f>N150</f>
        <v>3.6549999999999998E-3</v>
      </c>
      <c r="O162" s="44" t="s">
        <v>5</v>
      </c>
      <c r="P162" s="43" t="str">
        <f>P$12</f>
        <v>Sheet No. 141CGR</v>
      </c>
      <c r="R162" s="44">
        <f>R150</f>
        <v>5.8900000000000001E-4</v>
      </c>
      <c r="S162" s="44" t="s">
        <v>5</v>
      </c>
      <c r="T162" s="43" t="str">
        <f>T$12</f>
        <v>Sheet No. 141DCARB</v>
      </c>
      <c r="V162" s="44">
        <f>V150</f>
        <v>1.4120000000000001E-3</v>
      </c>
      <c r="W162" s="44" t="s">
        <v>5</v>
      </c>
      <c r="X162" s="43" t="str">
        <f>X$12</f>
        <v>Sheet No. 141WFR</v>
      </c>
    </row>
    <row r="163" spans="1:24" x14ac:dyDescent="0.2">
      <c r="A163" s="37">
        <f t="shared" si="11"/>
        <v>156</v>
      </c>
      <c r="B163" s="37" t="str">
        <f t="shared" si="13"/>
        <v xml:space="preserve">(317) </v>
      </c>
      <c r="C163" s="50" t="s">
        <v>4</v>
      </c>
      <c r="D163" s="44"/>
      <c r="E163" s="44"/>
      <c r="F163" s="44"/>
      <c r="G163" s="44"/>
      <c r="H163" s="44"/>
      <c r="I163" s="44"/>
      <c r="J163" s="44"/>
      <c r="K163" s="43"/>
      <c r="N163" s="44"/>
      <c r="O163" s="44"/>
      <c r="P163" s="43"/>
      <c r="R163" s="44"/>
      <c r="S163" s="44"/>
      <c r="T163" s="43"/>
      <c r="V163" s="44"/>
      <c r="W163" s="44"/>
      <c r="X163" s="43"/>
    </row>
    <row r="164" spans="1:24" x14ac:dyDescent="0.2">
      <c r="A164" s="37">
        <f t="shared" si="11"/>
        <v>157</v>
      </c>
      <c r="B164" s="37" t="str">
        <f t="shared" si="13"/>
        <v xml:space="preserve">(317) </v>
      </c>
      <c r="C164" s="48" t="s">
        <v>2</v>
      </c>
      <c r="D164" s="44">
        <f>ROUND('Exh CTM-6 (TVR Rate Design)'!$G$48,6)</f>
        <v>0.18404999999999999</v>
      </c>
      <c r="E164" s="44"/>
      <c r="F164" s="44">
        <f>ROUND('Exh CTM-6 (TVR Rate Design)'!$H$48,6)</f>
        <v>0.24171599999999999</v>
      </c>
      <c r="G164" s="44">
        <f>+F164-D164</f>
        <v>5.7665999999999995E-2</v>
      </c>
      <c r="H164" s="44"/>
      <c r="I164" s="44">
        <f>ROUND('Exh CTM-6 (TVR Rate Design)'!$I$48,6)</f>
        <v>0.25930900000000001</v>
      </c>
      <c r="J164" s="44">
        <f>+I164-F164</f>
        <v>1.7593000000000025E-2</v>
      </c>
      <c r="K164" s="43" t="s">
        <v>16</v>
      </c>
      <c r="N164" s="44"/>
      <c r="O164" s="44"/>
      <c r="P164" s="43"/>
      <c r="R164" s="44"/>
      <c r="S164" s="44"/>
      <c r="T164" s="43"/>
      <c r="V164" s="44"/>
      <c r="W164" s="44"/>
      <c r="X164" s="43"/>
    </row>
    <row r="165" spans="1:24" x14ac:dyDescent="0.2">
      <c r="A165" s="37">
        <f t="shared" si="11"/>
        <v>158</v>
      </c>
      <c r="B165" s="37" t="str">
        <f t="shared" si="13"/>
        <v xml:space="preserve">(317) </v>
      </c>
      <c r="C165" s="48" t="s">
        <v>1</v>
      </c>
      <c r="D165" s="44">
        <f>ROUND('Exh CTM-6 (TVR Rate Design)'!$G$49,6)</f>
        <v>8.3000000000000004E-2</v>
      </c>
      <c r="E165" s="44"/>
      <c r="F165" s="44">
        <f>ROUND('Exh CTM-6 (TVR Rate Design)'!$H$49,6)</f>
        <v>0.10900600000000001</v>
      </c>
      <c r="G165" s="44">
        <f>+F165-D165</f>
        <v>2.6006000000000001E-2</v>
      </c>
      <c r="H165" s="44"/>
      <c r="I165" s="44">
        <f>ROUND('Exh CTM-6 (TVR Rate Design)'!$I$49,6)</f>
        <v>0.116939</v>
      </c>
      <c r="J165" s="44">
        <f>+I165-F165</f>
        <v>7.9329999999999956E-3</v>
      </c>
      <c r="K165" s="43" t="s">
        <v>16</v>
      </c>
      <c r="N165" s="44"/>
      <c r="O165" s="44"/>
      <c r="P165" s="43"/>
      <c r="R165" s="44"/>
      <c r="S165" s="44"/>
      <c r="T165" s="43"/>
      <c r="V165" s="44"/>
      <c r="W165" s="44"/>
      <c r="X165" s="43"/>
    </row>
    <row r="166" spans="1:24" x14ac:dyDescent="0.2">
      <c r="A166" s="37">
        <f t="shared" si="11"/>
        <v>159</v>
      </c>
      <c r="B166" s="37" t="str">
        <f t="shared" si="13"/>
        <v xml:space="preserve">(317) </v>
      </c>
      <c r="C166" s="41" t="s">
        <v>3</v>
      </c>
      <c r="D166" s="44"/>
      <c r="E166" s="44"/>
      <c r="F166" s="44"/>
      <c r="G166" s="44"/>
      <c r="H166" s="44"/>
      <c r="I166" s="44"/>
      <c r="J166" s="44"/>
      <c r="K166" s="43"/>
      <c r="N166" s="44"/>
      <c r="O166" s="44"/>
      <c r="P166" s="43"/>
      <c r="R166" s="44"/>
      <c r="S166" s="44"/>
      <c r="T166" s="43"/>
      <c r="V166" s="44"/>
      <c r="W166" s="44"/>
      <c r="X166" s="43"/>
    </row>
    <row r="167" spans="1:24" x14ac:dyDescent="0.2">
      <c r="A167" s="37">
        <f t="shared" si="11"/>
        <v>160</v>
      </c>
      <c r="B167" s="37" t="str">
        <f t="shared" si="13"/>
        <v xml:space="preserve">(317) </v>
      </c>
      <c r="C167" s="48" t="s">
        <v>2</v>
      </c>
      <c r="D167" s="44">
        <f>ROUND('Exh CTM-6 (TVR Rate Design)'!$G$52,6)</f>
        <v>0.15906100000000001</v>
      </c>
      <c r="E167" s="44"/>
      <c r="F167" s="44">
        <f>ROUND('Exh CTM-6 (TVR Rate Design)'!$H$52,6)</f>
        <v>0.208898</v>
      </c>
      <c r="G167" s="44">
        <f>+F167-D167</f>
        <v>4.9836999999999992E-2</v>
      </c>
      <c r="H167" s="44"/>
      <c r="I167" s="44">
        <f>ROUND('Exh CTM-6 (TVR Rate Design)'!$I$52,6)</f>
        <v>0.224102</v>
      </c>
      <c r="J167" s="44">
        <f>+I167-F167</f>
        <v>1.5203999999999995E-2</v>
      </c>
      <c r="K167" s="43" t="s">
        <v>16</v>
      </c>
      <c r="N167" s="44"/>
      <c r="O167" s="44"/>
      <c r="P167" s="43"/>
      <c r="R167" s="44"/>
      <c r="S167" s="44"/>
      <c r="T167" s="43"/>
      <c r="V167" s="44"/>
      <c r="W167" s="44"/>
      <c r="X167" s="43"/>
    </row>
    <row r="168" spans="1:24" x14ac:dyDescent="0.2">
      <c r="A168" s="37">
        <f t="shared" si="11"/>
        <v>161</v>
      </c>
      <c r="B168" s="37" t="str">
        <f t="shared" si="13"/>
        <v xml:space="preserve">(317) </v>
      </c>
      <c r="C168" s="48" t="s">
        <v>1</v>
      </c>
      <c r="D168" s="44">
        <f>ROUND('Exh CTM-6 (TVR Rate Design)'!$G$53,6)</f>
        <v>8.3000000000000004E-2</v>
      </c>
      <c r="E168" s="44"/>
      <c r="F168" s="44">
        <f>ROUND('Exh CTM-6 (TVR Rate Design)'!$H$53,6)</f>
        <v>0.10900600000000001</v>
      </c>
      <c r="G168" s="44">
        <f>+F168-D168</f>
        <v>2.6006000000000001E-2</v>
      </c>
      <c r="H168" s="44"/>
      <c r="I168" s="44">
        <f>ROUND('Exh CTM-6 (TVR Rate Design)'!$I$53,6)</f>
        <v>0.116939</v>
      </c>
      <c r="J168" s="44">
        <f>+I168-F168</f>
        <v>7.9329999999999956E-3</v>
      </c>
      <c r="K168" s="43" t="s">
        <v>16</v>
      </c>
      <c r="N168" s="44"/>
      <c r="O168" s="44"/>
      <c r="P168" s="43"/>
      <c r="R168" s="44"/>
      <c r="S168" s="44"/>
      <c r="T168" s="43"/>
      <c r="V168" s="44"/>
      <c r="W168" s="44"/>
      <c r="X168" s="43"/>
    </row>
    <row r="169" spans="1:24" x14ac:dyDescent="0.2">
      <c r="A169" s="37">
        <f t="shared" ref="A169:A199" si="14">+A168+1</f>
        <v>162</v>
      </c>
      <c r="B169" s="37" t="str">
        <f t="shared" si="13"/>
        <v xml:space="preserve">(317) </v>
      </c>
      <c r="C169" s="48"/>
      <c r="D169" s="44"/>
      <c r="E169" s="44"/>
      <c r="F169" s="44"/>
      <c r="G169" s="44"/>
      <c r="H169" s="44"/>
      <c r="I169" s="44"/>
      <c r="J169" s="44"/>
      <c r="K169" s="43"/>
      <c r="N169" s="44"/>
      <c r="O169" s="44"/>
      <c r="P169" s="43"/>
      <c r="R169" s="44"/>
      <c r="S169" s="44"/>
      <c r="T169" s="43"/>
      <c r="V169" s="44"/>
      <c r="W169" s="44"/>
      <c r="X169" s="43"/>
    </row>
    <row r="170" spans="1:24" x14ac:dyDescent="0.2">
      <c r="A170" s="37">
        <f t="shared" si="14"/>
        <v>163</v>
      </c>
      <c r="B170" s="37" t="str">
        <f t="shared" si="13"/>
        <v xml:space="preserve">(317) </v>
      </c>
      <c r="C170" s="48" t="str">
        <f>'Exh CTM-6 (TVR Rate Design)'!B60</f>
        <v>PTR Credit Rate</v>
      </c>
      <c r="D170" s="44">
        <f>ROUND('Exh CTM-6 (TVR Rate Design)'!G60,6)</f>
        <v>0.44928400000000002</v>
      </c>
      <c r="E170" s="44"/>
      <c r="F170" s="44">
        <f>ROUND('Exh CTM-6 (TVR Rate Design)'!H60,6)</f>
        <v>0.59005399999999997</v>
      </c>
      <c r="G170" s="44">
        <f>+F170-D170</f>
        <v>0.14076999999999995</v>
      </c>
      <c r="H170" s="44"/>
      <c r="I170" s="44">
        <f>ROUND('Exh CTM-6 (TVR Rate Design)'!I60,6)</f>
        <v>0.63299899999999998</v>
      </c>
      <c r="J170" s="44">
        <f>+I170-G170</f>
        <v>0.49222900000000003</v>
      </c>
      <c r="K170" s="43" t="s">
        <v>16</v>
      </c>
      <c r="N170" s="44"/>
      <c r="O170" s="44"/>
      <c r="P170" s="43"/>
      <c r="R170" s="44"/>
      <c r="S170" s="44"/>
      <c r="T170" s="43"/>
      <c r="V170" s="44"/>
      <c r="W170" s="44"/>
      <c r="X170" s="43"/>
    </row>
    <row r="171" spans="1:24" x14ac:dyDescent="0.2">
      <c r="A171" s="37">
        <f t="shared" si="14"/>
        <v>164</v>
      </c>
      <c r="O171" s="44"/>
      <c r="P171" s="40"/>
      <c r="S171" s="44"/>
      <c r="T171" s="40"/>
      <c r="W171" s="44"/>
      <c r="X171" s="40"/>
    </row>
    <row r="172" spans="1:24" x14ac:dyDescent="0.2">
      <c r="A172" s="37">
        <f t="shared" si="14"/>
        <v>165</v>
      </c>
      <c r="B172" s="45" t="s">
        <v>15</v>
      </c>
      <c r="C172" s="39" t="s">
        <v>14</v>
      </c>
    </row>
    <row r="173" spans="1:24" x14ac:dyDescent="0.2">
      <c r="A173" s="37">
        <f t="shared" si="14"/>
        <v>166</v>
      </c>
      <c r="B173" s="37" t="str">
        <f t="shared" ref="B173:B184" si="15">+B172</f>
        <v xml:space="preserve">(327) </v>
      </c>
      <c r="C173" s="41" t="s">
        <v>8</v>
      </c>
      <c r="D173" s="42">
        <f>ROUND('Exh CTM-6 (TVR Rate Design)'!$G$75,2)</f>
        <v>7.49</v>
      </c>
      <c r="E173" s="42"/>
      <c r="F173" s="42">
        <f>ROUND('Exh CTM-6 (TVR Rate Design)'!$H$75,2)</f>
        <v>9.74</v>
      </c>
      <c r="G173" s="42">
        <f>+F173-D173</f>
        <v>2.25</v>
      </c>
      <c r="H173" s="42"/>
      <c r="I173" s="42">
        <f>ROUND('Exh CTM-6 (TVR Rate Design)'!$I$75,2)</f>
        <v>12.66</v>
      </c>
      <c r="J173" s="42">
        <f>+I173-F173</f>
        <v>2.92</v>
      </c>
      <c r="K173" s="43" t="s">
        <v>12</v>
      </c>
    </row>
    <row r="174" spans="1:24" x14ac:dyDescent="0.2">
      <c r="A174" s="37">
        <f t="shared" si="14"/>
        <v>167</v>
      </c>
      <c r="B174" s="37" t="str">
        <f t="shared" si="15"/>
        <v xml:space="preserve">(327) </v>
      </c>
      <c r="C174" s="41" t="s">
        <v>7</v>
      </c>
      <c r="D174" s="42">
        <f>ROUND('Exh CTM-6 (TVR Rate Design)'!$G$76,2)</f>
        <v>17.989999999999998</v>
      </c>
      <c r="E174" s="42"/>
      <c r="F174" s="42">
        <f>ROUND('Exh CTM-6 (TVR Rate Design)'!$H$76,2)</f>
        <v>23.39</v>
      </c>
      <c r="G174" s="42">
        <f>+F174-D174</f>
        <v>5.4000000000000021</v>
      </c>
      <c r="H174" s="42"/>
      <c r="I174" s="42">
        <f>ROUND('Exh CTM-6 (TVR Rate Design)'!$I$76,2)</f>
        <v>30.4</v>
      </c>
      <c r="J174" s="42">
        <f>+I174-F174</f>
        <v>7.009999999999998</v>
      </c>
      <c r="K174" s="43" t="s">
        <v>12</v>
      </c>
    </row>
    <row r="175" spans="1:24" x14ac:dyDescent="0.2">
      <c r="A175" s="37">
        <f t="shared" si="14"/>
        <v>168</v>
      </c>
      <c r="B175" s="37" t="str">
        <f t="shared" si="15"/>
        <v xml:space="preserve">(327) </v>
      </c>
      <c r="C175" s="41"/>
      <c r="D175" s="42"/>
      <c r="E175" s="42"/>
      <c r="F175" s="42"/>
      <c r="G175" s="42"/>
      <c r="H175" s="42"/>
      <c r="I175" s="42"/>
      <c r="J175" s="42"/>
      <c r="K175" s="43"/>
    </row>
    <row r="176" spans="1:24" x14ac:dyDescent="0.2">
      <c r="A176" s="37">
        <f t="shared" si="14"/>
        <v>169</v>
      </c>
      <c r="B176" s="37" t="str">
        <f t="shared" si="15"/>
        <v xml:space="preserve">(327) </v>
      </c>
      <c r="C176" s="41" t="s">
        <v>6</v>
      </c>
      <c r="D176" s="42"/>
      <c r="E176" s="42"/>
      <c r="F176" s="42"/>
      <c r="G176" s="42"/>
      <c r="H176" s="42"/>
      <c r="I176" s="42"/>
      <c r="J176" s="42"/>
      <c r="K176" s="43"/>
      <c r="N176" s="44">
        <f>N162</f>
        <v>3.6549999999999998E-3</v>
      </c>
      <c r="O176" s="44" t="s">
        <v>5</v>
      </c>
      <c r="P176" s="43" t="str">
        <f>P$12</f>
        <v>Sheet No. 141CGR</v>
      </c>
      <c r="R176" s="44">
        <f>R162</f>
        <v>5.8900000000000001E-4</v>
      </c>
      <c r="S176" s="44" t="s">
        <v>5</v>
      </c>
      <c r="T176" s="43" t="str">
        <f>T$12</f>
        <v>Sheet No. 141DCARB</v>
      </c>
      <c r="V176" s="44">
        <f>V162</f>
        <v>1.4120000000000001E-3</v>
      </c>
      <c r="W176" s="44" t="s">
        <v>5</v>
      </c>
      <c r="X176" s="43" t="str">
        <f>X$12</f>
        <v>Sheet No. 141WFR</v>
      </c>
    </row>
    <row r="177" spans="1:24" x14ac:dyDescent="0.2">
      <c r="A177" s="37">
        <f t="shared" si="14"/>
        <v>170</v>
      </c>
      <c r="B177" s="37" t="str">
        <f t="shared" si="15"/>
        <v xml:space="preserve">(327) </v>
      </c>
      <c r="C177" s="50" t="s">
        <v>4</v>
      </c>
      <c r="D177" s="44"/>
      <c r="E177" s="44"/>
      <c r="F177" s="44"/>
      <c r="G177" s="44"/>
      <c r="H177" s="44"/>
      <c r="I177" s="44"/>
      <c r="J177" s="44"/>
      <c r="K177" s="43"/>
      <c r="N177" s="44"/>
      <c r="O177" s="44"/>
      <c r="P177" s="43"/>
      <c r="R177" s="44"/>
      <c r="S177" s="44"/>
      <c r="T177" s="43"/>
      <c r="V177" s="44"/>
      <c r="W177" s="44"/>
      <c r="X177" s="43"/>
    </row>
    <row r="178" spans="1:24" x14ac:dyDescent="0.2">
      <c r="A178" s="37">
        <f t="shared" si="14"/>
        <v>171</v>
      </c>
      <c r="B178" s="37" t="str">
        <f t="shared" si="15"/>
        <v xml:space="preserve">(327) </v>
      </c>
      <c r="C178" s="48" t="s">
        <v>2</v>
      </c>
      <c r="D178" s="44">
        <f>ROUND('Exh CTM-6 (TVR Rate Design)'!$G$80,6)</f>
        <v>0.29547800000000002</v>
      </c>
      <c r="E178" s="44"/>
      <c r="F178" s="44">
        <f>ROUND('Exh CTM-6 (TVR Rate Design)'!$H$80,6)</f>
        <v>0.41984300000000002</v>
      </c>
      <c r="G178" s="44">
        <f>+F178-D178</f>
        <v>0.124365</v>
      </c>
      <c r="H178" s="44"/>
      <c r="I178" s="44">
        <f>ROUND('Exh CTM-6 (TVR Rate Design)'!$I$80,6)</f>
        <v>0.45014199999999999</v>
      </c>
      <c r="J178" s="44">
        <f>+I178-F178</f>
        <v>3.0298999999999965E-2</v>
      </c>
      <c r="K178" s="43" t="s">
        <v>12</v>
      </c>
      <c r="N178" s="44"/>
      <c r="O178" s="44"/>
      <c r="P178" s="43"/>
      <c r="R178" s="44"/>
      <c r="S178" s="44"/>
      <c r="T178" s="43"/>
      <c r="V178" s="44"/>
      <c r="W178" s="44"/>
      <c r="X178" s="43"/>
    </row>
    <row r="179" spans="1:24" x14ac:dyDescent="0.2">
      <c r="A179" s="37">
        <f t="shared" si="14"/>
        <v>172</v>
      </c>
      <c r="B179" s="37" t="str">
        <f t="shared" si="15"/>
        <v xml:space="preserve">(327) </v>
      </c>
      <c r="C179" s="48" t="s">
        <v>1</v>
      </c>
      <c r="D179" s="44">
        <f>ROUND('Exh CTM-6 (TVR Rate Design)'!$G$81,6)</f>
        <v>7.4569999999999997E-2</v>
      </c>
      <c r="E179" s="44"/>
      <c r="F179" s="44">
        <f>ROUND('Exh CTM-6 (TVR Rate Design)'!$H$81,6)</f>
        <v>0.10595599999999999</v>
      </c>
      <c r="G179" s="44">
        <f>+F179-D179</f>
        <v>3.1385999999999997E-2</v>
      </c>
      <c r="H179" s="44"/>
      <c r="I179" s="44">
        <f>ROUND('Exh CTM-6 (TVR Rate Design)'!$I$81,6)</f>
        <v>0.113603</v>
      </c>
      <c r="J179" s="44">
        <f>+I179-F179</f>
        <v>7.647000000000001E-3</v>
      </c>
      <c r="K179" s="43" t="s">
        <v>12</v>
      </c>
      <c r="N179" s="44"/>
      <c r="O179" s="44"/>
      <c r="P179" s="43"/>
      <c r="R179" s="44"/>
      <c r="S179" s="44"/>
      <c r="T179" s="43"/>
      <c r="V179" s="44"/>
      <c r="W179" s="44"/>
      <c r="X179" s="43"/>
    </row>
    <row r="180" spans="1:24" x14ac:dyDescent="0.2">
      <c r="A180" s="37">
        <f t="shared" si="14"/>
        <v>173</v>
      </c>
      <c r="B180" s="37" t="str">
        <f t="shared" si="15"/>
        <v xml:space="preserve">(327) </v>
      </c>
      <c r="C180" s="48" t="s">
        <v>13</v>
      </c>
      <c r="D180" s="44">
        <f>ROUND('Exh CTM-6 (TVR Rate Design)'!$G$82,6)</f>
        <v>4.4325000000000003E-2</v>
      </c>
      <c r="E180" s="44"/>
      <c r="F180" s="44">
        <f>ROUND('Exh CTM-6 (TVR Rate Design)'!$H$82,6)</f>
        <v>6.2980999999999995E-2</v>
      </c>
      <c r="G180" s="44">
        <f>+F180-D180</f>
        <v>1.8655999999999992E-2</v>
      </c>
      <c r="H180" s="44"/>
      <c r="I180" s="44">
        <f>ROUND('Exh CTM-6 (TVR Rate Design)'!$I$82,6)</f>
        <v>6.7526000000000003E-2</v>
      </c>
      <c r="J180" s="44">
        <f>+I180-F180</f>
        <v>4.5450000000000074E-3</v>
      </c>
      <c r="K180" s="43" t="s">
        <v>12</v>
      </c>
      <c r="N180" s="44"/>
      <c r="O180" s="44"/>
      <c r="P180" s="43"/>
      <c r="R180" s="44"/>
      <c r="S180" s="44"/>
      <c r="T180" s="43"/>
      <c r="V180" s="44"/>
      <c r="W180" s="44"/>
      <c r="X180" s="43"/>
    </row>
    <row r="181" spans="1:24" x14ac:dyDescent="0.2">
      <c r="A181" s="37">
        <f t="shared" si="14"/>
        <v>174</v>
      </c>
      <c r="B181" s="37" t="str">
        <f t="shared" si="15"/>
        <v xml:space="preserve">(327) </v>
      </c>
      <c r="C181" s="41" t="s">
        <v>3</v>
      </c>
      <c r="D181" s="44"/>
      <c r="E181" s="44"/>
      <c r="F181" s="44"/>
      <c r="G181" s="44"/>
      <c r="H181" s="44"/>
      <c r="I181" s="44"/>
      <c r="J181" s="44"/>
      <c r="K181" s="43"/>
      <c r="N181" s="44"/>
      <c r="O181" s="44"/>
      <c r="P181" s="43"/>
      <c r="R181" s="44"/>
      <c r="S181" s="44"/>
      <c r="T181" s="43"/>
      <c r="V181" s="44"/>
      <c r="W181" s="44"/>
      <c r="X181" s="43"/>
    </row>
    <row r="182" spans="1:24" x14ac:dyDescent="0.2">
      <c r="A182" s="37">
        <f t="shared" si="14"/>
        <v>175</v>
      </c>
      <c r="B182" s="37" t="str">
        <f t="shared" si="15"/>
        <v xml:space="preserve">(327) </v>
      </c>
      <c r="C182" s="48" t="s">
        <v>2</v>
      </c>
      <c r="D182" s="44">
        <f>ROUND('Exh CTM-6 (TVR Rate Design)'!$G$84,6)</f>
        <v>0.15950400000000001</v>
      </c>
      <c r="E182" s="44"/>
      <c r="F182" s="44">
        <f>ROUND('Exh CTM-6 (TVR Rate Design)'!$H$84,6)</f>
        <v>0.22663900000000001</v>
      </c>
      <c r="G182" s="44">
        <f>+F182-D182</f>
        <v>6.7135E-2</v>
      </c>
      <c r="H182" s="44"/>
      <c r="I182" s="44">
        <f>ROUND('Exh CTM-6 (TVR Rate Design)'!$I$84,6)</f>
        <v>0.24299499999999999</v>
      </c>
      <c r="J182" s="44">
        <f>+I182-F182</f>
        <v>1.6355999999999982E-2</v>
      </c>
      <c r="K182" s="43" t="s">
        <v>12</v>
      </c>
      <c r="N182" s="44"/>
      <c r="O182" s="44"/>
      <c r="P182" s="43"/>
      <c r="R182" s="44"/>
      <c r="S182" s="44"/>
      <c r="T182" s="43"/>
      <c r="V182" s="44"/>
      <c r="W182" s="44"/>
      <c r="X182" s="43"/>
    </row>
    <row r="183" spans="1:24" x14ac:dyDescent="0.2">
      <c r="A183" s="37">
        <f t="shared" si="14"/>
        <v>176</v>
      </c>
      <c r="B183" s="37" t="str">
        <f t="shared" si="15"/>
        <v xml:space="preserve">(327) </v>
      </c>
      <c r="C183" s="48" t="s">
        <v>1</v>
      </c>
      <c r="D183" s="44">
        <f>ROUND('Exh CTM-6 (TVR Rate Design)'!$G$85,6)</f>
        <v>7.1617E-2</v>
      </c>
      <c r="E183" s="44"/>
      <c r="F183" s="44">
        <f>ROUND('Exh CTM-6 (TVR Rate Design)'!$H$85,6)</f>
        <v>0.10176</v>
      </c>
      <c r="G183" s="44">
        <f>+F183-D183</f>
        <v>3.0143000000000003E-2</v>
      </c>
      <c r="H183" s="44"/>
      <c r="I183" s="44">
        <f>ROUND('Exh CTM-6 (TVR Rate Design)'!$I$85,6)</f>
        <v>0.10910400000000001</v>
      </c>
      <c r="J183" s="44">
        <f>+I183-F183</f>
        <v>7.3440000000000033E-3</v>
      </c>
      <c r="K183" s="43" t="s">
        <v>12</v>
      </c>
      <c r="N183" s="44"/>
      <c r="O183" s="44"/>
      <c r="P183" s="43"/>
      <c r="R183" s="44"/>
      <c r="S183" s="44"/>
      <c r="T183" s="43"/>
      <c r="V183" s="44"/>
      <c r="W183" s="44"/>
      <c r="X183" s="43"/>
    </row>
    <row r="184" spans="1:24" x14ac:dyDescent="0.2">
      <c r="A184" s="37">
        <f t="shared" si="14"/>
        <v>177</v>
      </c>
      <c r="B184" s="37" t="str">
        <f t="shared" si="15"/>
        <v xml:space="preserve">(327) </v>
      </c>
      <c r="C184" s="48" t="s">
        <v>13</v>
      </c>
      <c r="D184" s="44">
        <f>ROUND('Exh CTM-6 (TVR Rate Design)'!$G$86,6)</f>
        <v>4.4325000000000003E-2</v>
      </c>
      <c r="E184" s="44"/>
      <c r="F184" s="44">
        <f>ROUND('Exh CTM-6 (TVR Rate Design)'!$H$86,6)</f>
        <v>6.2980999999999995E-2</v>
      </c>
      <c r="G184" s="44">
        <f>+F184-D184</f>
        <v>1.8655999999999992E-2</v>
      </c>
      <c r="H184" s="44"/>
      <c r="I184" s="44">
        <f>ROUND('Exh CTM-6 (TVR Rate Design)'!$I$86,6)</f>
        <v>6.7526000000000003E-2</v>
      </c>
      <c r="J184" s="44">
        <f>+I184-F184</f>
        <v>4.5450000000000074E-3</v>
      </c>
      <c r="K184" s="43" t="s">
        <v>12</v>
      </c>
      <c r="N184" s="44"/>
      <c r="O184" s="44"/>
      <c r="P184" s="43"/>
      <c r="R184" s="44"/>
      <c r="S184" s="44"/>
      <c r="T184" s="43"/>
      <c r="V184" s="44"/>
      <c r="W184" s="44"/>
      <c r="X184" s="43"/>
    </row>
    <row r="185" spans="1:24" x14ac:dyDescent="0.2">
      <c r="A185" s="37">
        <f t="shared" si="14"/>
        <v>178</v>
      </c>
      <c r="J185" s="44"/>
      <c r="K185" s="43"/>
      <c r="O185" s="44"/>
      <c r="P185" s="40"/>
      <c r="S185" s="44"/>
      <c r="T185" s="40"/>
      <c r="W185" s="44"/>
      <c r="X185" s="40"/>
    </row>
    <row r="186" spans="1:24" x14ac:dyDescent="0.2">
      <c r="A186" s="37">
        <f t="shared" si="14"/>
        <v>179</v>
      </c>
      <c r="B186" s="53" t="s">
        <v>11</v>
      </c>
      <c r="O186" s="44"/>
      <c r="P186" s="40"/>
      <c r="S186" s="44"/>
      <c r="T186" s="40"/>
      <c r="W186" s="44"/>
      <c r="X186" s="40"/>
    </row>
    <row r="187" spans="1:24" x14ac:dyDescent="0.2">
      <c r="A187" s="37">
        <f t="shared" si="14"/>
        <v>180</v>
      </c>
      <c r="B187" s="45" t="s">
        <v>10</v>
      </c>
      <c r="C187" s="43" t="s">
        <v>9</v>
      </c>
    </row>
    <row r="188" spans="1:24" x14ac:dyDescent="0.2">
      <c r="A188" s="37">
        <f t="shared" si="14"/>
        <v>181</v>
      </c>
      <c r="B188" s="37" t="str">
        <f t="shared" ref="B188:B199" si="16">+B187</f>
        <v xml:space="preserve">(324) </v>
      </c>
      <c r="C188" s="41" t="s">
        <v>8</v>
      </c>
      <c r="D188" s="42">
        <f>ROUND('Exh CTM-6 (TVR Rate Design)'!$G$108,2)</f>
        <v>10.210000000000001</v>
      </c>
      <c r="E188" s="42"/>
      <c r="F188" s="42">
        <f>ROUND('Exh CTM-6 (TVR Rate Design)'!$H$108,2)</f>
        <v>13.27</v>
      </c>
      <c r="G188" s="42">
        <f>+F188-D188</f>
        <v>3.0599999999999987</v>
      </c>
      <c r="H188" s="42"/>
      <c r="I188" s="42">
        <f>ROUND('Exh CTM-6 (TVR Rate Design)'!$I$108,2)</f>
        <v>17.25</v>
      </c>
      <c r="J188" s="42">
        <f>+I188-F188</f>
        <v>3.9800000000000004</v>
      </c>
      <c r="K188" s="43" t="s">
        <v>0</v>
      </c>
    </row>
    <row r="189" spans="1:24" x14ac:dyDescent="0.2">
      <c r="A189" s="37">
        <f t="shared" si="14"/>
        <v>182</v>
      </c>
      <c r="B189" s="37" t="str">
        <f t="shared" si="16"/>
        <v xml:space="preserve">(324) </v>
      </c>
      <c r="C189" s="41" t="s">
        <v>7</v>
      </c>
      <c r="D189" s="42">
        <f>ROUND('Exh CTM-6 (TVR Rate Design)'!$G$109,2)</f>
        <v>25.95</v>
      </c>
      <c r="E189" s="42"/>
      <c r="F189" s="42">
        <f>ROUND('Exh CTM-6 (TVR Rate Design)'!$H$109,2)</f>
        <v>33.74</v>
      </c>
      <c r="G189" s="42">
        <f>+F189-D189</f>
        <v>7.7900000000000027</v>
      </c>
      <c r="H189" s="42"/>
      <c r="I189" s="42">
        <f>ROUND('Exh CTM-6 (TVR Rate Design)'!$I$109,2)</f>
        <v>43.86</v>
      </c>
      <c r="J189" s="42">
        <f>+I189-F189</f>
        <v>10.119999999999997</v>
      </c>
      <c r="K189" s="43" t="s">
        <v>0</v>
      </c>
    </row>
    <row r="190" spans="1:24" x14ac:dyDescent="0.2">
      <c r="A190" s="37">
        <f t="shared" si="14"/>
        <v>183</v>
      </c>
      <c r="B190" s="37" t="str">
        <f t="shared" si="16"/>
        <v xml:space="preserve">(324) </v>
      </c>
      <c r="C190" s="41"/>
      <c r="D190" s="42"/>
      <c r="E190" s="42"/>
      <c r="F190" s="42"/>
      <c r="G190" s="42"/>
      <c r="H190" s="42"/>
      <c r="I190" s="42"/>
      <c r="J190" s="42"/>
      <c r="K190" s="43"/>
    </row>
    <row r="191" spans="1:24" x14ac:dyDescent="0.2">
      <c r="A191" s="37">
        <f t="shared" si="14"/>
        <v>184</v>
      </c>
      <c r="B191" s="37" t="str">
        <f t="shared" si="16"/>
        <v xml:space="preserve">(324) </v>
      </c>
      <c r="C191" s="41" t="s">
        <v>6</v>
      </c>
      <c r="D191" s="42"/>
      <c r="E191" s="42"/>
      <c r="F191" s="42"/>
      <c r="G191" s="42"/>
      <c r="H191" s="42"/>
      <c r="I191" s="42"/>
      <c r="J191" s="42"/>
      <c r="K191" s="43"/>
      <c r="N191" s="44">
        <f>N19</f>
        <v>3.2690000000000002E-3</v>
      </c>
      <c r="O191" s="44" t="s">
        <v>5</v>
      </c>
      <c r="P191" s="43" t="str">
        <f>P$12</f>
        <v>Sheet No. 141CGR</v>
      </c>
      <c r="R191" s="44">
        <f>R19</f>
        <v>2.8699999999999998E-4</v>
      </c>
      <c r="S191" s="44" t="s">
        <v>5</v>
      </c>
      <c r="T191" s="43" t="str">
        <f>T$12</f>
        <v>Sheet No. 141DCARB</v>
      </c>
      <c r="V191" s="44">
        <f>V19</f>
        <v>1.2329999999999999E-3</v>
      </c>
      <c r="W191" s="44" t="s">
        <v>5</v>
      </c>
      <c r="X191" s="43" t="str">
        <f>X$12</f>
        <v>Sheet No. 141WFR</v>
      </c>
    </row>
    <row r="192" spans="1:24" x14ac:dyDescent="0.2">
      <c r="A192" s="37">
        <f t="shared" si="14"/>
        <v>185</v>
      </c>
      <c r="B192" s="37" t="str">
        <f t="shared" si="16"/>
        <v xml:space="preserve">(324) </v>
      </c>
      <c r="C192" s="50" t="s">
        <v>4</v>
      </c>
      <c r="D192" s="44"/>
      <c r="E192" s="44"/>
      <c r="F192" s="44"/>
      <c r="G192" s="44"/>
      <c r="H192" s="44"/>
      <c r="I192" s="44"/>
      <c r="J192" s="44"/>
      <c r="K192" s="43"/>
      <c r="N192" s="44"/>
      <c r="O192" s="44"/>
      <c r="P192" s="43"/>
      <c r="R192" s="44"/>
      <c r="S192" s="44"/>
      <c r="T192" s="43"/>
      <c r="V192" s="44"/>
      <c r="W192" s="44"/>
      <c r="X192" s="43"/>
    </row>
    <row r="193" spans="1:24" x14ac:dyDescent="0.2">
      <c r="A193" s="37">
        <f t="shared" si="14"/>
        <v>186</v>
      </c>
      <c r="B193" s="37" t="str">
        <f t="shared" si="16"/>
        <v xml:space="preserve">(324) </v>
      </c>
      <c r="C193" s="48" t="s">
        <v>2</v>
      </c>
      <c r="D193" s="44">
        <f>ROUND('Exh CTM-6 (TVR Rate Design)'!$G$114,6)</f>
        <v>0.18082200000000001</v>
      </c>
      <c r="E193" s="44"/>
      <c r="F193" s="44">
        <f>ROUND('Exh CTM-6 (TVR Rate Design)'!$H$114,6)</f>
        <v>0.231819</v>
      </c>
      <c r="G193" s="44">
        <f>+F193-D193</f>
        <v>5.0996999999999987E-2</v>
      </c>
      <c r="H193" s="44"/>
      <c r="I193" s="44">
        <f>ROUND('Exh CTM-6 (TVR Rate Design)'!$I$114,6)</f>
        <v>0.249083</v>
      </c>
      <c r="J193" s="44">
        <f>+I193-F193</f>
        <v>1.7264000000000002E-2</v>
      </c>
      <c r="K193" s="43" t="s">
        <v>0</v>
      </c>
      <c r="N193" s="44"/>
      <c r="O193" s="44"/>
      <c r="P193" s="43"/>
      <c r="R193" s="44"/>
      <c r="S193" s="44"/>
      <c r="T193" s="43"/>
      <c r="V193" s="44"/>
      <c r="W193" s="44"/>
      <c r="X193" s="43"/>
    </row>
    <row r="194" spans="1:24" x14ac:dyDescent="0.2">
      <c r="A194" s="37">
        <f t="shared" si="14"/>
        <v>187</v>
      </c>
      <c r="B194" s="37" t="str">
        <f t="shared" si="16"/>
        <v xml:space="preserve">(324) </v>
      </c>
      <c r="C194" s="48" t="s">
        <v>1</v>
      </c>
      <c r="D194" s="44">
        <f>ROUND('Exh CTM-6 (TVR Rate Design)'!$G$115,6)</f>
        <v>7.6999999999999999E-2</v>
      </c>
      <c r="E194" s="44"/>
      <c r="F194" s="44">
        <f>ROUND('Exh CTM-6 (TVR Rate Design)'!$H$115,6)</f>
        <v>9.8715999999999998E-2</v>
      </c>
      <c r="G194" s="44">
        <f>+F194-D194</f>
        <v>2.1715999999999999E-2</v>
      </c>
      <c r="H194" s="44"/>
      <c r="I194" s="44">
        <f>ROUND('Exh CTM-6 (TVR Rate Design)'!$I$115,6)</f>
        <v>0.106068</v>
      </c>
      <c r="J194" s="44">
        <f>+I194-F194</f>
        <v>7.3519999999999974E-3</v>
      </c>
      <c r="K194" s="43" t="s">
        <v>0</v>
      </c>
      <c r="N194" s="44"/>
      <c r="O194" s="44"/>
      <c r="P194" s="43"/>
      <c r="R194" s="44"/>
      <c r="S194" s="44"/>
      <c r="T194" s="43"/>
      <c r="V194" s="44"/>
      <c r="W194" s="44"/>
      <c r="X194" s="43"/>
    </row>
    <row r="195" spans="1:24" x14ac:dyDescent="0.2">
      <c r="A195" s="37">
        <f t="shared" si="14"/>
        <v>188</v>
      </c>
      <c r="B195" s="37" t="str">
        <f t="shared" si="16"/>
        <v xml:space="preserve">(324) </v>
      </c>
      <c r="C195" s="41" t="s">
        <v>3</v>
      </c>
      <c r="D195" s="44"/>
      <c r="E195" s="44"/>
      <c r="F195" s="44"/>
      <c r="G195" s="44"/>
      <c r="H195" s="44"/>
      <c r="I195" s="44"/>
      <c r="J195" s="44"/>
      <c r="K195" s="43"/>
      <c r="N195" s="44"/>
      <c r="O195" s="44"/>
      <c r="P195" s="43"/>
      <c r="R195" s="44"/>
      <c r="S195" s="44"/>
      <c r="T195" s="43"/>
      <c r="V195" s="44"/>
      <c r="W195" s="44"/>
      <c r="X195" s="43"/>
    </row>
    <row r="196" spans="1:24" x14ac:dyDescent="0.2">
      <c r="A196" s="37">
        <f t="shared" si="14"/>
        <v>189</v>
      </c>
      <c r="B196" s="37" t="str">
        <f t="shared" si="16"/>
        <v xml:space="preserve">(324) </v>
      </c>
      <c r="C196" s="48" t="s">
        <v>2</v>
      </c>
      <c r="D196" s="44">
        <f>ROUND('Exh CTM-6 (TVR Rate Design)'!$G$118,6)</f>
        <v>0.15570800000000001</v>
      </c>
      <c r="E196" s="44"/>
      <c r="F196" s="44">
        <f>ROUND('Exh CTM-6 (TVR Rate Design)'!$H$118,6)</f>
        <v>0.19962199999999999</v>
      </c>
      <c r="G196" s="44">
        <f>+F196-D196</f>
        <v>4.3913999999999981E-2</v>
      </c>
      <c r="H196" s="44"/>
      <c r="I196" s="44">
        <f>ROUND('Exh CTM-6 (TVR Rate Design)'!$I$118,6)</f>
        <v>0.21448900000000001</v>
      </c>
      <c r="J196" s="44">
        <f>+I196-F196</f>
        <v>1.4867000000000019E-2</v>
      </c>
      <c r="K196" s="43" t="s">
        <v>0</v>
      </c>
      <c r="N196" s="44"/>
      <c r="O196" s="44"/>
      <c r="P196" s="43"/>
      <c r="R196" s="44"/>
      <c r="S196" s="44"/>
      <c r="T196" s="43"/>
      <c r="V196" s="44"/>
      <c r="W196" s="44"/>
      <c r="X196" s="43"/>
    </row>
    <row r="197" spans="1:24" x14ac:dyDescent="0.2">
      <c r="A197" s="37">
        <f t="shared" si="14"/>
        <v>190</v>
      </c>
      <c r="B197" s="37" t="str">
        <f t="shared" si="16"/>
        <v xml:space="preserve">(324) </v>
      </c>
      <c r="C197" s="48" t="s">
        <v>1</v>
      </c>
      <c r="D197" s="44">
        <f>ROUND('Exh CTM-6 (TVR Rate Design)'!$G$119,6)</f>
        <v>7.6999999999999999E-2</v>
      </c>
      <c r="E197" s="44"/>
      <c r="F197" s="44">
        <f>ROUND('Exh CTM-6 (TVR Rate Design)'!$H$119,6)</f>
        <v>9.8715999999999998E-2</v>
      </c>
      <c r="G197" s="44">
        <f>+F197-D197</f>
        <v>2.1715999999999999E-2</v>
      </c>
      <c r="H197" s="44"/>
      <c r="I197" s="44">
        <f>ROUND('Exh CTM-6 (TVR Rate Design)'!$I$119,6)</f>
        <v>0.106068</v>
      </c>
      <c r="J197" s="44">
        <f>+I197-F197</f>
        <v>7.3519999999999974E-3</v>
      </c>
      <c r="K197" s="43" t="s">
        <v>0</v>
      </c>
      <c r="N197" s="44"/>
      <c r="O197" s="44"/>
      <c r="P197" s="43"/>
      <c r="R197" s="44"/>
      <c r="S197" s="44"/>
      <c r="T197" s="43"/>
      <c r="V197" s="44"/>
      <c r="W197" s="44"/>
      <c r="X197" s="43"/>
    </row>
    <row r="198" spans="1:24" x14ac:dyDescent="0.2">
      <c r="A198" s="37">
        <f t="shared" si="14"/>
        <v>191</v>
      </c>
      <c r="B198" s="37" t="str">
        <f t="shared" si="16"/>
        <v xml:space="preserve">(324) </v>
      </c>
      <c r="O198" s="44"/>
      <c r="P198" s="40"/>
      <c r="S198" s="44"/>
      <c r="T198" s="40"/>
      <c r="W198" s="44"/>
      <c r="X198" s="40"/>
    </row>
    <row r="199" spans="1:24" x14ac:dyDescent="0.2">
      <c r="A199" s="37">
        <f t="shared" si="14"/>
        <v>192</v>
      </c>
      <c r="B199" s="37" t="str">
        <f t="shared" si="16"/>
        <v xml:space="preserve">(324) </v>
      </c>
      <c r="C199" s="39" t="str">
        <f>'Exh CTM-6 (TVR Rate Design)'!B126</f>
        <v>PTR Credit Rate</v>
      </c>
      <c r="D199" s="44">
        <f>ROUND('Exh CTM-6 (TVR Rate Design)'!G126,6)</f>
        <v>0.452511</v>
      </c>
      <c r="E199" s="44"/>
      <c r="F199" s="44">
        <f>ROUND('Exh CTM-6 (TVR Rate Design)'!H126,6)</f>
        <v>0.58013300000000001</v>
      </c>
      <c r="G199" s="44">
        <f>+F199-D199</f>
        <v>0.12762200000000001</v>
      </c>
      <c r="H199" s="44"/>
      <c r="I199" s="44">
        <f>ROUND('Exh CTM-6 (TVR Rate Design)'!I126,6)</f>
        <v>0.623336</v>
      </c>
      <c r="J199" s="44">
        <f>+I199-F199</f>
        <v>4.3202999999999991E-2</v>
      </c>
      <c r="K199" s="43" t="s">
        <v>0</v>
      </c>
    </row>
    <row r="200" spans="1:24" x14ac:dyDescent="0.2">
      <c r="A200" s="37"/>
    </row>
  </sheetData>
  <mergeCells count="6">
    <mergeCell ref="V5:X5"/>
    <mergeCell ref="N5:P5"/>
    <mergeCell ref="R5:T5"/>
    <mergeCell ref="A1:X1"/>
    <mergeCell ref="A2:X2"/>
    <mergeCell ref="A3:X3"/>
  </mergeCells>
  <printOptions horizontalCentered="1"/>
  <pageMargins left="0.7" right="0.7" top="0.75" bottom="0.75" header="0.3" footer="0.3"/>
  <pageSetup scale="48" fitToHeight="0" orientation="landscape" r:id="rId1"/>
  <headerFooter alignWithMargins="0">
    <oddFooter>&amp;R&amp;F
&amp;A
&amp;P of &amp;N</oddFooter>
  </headerFooter>
  <colBreaks count="1" manualBreakCount="1">
    <brk id="17" max="201" man="1"/>
  </colBreaks>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3"/>
  <sheetViews>
    <sheetView zoomScaleNormal="100" workbookViewId="0">
      <pane xSplit="3" ySplit="8" topLeftCell="K9" activePane="bottomRight" state="frozen"/>
      <selection sqref="A1:XFD1048576"/>
      <selection pane="topRight" sqref="A1:XFD1048576"/>
      <selection pane="bottomLeft" sqref="A1:XFD1048576"/>
      <selection pane="bottomRight" activeCell="S15" sqref="S15"/>
    </sheetView>
  </sheetViews>
  <sheetFormatPr defaultColWidth="9.25" defaultRowHeight="11.25" x14ac:dyDescent="0.2"/>
  <cols>
    <col min="1" max="1" width="4.375" style="39" customWidth="1"/>
    <col min="2" max="2" width="47.25" style="39" customWidth="1"/>
    <col min="3" max="3" width="14.75" style="39" customWidth="1"/>
    <col min="4" max="4" width="13" style="39" customWidth="1"/>
    <col min="5" max="5" width="12.75" style="39" customWidth="1"/>
    <col min="6" max="6" width="0.625" style="39" customWidth="1"/>
    <col min="7" max="8" width="12.75" style="39" customWidth="1"/>
    <col min="9" max="9" width="0.875" style="39" customWidth="1"/>
    <col min="10" max="11" width="12.75" style="39" customWidth="1"/>
    <col min="12" max="12" width="0.875" style="39" customWidth="1"/>
    <col min="13" max="13" width="15.875" style="39" customWidth="1"/>
    <col min="14" max="14" width="11.5" style="39" customWidth="1"/>
    <col min="15" max="15" width="0.875" style="39" customWidth="1"/>
    <col min="16" max="18" width="11.875" style="39" customWidth="1"/>
    <col min="19" max="20" width="11.75" style="39" customWidth="1"/>
    <col min="21" max="21" width="12.75" style="39" customWidth="1"/>
    <col min="22" max="22" width="1.5" style="39" customWidth="1"/>
    <col min="23" max="23" width="9" style="39" customWidth="1"/>
    <col min="24" max="27" width="11.5" style="39" customWidth="1"/>
    <col min="28" max="29" width="12.75" style="39" customWidth="1"/>
    <col min="30" max="16384" width="9.25" style="39"/>
  </cols>
  <sheetData>
    <row r="1" spans="1:29" s="26" customFormat="1" ht="12.75" customHeight="1" x14ac:dyDescent="0.25">
      <c r="A1" s="371" t="str">
        <f>'Exh CTM-6 (Tariff)'!A1</f>
        <v>Puget Sound Energy</v>
      </c>
      <c r="B1" s="363" t="s">
        <v>217</v>
      </c>
      <c r="C1" s="363"/>
      <c r="D1" s="363"/>
      <c r="E1" s="363"/>
      <c r="F1" s="363"/>
      <c r="G1" s="363"/>
      <c r="H1" s="363"/>
      <c r="I1" s="363"/>
      <c r="J1" s="363"/>
      <c r="K1" s="363"/>
      <c r="L1" s="363"/>
      <c r="M1" s="363"/>
      <c r="N1" s="363"/>
      <c r="O1" s="363"/>
      <c r="P1" s="363"/>
      <c r="Q1" s="363"/>
      <c r="R1" s="363"/>
      <c r="S1" s="363"/>
      <c r="T1" s="363"/>
      <c r="U1" s="363"/>
      <c r="V1" s="364"/>
      <c r="W1" s="364"/>
      <c r="X1" s="364"/>
      <c r="Y1" s="364"/>
      <c r="Z1" s="364"/>
      <c r="AA1" s="364"/>
      <c r="AB1" s="364"/>
    </row>
    <row r="2" spans="1:29" s="26" customFormat="1" ht="12.75" customHeight="1" x14ac:dyDescent="0.25">
      <c r="A2" s="371" t="str">
        <f>'Exh CTM-6 (Tariff)'!A2</f>
        <v>2024 General Rate Case Docket No. UE-240004 and UG-240005</v>
      </c>
      <c r="B2" s="363" t="s">
        <v>219</v>
      </c>
      <c r="C2" s="363"/>
      <c r="D2" s="363"/>
      <c r="E2" s="363"/>
      <c r="F2" s="363"/>
      <c r="G2" s="363"/>
      <c r="H2" s="363"/>
      <c r="I2" s="363"/>
      <c r="J2" s="363"/>
      <c r="K2" s="363"/>
      <c r="L2" s="363"/>
      <c r="M2" s="363"/>
      <c r="N2" s="363"/>
      <c r="O2" s="363"/>
      <c r="P2" s="363"/>
      <c r="Q2" s="363"/>
      <c r="R2" s="363"/>
      <c r="S2" s="363"/>
      <c r="T2" s="363"/>
      <c r="U2" s="363"/>
      <c r="V2" s="364"/>
      <c r="W2" s="364"/>
      <c r="X2" s="364"/>
      <c r="Y2" s="364"/>
      <c r="Z2" s="364"/>
      <c r="AA2" s="364"/>
      <c r="AB2" s="364"/>
    </row>
    <row r="3" spans="1:29" s="26" customFormat="1" ht="12.75" customHeight="1" x14ac:dyDescent="0.25">
      <c r="A3" s="371" t="s">
        <v>218</v>
      </c>
      <c r="B3" s="363" t="s">
        <v>217</v>
      </c>
      <c r="C3" s="363"/>
      <c r="D3" s="363"/>
      <c r="E3" s="363"/>
      <c r="F3" s="363"/>
      <c r="G3" s="363"/>
      <c r="H3" s="363"/>
      <c r="I3" s="363"/>
      <c r="J3" s="363"/>
      <c r="K3" s="363"/>
      <c r="L3" s="363"/>
      <c r="M3" s="363"/>
      <c r="N3" s="363"/>
      <c r="O3" s="363"/>
      <c r="P3" s="363"/>
      <c r="Q3" s="363"/>
      <c r="R3" s="363"/>
      <c r="S3" s="363"/>
      <c r="T3" s="363"/>
      <c r="U3" s="363"/>
      <c r="V3" s="364"/>
      <c r="W3" s="364"/>
      <c r="X3" s="364"/>
      <c r="Y3" s="364"/>
      <c r="Z3" s="364"/>
      <c r="AA3" s="364"/>
      <c r="AB3" s="364"/>
    </row>
    <row r="4" spans="1:29" s="26" customFormat="1" ht="12.75" customHeight="1" x14ac:dyDescent="0.25">
      <c r="A4" s="363" t="s">
        <v>216</v>
      </c>
      <c r="B4" s="363" t="s">
        <v>215</v>
      </c>
      <c r="C4" s="363"/>
      <c r="D4" s="363"/>
      <c r="E4" s="363"/>
      <c r="F4" s="363"/>
      <c r="G4" s="363"/>
      <c r="H4" s="363"/>
      <c r="I4" s="363"/>
      <c r="J4" s="363"/>
      <c r="K4" s="363"/>
      <c r="L4" s="363"/>
      <c r="M4" s="363"/>
      <c r="N4" s="363"/>
      <c r="O4" s="363"/>
      <c r="P4" s="363"/>
      <c r="Q4" s="363"/>
      <c r="R4" s="363"/>
      <c r="S4" s="363"/>
      <c r="T4" s="363"/>
      <c r="U4" s="363"/>
      <c r="V4" s="364"/>
      <c r="W4" s="364"/>
      <c r="X4" s="364"/>
      <c r="Y4" s="364"/>
      <c r="Z4" s="364"/>
      <c r="AA4" s="364"/>
      <c r="AB4" s="364"/>
    </row>
    <row r="5" spans="1:29" s="26" customFormat="1" ht="12.75" customHeight="1" x14ac:dyDescent="0.25">
      <c r="A5" s="36"/>
      <c r="B5" s="36"/>
      <c r="C5" s="36"/>
      <c r="D5" s="36"/>
      <c r="E5" s="36"/>
      <c r="F5" s="36"/>
      <c r="G5" s="36"/>
      <c r="H5" s="36"/>
      <c r="I5" s="36"/>
      <c r="J5" s="36"/>
      <c r="K5" s="36"/>
      <c r="L5" s="36"/>
      <c r="M5" s="36"/>
      <c r="N5" s="36"/>
      <c r="O5" s="36"/>
      <c r="P5" s="36"/>
      <c r="Q5" s="38"/>
      <c r="R5" s="38"/>
      <c r="S5" s="38"/>
      <c r="T5" s="38"/>
      <c r="U5" s="36"/>
      <c r="V5" s="299"/>
      <c r="W5" s="299"/>
      <c r="X5" s="299"/>
      <c r="Y5" s="299"/>
      <c r="Z5" s="299"/>
      <c r="AA5" s="299"/>
      <c r="AB5" s="299"/>
    </row>
    <row r="6" spans="1:29" s="26" customFormat="1" ht="14.25" customHeight="1" x14ac:dyDescent="0.25">
      <c r="B6" s="29"/>
      <c r="C6" s="29"/>
      <c r="D6" s="29"/>
      <c r="E6" s="29"/>
      <c r="F6" s="29"/>
      <c r="G6" s="29"/>
      <c r="H6" s="29"/>
      <c r="I6" s="29"/>
      <c r="J6" s="29"/>
      <c r="K6" s="29"/>
      <c r="L6" s="29"/>
      <c r="M6" s="36"/>
      <c r="N6" s="29"/>
      <c r="O6" s="252"/>
      <c r="P6" s="372" t="s">
        <v>214</v>
      </c>
      <c r="Q6" s="373"/>
      <c r="R6" s="373"/>
      <c r="S6" s="373"/>
      <c r="T6" s="373"/>
      <c r="U6" s="374"/>
      <c r="W6" s="372" t="s">
        <v>163</v>
      </c>
      <c r="X6" s="375"/>
      <c r="Y6" s="375"/>
      <c r="Z6" s="375"/>
      <c r="AA6" s="375"/>
      <c r="AB6" s="376"/>
    </row>
    <row r="7" spans="1:29" s="26" customFormat="1" ht="67.5" x14ac:dyDescent="0.2">
      <c r="A7" s="35" t="s">
        <v>147</v>
      </c>
      <c r="B7" s="35" t="s">
        <v>213</v>
      </c>
      <c r="C7" s="35" t="s">
        <v>212</v>
      </c>
      <c r="D7" s="34" t="s">
        <v>211</v>
      </c>
      <c r="E7" s="34" t="s">
        <v>210</v>
      </c>
      <c r="F7" s="34"/>
      <c r="G7" s="34" t="s">
        <v>209</v>
      </c>
      <c r="H7" s="355" t="s">
        <v>208</v>
      </c>
      <c r="I7" s="34"/>
      <c r="J7" s="34" t="s">
        <v>207</v>
      </c>
      <c r="K7" s="34" t="s">
        <v>206</v>
      </c>
      <c r="L7" s="34"/>
      <c r="M7" s="34" t="s">
        <v>205</v>
      </c>
      <c r="N7" s="34" t="s">
        <v>204</v>
      </c>
      <c r="O7" s="34"/>
      <c r="P7" s="34" t="s">
        <v>203</v>
      </c>
      <c r="Q7" s="34" t="s">
        <v>202</v>
      </c>
      <c r="R7" s="34" t="s">
        <v>201</v>
      </c>
      <c r="S7" s="34" t="s">
        <v>200</v>
      </c>
      <c r="T7" s="34" t="s">
        <v>199</v>
      </c>
      <c r="U7" s="355" t="s">
        <v>198</v>
      </c>
      <c r="V7" s="34"/>
      <c r="W7" s="34" t="s">
        <v>203</v>
      </c>
      <c r="X7" s="34" t="s">
        <v>202</v>
      </c>
      <c r="Y7" s="34" t="s">
        <v>201</v>
      </c>
      <c r="Z7" s="34" t="s">
        <v>200</v>
      </c>
      <c r="AA7" s="34" t="s">
        <v>199</v>
      </c>
      <c r="AB7" s="355" t="s">
        <v>198</v>
      </c>
    </row>
    <row r="8" spans="1:29" x14ac:dyDescent="0.2">
      <c r="A8" s="253"/>
      <c r="B8" s="253" t="s">
        <v>137</v>
      </c>
      <c r="C8" s="253" t="s">
        <v>136</v>
      </c>
      <c r="D8" s="253" t="s">
        <v>135</v>
      </c>
      <c r="E8" s="253" t="s">
        <v>134</v>
      </c>
      <c r="F8" s="253"/>
      <c r="G8" s="253" t="s">
        <v>197</v>
      </c>
      <c r="H8" s="253" t="s">
        <v>132</v>
      </c>
      <c r="I8" s="253"/>
      <c r="J8" s="253" t="s">
        <v>196</v>
      </c>
      <c r="K8" s="253" t="s">
        <v>130</v>
      </c>
      <c r="L8" s="253"/>
      <c r="M8" s="253" t="s">
        <v>129</v>
      </c>
      <c r="N8" s="253" t="s">
        <v>128</v>
      </c>
      <c r="O8" s="253"/>
      <c r="P8" s="253" t="s">
        <v>127</v>
      </c>
      <c r="Q8" s="253" t="s">
        <v>195</v>
      </c>
      <c r="R8" s="253" t="s">
        <v>125</v>
      </c>
      <c r="S8" s="253" t="s">
        <v>124</v>
      </c>
      <c r="T8" s="253" t="s">
        <v>194</v>
      </c>
      <c r="U8" s="253" t="s">
        <v>193</v>
      </c>
      <c r="W8" s="253" t="s">
        <v>121</v>
      </c>
      <c r="X8" s="253" t="s">
        <v>192</v>
      </c>
      <c r="Y8" s="253" t="s">
        <v>191</v>
      </c>
      <c r="Z8" s="253" t="s">
        <v>190</v>
      </c>
      <c r="AA8" s="253" t="s">
        <v>189</v>
      </c>
      <c r="AB8" s="253" t="s">
        <v>188</v>
      </c>
    </row>
    <row r="9" spans="1:29" x14ac:dyDescent="0.2">
      <c r="A9" s="38">
        <v>1</v>
      </c>
      <c r="B9" s="40" t="s">
        <v>187</v>
      </c>
      <c r="C9" s="37" t="str">
        <f>'Exh CTM-6 (Tariff)'!B8</f>
        <v>7 (307) (317) (327)</v>
      </c>
      <c r="D9" s="71">
        <f>'Exh CTM-6 (Rate Design)'!C23</f>
        <v>11222841033.120834</v>
      </c>
      <c r="E9" s="72">
        <f>'Exh CTM-6 (Rate Design)'!K24</f>
        <v>1194479866.6739793</v>
      </c>
      <c r="F9" s="70"/>
      <c r="G9" s="71">
        <f>'Exh CTM-6 (Rate Design)'!D23</f>
        <v>11278205851.395365</v>
      </c>
      <c r="H9" s="72">
        <f>'Exh CTM-6 (Rate Design)'!L24</f>
        <v>1204729170.6118267</v>
      </c>
      <c r="I9" s="70"/>
      <c r="J9" s="71">
        <f>'Exh CTM-6 (Rate Design)'!E23</f>
        <v>11447649239.71397</v>
      </c>
      <c r="K9" s="72">
        <f>'Exh CTM-6 (Rate Design)'!M24</f>
        <v>1222343143.6540134</v>
      </c>
      <c r="L9" s="70"/>
      <c r="M9" s="255">
        <v>1</v>
      </c>
      <c r="N9" s="90">
        <v>0.99</v>
      </c>
      <c r="O9" s="90"/>
      <c r="P9" s="254">
        <f>+$M$47*M9</f>
        <v>0.27142568871570055</v>
      </c>
      <c r="Q9" s="72">
        <f>+H9*P9</f>
        <v>326994444.84920979</v>
      </c>
      <c r="R9" s="254">
        <v>0.9796829790977778</v>
      </c>
      <c r="S9" s="72">
        <f>R9*$M$42</f>
        <v>8547545.7169345114</v>
      </c>
      <c r="T9" s="254">
        <f>(Q9+S9)/H9</f>
        <v>0.27852068228391774</v>
      </c>
      <c r="U9" s="72">
        <f>+H9+Q9+S9</f>
        <v>1540271161.1779709</v>
      </c>
      <c r="V9" s="3"/>
      <c r="W9" s="254">
        <f>+$N$47*M9</f>
        <v>0.12262469533098844</v>
      </c>
      <c r="X9" s="72">
        <f>+K9*W9</f>
        <v>149889455.58049601</v>
      </c>
      <c r="Y9" s="254">
        <f>R9</f>
        <v>0.9796829790977778</v>
      </c>
      <c r="Z9" s="72">
        <f>Y9*$N$42</f>
        <v>-534258.54710216762</v>
      </c>
      <c r="AA9" s="254">
        <f>(X9+Z9)/K9</f>
        <v>0.12218761794410583</v>
      </c>
      <c r="AB9" s="72">
        <f>+K9+X9+Z9+Q9+S9</f>
        <v>1707240331.2535515</v>
      </c>
      <c r="AC9" s="70"/>
    </row>
    <row r="10" spans="1:29" x14ac:dyDescent="0.2">
      <c r="A10" s="38">
        <f t="shared" ref="A10:A41" si="0">+A9+1</f>
        <v>2</v>
      </c>
      <c r="C10" s="37"/>
      <c r="D10" s="69"/>
      <c r="E10" s="70"/>
      <c r="F10" s="70"/>
      <c r="G10" s="70"/>
      <c r="H10" s="70"/>
      <c r="I10" s="70"/>
      <c r="J10" s="70"/>
      <c r="K10" s="70"/>
      <c r="L10" s="70"/>
      <c r="M10" s="37"/>
      <c r="N10" s="90"/>
      <c r="O10" s="90"/>
      <c r="P10" s="255"/>
      <c r="Q10" s="70"/>
      <c r="R10" s="255"/>
      <c r="S10" s="70"/>
      <c r="T10" s="255"/>
      <c r="U10" s="70"/>
      <c r="V10" s="70"/>
      <c r="W10" s="255"/>
      <c r="X10" s="70"/>
      <c r="Y10" s="255"/>
      <c r="Z10" s="70"/>
      <c r="AA10" s="255"/>
      <c r="AB10" s="70"/>
    </row>
    <row r="11" spans="1:29" x14ac:dyDescent="0.2">
      <c r="A11" s="38">
        <f t="shared" si="0"/>
        <v>3</v>
      </c>
      <c r="B11" s="39" t="s">
        <v>186</v>
      </c>
      <c r="C11" s="37"/>
      <c r="D11" s="69"/>
      <c r="E11" s="70"/>
      <c r="F11" s="70"/>
      <c r="G11" s="70"/>
      <c r="H11" s="70"/>
      <c r="I11" s="70"/>
      <c r="J11" s="70"/>
      <c r="K11" s="70"/>
      <c r="L11" s="70"/>
      <c r="M11" s="37"/>
      <c r="N11" s="90"/>
      <c r="O11" s="90"/>
      <c r="P11" s="255"/>
      <c r="Q11" s="70"/>
      <c r="R11" s="255"/>
      <c r="S11" s="70"/>
      <c r="T11" s="255"/>
      <c r="U11" s="70"/>
      <c r="V11" s="70"/>
      <c r="W11" s="255"/>
      <c r="X11" s="70"/>
      <c r="Y11" s="255"/>
      <c r="Z11" s="70"/>
      <c r="AA11" s="255"/>
      <c r="AB11" s="70"/>
    </row>
    <row r="12" spans="1:29" x14ac:dyDescent="0.2">
      <c r="A12" s="38">
        <f t="shared" si="0"/>
        <v>4</v>
      </c>
      <c r="B12" s="41" t="s">
        <v>185</v>
      </c>
      <c r="C12" s="45" t="str">
        <f>'Exh CTM-6 (Tariff)'!B15</f>
        <v>08 (24) (324)</v>
      </c>
      <c r="D12" s="257">
        <f>'Exh CTM-6 (Rate Design)'!C43</f>
        <v>2758819083.8366814</v>
      </c>
      <c r="E12" s="70">
        <f>'Exh CTM-6 (Rate Design)'!K44</f>
        <v>274417195.40873098</v>
      </c>
      <c r="F12" s="70"/>
      <c r="G12" s="257">
        <f>'Exh CTM-6 (Rate Design)'!D43</f>
        <v>2762635966.1696987</v>
      </c>
      <c r="H12" s="70">
        <f>'Exh CTM-6 (Rate Design)'!L44</f>
        <v>276203426.20525771</v>
      </c>
      <c r="I12" s="257"/>
      <c r="J12" s="257">
        <f>'Exh CTM-6 (Rate Design)'!E43</f>
        <v>2774967422.2693906</v>
      </c>
      <c r="K12" s="70">
        <f>'Exh CTM-6 (Rate Design)'!M44</f>
        <v>277607845.28830719</v>
      </c>
      <c r="L12" s="70"/>
      <c r="M12" s="255">
        <v>1</v>
      </c>
      <c r="N12" s="90">
        <v>1.05</v>
      </c>
      <c r="O12" s="90"/>
      <c r="P12" s="254">
        <f>+$M$47*M12</f>
        <v>0.27142568871570055</v>
      </c>
      <c r="Q12" s="70">
        <f>+H12*P12</f>
        <v>74968705.183398247</v>
      </c>
      <c r="R12" s="254">
        <v>2.5396276127777756E-3</v>
      </c>
      <c r="S12" s="70">
        <f>R12*$M$42</f>
        <v>22157.762855284593</v>
      </c>
      <c r="T12" s="254">
        <f>(Q12+S12)/H12</f>
        <v>0.27150591133697544</v>
      </c>
      <c r="U12" s="70">
        <f>+H12+Q12+S12</f>
        <v>351194289.15151125</v>
      </c>
      <c r="V12" s="70"/>
      <c r="W12" s="254">
        <f>+$N$47*M12</f>
        <v>0.12262469533098844</v>
      </c>
      <c r="X12" s="70">
        <f>+K12*W12</f>
        <v>34041577.449970841</v>
      </c>
      <c r="Y12" s="254">
        <f>R12</f>
        <v>2.5396276127777756E-3</v>
      </c>
      <c r="Z12" s="70">
        <f>Y12*$N$42</f>
        <v>-1384.9559373101888</v>
      </c>
      <c r="AA12" s="254">
        <f>(X12+Z12)/K12</f>
        <v>0.12261970643762386</v>
      </c>
      <c r="AB12" s="70">
        <f>+K12+X12+Z12+Q12+S12</f>
        <v>386638900.72859424</v>
      </c>
    </row>
    <row r="13" spans="1:29" x14ac:dyDescent="0.2">
      <c r="A13" s="38">
        <f t="shared" si="0"/>
        <v>5</v>
      </c>
      <c r="B13" s="41" t="s">
        <v>183</v>
      </c>
      <c r="C13" s="45" t="str">
        <f>'Exh CTM-6 (Tariff)'!B22</f>
        <v>7A (11) (25)</v>
      </c>
      <c r="D13" s="257">
        <f>'Exh CTM-6 (Rate Design)'!C61</f>
        <v>2994668244.4122462</v>
      </c>
      <c r="E13" s="70">
        <f>'Exh CTM-6 (Rate Design)'!K69</f>
        <v>272825579.98281199</v>
      </c>
      <c r="F13" s="70"/>
      <c r="G13" s="257">
        <f>'Exh CTM-6 (Rate Design)'!D61</f>
        <v>2960202274.8054705</v>
      </c>
      <c r="H13" s="70">
        <f>'Exh CTM-6 (Rate Design)'!L69</f>
        <v>269454987.66446799</v>
      </c>
      <c r="I13" s="257"/>
      <c r="J13" s="257">
        <f>'Exh CTM-6 (Rate Design)'!E61</f>
        <v>2968720174.6374388</v>
      </c>
      <c r="K13" s="70">
        <f>'Exh CTM-6 (Rate Design)'!M69</f>
        <v>270193139.92299938</v>
      </c>
      <c r="L13" s="70"/>
      <c r="M13" s="255">
        <v>1</v>
      </c>
      <c r="N13" s="90">
        <v>0.99</v>
      </c>
      <c r="O13" s="90"/>
      <c r="P13" s="254">
        <f>+$M$47*M13</f>
        <v>0.27142568871570055</v>
      </c>
      <c r="Q13" s="70">
        <f>+H13*P13</f>
        <v>73137005.604708821</v>
      </c>
      <c r="R13" s="254">
        <f>$R$12</f>
        <v>2.5396276127777756E-3</v>
      </c>
      <c r="S13" s="70">
        <f>R13*$M$42</f>
        <v>22157.762855284593</v>
      </c>
      <c r="T13" s="254">
        <f>(Q13+S13)/H13</f>
        <v>0.2715079204941781</v>
      </c>
      <c r="U13" s="70">
        <f>+H13+Q13+S13</f>
        <v>342614151.03203213</v>
      </c>
      <c r="V13" s="70"/>
      <c r="W13" s="254">
        <f>+$N$47*M13</f>
        <v>0.12262469533098844</v>
      </c>
      <c r="X13" s="70">
        <f>+K13*W13</f>
        <v>33132351.463580929</v>
      </c>
      <c r="Y13" s="254">
        <f>R13</f>
        <v>2.5396276127777756E-3</v>
      </c>
      <c r="Z13" s="70">
        <f>Y13*$N$42</f>
        <v>-1384.9559373101888</v>
      </c>
      <c r="AA13" s="254">
        <f>(X13+Z13)/K13</f>
        <v>0.12261956953120794</v>
      </c>
      <c r="AB13" s="70">
        <f>+K13+X13+Z13+Q13+S13</f>
        <v>376483269.79820704</v>
      </c>
    </row>
    <row r="14" spans="1:29" x14ac:dyDescent="0.2">
      <c r="A14" s="38">
        <f t="shared" si="0"/>
        <v>6</v>
      </c>
      <c r="B14" s="41" t="s">
        <v>184</v>
      </c>
      <c r="C14" s="45" t="str">
        <f>'Exh CTM-6 (Tariff)'!B35</f>
        <v>12 (26) (26P)</v>
      </c>
      <c r="D14" s="257">
        <f>'Exh CTM-6 (Rate Design)'!C86+'Exh CTM-6 (Rate Design)'!C135</f>
        <v>1812412373.5068226</v>
      </c>
      <c r="E14" s="70">
        <f>'Exh CTM-6 (Rate Design)'!K94+'Exh CTM-6 (Rate Design)'!K114+'Exh CTM-6 (Rate Design)'!K145</f>
        <v>152673452.96303001</v>
      </c>
      <c r="F14" s="70"/>
      <c r="G14" s="257">
        <f>'Exh CTM-6 (Rate Design)'!D86+'Exh CTM-6 (Rate Design)'!D135</f>
        <v>2013891730.8000479</v>
      </c>
      <c r="H14" s="70">
        <f>'Exh CTM-6 (Rate Design)'!L94+'Exh CTM-6 (Rate Design)'!L114+'Exh CTM-6 (Rate Design)'!L145</f>
        <v>166247587.39595214</v>
      </c>
      <c r="I14" s="257"/>
      <c r="J14" s="257">
        <f>'Exh CTM-6 (Rate Design)'!E86+'Exh CTM-6 (Rate Design)'!E135</f>
        <v>2056791563.2414525</v>
      </c>
      <c r="K14" s="70">
        <f>'Exh CTM-6 (Rate Design)'!M94+'Exh CTM-6 (Rate Design)'!M114+'Exh CTM-6 (Rate Design)'!M145</f>
        <v>169813646.34455776</v>
      </c>
      <c r="L14" s="70"/>
      <c r="M14" s="255">
        <v>1</v>
      </c>
      <c r="N14" s="90">
        <v>0.99</v>
      </c>
      <c r="O14" s="90"/>
      <c r="P14" s="254">
        <f>+$M$47*M14</f>
        <v>0.27142568871570055</v>
      </c>
      <c r="Q14" s="70">
        <f>+H14*P14</f>
        <v>45123865.90626993</v>
      </c>
      <c r="R14" s="254">
        <f>$R$12</f>
        <v>2.5396276127777756E-3</v>
      </c>
      <c r="S14" s="70">
        <f>R14*$M$42</f>
        <v>22157.762855284593</v>
      </c>
      <c r="T14" s="254">
        <f>(Q14+S14)/H14</f>
        <v>0.27155897042644511</v>
      </c>
      <c r="U14" s="70">
        <f>+H14+Q14+S14</f>
        <v>211393611.06507736</v>
      </c>
      <c r="V14" s="70"/>
      <c r="W14" s="254">
        <f>+$N$47*M14</f>
        <v>0.12262469533098844</v>
      </c>
      <c r="X14" s="70">
        <f>+K14*W14</f>
        <v>20823346.646045614</v>
      </c>
      <c r="Y14" s="254">
        <f>R14</f>
        <v>2.5396276127777756E-3</v>
      </c>
      <c r="Z14" s="70">
        <f>Y14*$N$42</f>
        <v>-1384.9559373101888</v>
      </c>
      <c r="AA14" s="254">
        <f>(X14+Z14)/K14</f>
        <v>0.12261653959105161</v>
      </c>
      <c r="AB14" s="70">
        <f>+K14+X14+Z14+Q14+S14</f>
        <v>235781631.70379132</v>
      </c>
    </row>
    <row r="15" spans="1:29" x14ac:dyDescent="0.2">
      <c r="A15" s="38">
        <f t="shared" si="0"/>
        <v>7</v>
      </c>
      <c r="B15" s="41" t="s">
        <v>183</v>
      </c>
      <c r="C15" s="45" t="str">
        <f>'Exh CTM-6 (Tariff)'!B59</f>
        <v>29</v>
      </c>
      <c r="D15" s="257">
        <f>'Exh CTM-6 (Rate Design)'!C171</f>
        <v>13571856</v>
      </c>
      <c r="E15" s="70">
        <f>'Exh CTM-6 (Rate Design)'!K179</f>
        <v>1146110.070449</v>
      </c>
      <c r="F15" s="70"/>
      <c r="G15" s="257">
        <f>'Exh CTM-6 (Rate Design)'!D171</f>
        <v>14930059.630887466</v>
      </c>
      <c r="H15" s="70">
        <f>'Exh CTM-6 (Rate Design)'!L179</f>
        <v>1218190.4620676418</v>
      </c>
      <c r="I15" s="257"/>
      <c r="J15" s="257">
        <f>'Exh CTM-6 (Rate Design)'!E171</f>
        <v>14843026.361509496</v>
      </c>
      <c r="K15" s="70">
        <f>'Exh CTM-6 (Rate Design)'!M179</f>
        <v>1212218.9178831319</v>
      </c>
      <c r="L15" s="70"/>
      <c r="M15" s="255">
        <v>1</v>
      </c>
      <c r="N15" s="90">
        <f>N13</f>
        <v>0.99</v>
      </c>
      <c r="O15" s="90"/>
      <c r="P15" s="254">
        <f>+$M$47*M15</f>
        <v>0.27142568871570055</v>
      </c>
      <c r="Q15" s="70">
        <f>+H15*P15</f>
        <v>330648.18515360716</v>
      </c>
      <c r="R15" s="254">
        <f>$R$12</f>
        <v>2.5396276127777756E-3</v>
      </c>
      <c r="S15" s="70">
        <f>R15*$M$42</f>
        <v>22157.762855284593</v>
      </c>
      <c r="T15" s="254">
        <f>(Q15+S15)/H15</f>
        <v>0.28961476796499636</v>
      </c>
      <c r="U15" s="70">
        <f>+H15+Q15+S15</f>
        <v>1570996.4100765337</v>
      </c>
      <c r="V15" s="70"/>
      <c r="W15" s="254">
        <f>+$N$47*M15</f>
        <v>0.12262469533098844</v>
      </c>
      <c r="X15" s="70">
        <f>+K15*W15</f>
        <v>148647.97547987953</v>
      </c>
      <c r="Y15" s="254">
        <f>R15</f>
        <v>2.5396276127777756E-3</v>
      </c>
      <c r="Z15" s="70">
        <f>Y15*$N$42</f>
        <v>-1384.9559373101888</v>
      </c>
      <c r="AA15" s="254">
        <f>(X15+Z15)/K15</f>
        <v>0.12148219877621705</v>
      </c>
      <c r="AB15" s="70">
        <f>+K15+X15+Z15+Q15+S15</f>
        <v>1712287.8854345933</v>
      </c>
    </row>
    <row r="16" spans="1:29" x14ac:dyDescent="0.2">
      <c r="A16" s="38">
        <f t="shared" si="0"/>
        <v>8</v>
      </c>
      <c r="B16" s="43" t="s">
        <v>182</v>
      </c>
      <c r="C16" s="37"/>
      <c r="D16" s="256">
        <f>SUM(D12:D15)</f>
        <v>7579471557.7557507</v>
      </c>
      <c r="E16" s="72">
        <f>SUM(E12:E15)</f>
        <v>701062338.42502189</v>
      </c>
      <c r="F16" s="70"/>
      <c r="G16" s="256">
        <f>SUM(G12:G15)</f>
        <v>7751660031.4061041</v>
      </c>
      <c r="H16" s="72">
        <f>SUM(H12:H15)</f>
        <v>713124191.72774541</v>
      </c>
      <c r="I16" s="70"/>
      <c r="J16" s="256">
        <f>SUM(J12:J15)</f>
        <v>7815322186.5097914</v>
      </c>
      <c r="K16" s="72">
        <f>SUM(K12:K15)</f>
        <v>718826850.47374749</v>
      </c>
      <c r="L16" s="70"/>
      <c r="M16" s="37"/>
      <c r="N16" s="90"/>
      <c r="O16" s="90"/>
      <c r="P16" s="254"/>
      <c r="Q16" s="72">
        <f>SUM(Q12:Q15)</f>
        <v>193560224.87953061</v>
      </c>
      <c r="R16" s="254"/>
      <c r="S16" s="72">
        <f>SUM(S12:S15)</f>
        <v>88631.051421138371</v>
      </c>
      <c r="T16" s="254"/>
      <c r="U16" s="72">
        <f>SUM(U12:U15)</f>
        <v>906773047.65869725</v>
      </c>
      <c r="V16" s="70"/>
      <c r="W16" s="254"/>
      <c r="X16" s="72">
        <f>SUM(X12:X15)</f>
        <v>88145923.535077274</v>
      </c>
      <c r="Y16" s="254"/>
      <c r="Z16" s="72">
        <f>SUM(Z12:Z15)</f>
        <v>-5539.8237492407552</v>
      </c>
      <c r="AA16" s="254"/>
      <c r="AB16" s="72">
        <f>SUM(AB12:AB15)</f>
        <v>1000616090.1160274</v>
      </c>
    </row>
    <row r="17" spans="1:28" x14ac:dyDescent="0.2">
      <c r="A17" s="38">
        <f t="shared" si="0"/>
        <v>9</v>
      </c>
      <c r="C17" s="37"/>
      <c r="D17" s="257"/>
      <c r="E17" s="70"/>
      <c r="F17" s="70"/>
      <c r="G17" s="257"/>
      <c r="H17" s="70"/>
      <c r="I17" s="70"/>
      <c r="J17" s="257"/>
      <c r="K17" s="70"/>
      <c r="L17" s="70"/>
      <c r="M17" s="37"/>
      <c r="N17" s="90"/>
      <c r="O17" s="90"/>
      <c r="P17" s="254"/>
      <c r="Q17" s="70"/>
      <c r="R17" s="254"/>
      <c r="S17" s="70"/>
      <c r="T17" s="254"/>
      <c r="U17" s="70"/>
      <c r="V17" s="70"/>
      <c r="W17" s="254"/>
      <c r="X17" s="70"/>
      <c r="Y17" s="254"/>
      <c r="Z17" s="70"/>
      <c r="AA17" s="254"/>
      <c r="AB17" s="70"/>
    </row>
    <row r="18" spans="1:28" x14ac:dyDescent="0.2">
      <c r="A18" s="38">
        <f t="shared" si="0"/>
        <v>10</v>
      </c>
      <c r="B18" s="39" t="s">
        <v>181</v>
      </c>
      <c r="C18" s="37"/>
      <c r="D18" s="257"/>
      <c r="E18" s="70"/>
      <c r="F18" s="70"/>
      <c r="G18" s="257"/>
      <c r="H18" s="70"/>
      <c r="I18" s="70"/>
      <c r="J18" s="257"/>
      <c r="K18" s="70"/>
      <c r="L18" s="70"/>
      <c r="M18" s="37"/>
      <c r="N18" s="90"/>
      <c r="O18" s="90"/>
      <c r="P18" s="254"/>
      <c r="Q18" s="70"/>
      <c r="R18" s="254"/>
      <c r="S18" s="70"/>
      <c r="T18" s="254"/>
      <c r="U18" s="70"/>
      <c r="V18" s="70"/>
      <c r="W18" s="254"/>
      <c r="X18" s="70"/>
      <c r="Y18" s="254"/>
      <c r="Z18" s="70"/>
      <c r="AA18" s="254"/>
      <c r="AB18" s="70"/>
    </row>
    <row r="19" spans="1:28" x14ac:dyDescent="0.2">
      <c r="A19" s="38">
        <f t="shared" si="0"/>
        <v>11</v>
      </c>
      <c r="B19" s="41" t="s">
        <v>180</v>
      </c>
      <c r="C19" s="45" t="str">
        <f>'Exh CTM-6 (Tariff)'!B74</f>
        <v>10 (31)</v>
      </c>
      <c r="D19" s="257">
        <f>'Exh CTM-6 (Rate Design)'!C195</f>
        <v>1384443591.3347163</v>
      </c>
      <c r="E19" s="70">
        <f>'Exh CTM-6 (Rate Design)'!K203+'Exh CTM-6 (Rate Design)'!K223</f>
        <v>114129995.14412828</v>
      </c>
      <c r="F19" s="70"/>
      <c r="G19" s="257">
        <f>'Exh CTM-6 (Rate Design)'!D195</f>
        <v>1423586019.4788036</v>
      </c>
      <c r="H19" s="70">
        <f>'Exh CTM-6 (Rate Design)'!L203+'Exh CTM-6 (Rate Design)'!L223</f>
        <v>115242157.06590378</v>
      </c>
      <c r="I19" s="257"/>
      <c r="J19" s="257">
        <f>'Exh CTM-6 (Rate Design)'!E195</f>
        <v>1411297972.0883911</v>
      </c>
      <c r="K19" s="70">
        <f>'Exh CTM-6 (Rate Design)'!M203+'Exh CTM-6 (Rate Design)'!M223</f>
        <v>114154211.80589652</v>
      </c>
      <c r="L19" s="70"/>
      <c r="M19" s="255">
        <v>1</v>
      </c>
      <c r="N19" s="90">
        <v>1</v>
      </c>
      <c r="O19" s="90"/>
      <c r="P19" s="254">
        <f>+$M$47*M19</f>
        <v>0.27142568871570055</v>
      </c>
      <c r="Q19" s="70">
        <f>+H19*P19</f>
        <v>31279681.850695871</v>
      </c>
      <c r="R19" s="254">
        <f>$R$12</f>
        <v>2.5396276127777756E-3</v>
      </c>
      <c r="S19" s="70">
        <f>R19*$M$42</f>
        <v>22157.762855284593</v>
      </c>
      <c r="T19" s="254">
        <f>(Q19+S19)/H19</f>
        <v>0.27161796004608368</v>
      </c>
      <c r="U19" s="70">
        <f>+H19+Q19+S19</f>
        <v>146543996.67945495</v>
      </c>
      <c r="V19" s="70"/>
      <c r="W19" s="254">
        <f>+$N$47*M19</f>
        <v>0.12262469533098844</v>
      </c>
      <c r="X19" s="70">
        <f>+K19*W19</f>
        <v>13998125.443447184</v>
      </c>
      <c r="Y19" s="254">
        <f>R19</f>
        <v>2.5396276127777756E-3</v>
      </c>
      <c r="Z19" s="70">
        <f>Y19*$N$42</f>
        <v>-1384.9559373101888</v>
      </c>
      <c r="AA19" s="254">
        <f>(X19+Z19)/K19</f>
        <v>0.12261256300651786</v>
      </c>
      <c r="AB19" s="70">
        <f>+K19+X19+Z19+Q19+S19</f>
        <v>159452791.90695757</v>
      </c>
    </row>
    <row r="20" spans="1:28" x14ac:dyDescent="0.2">
      <c r="A20" s="38">
        <f t="shared" si="0"/>
        <v>12</v>
      </c>
      <c r="B20" s="41" t="s">
        <v>179</v>
      </c>
      <c r="C20" s="45" t="str">
        <f>'Exh CTM-6 (Tariff)'!B88</f>
        <v>35</v>
      </c>
      <c r="D20" s="257">
        <f>'Exh CTM-6 (Rate Design)'!C243</f>
        <v>5272770</v>
      </c>
      <c r="E20" s="70">
        <f>'Exh CTM-6 (Rate Design)'!K251</f>
        <v>362878.33666000003</v>
      </c>
      <c r="F20" s="70"/>
      <c r="G20" s="257">
        <f>'Exh CTM-6 (Rate Design)'!D243</f>
        <v>4407260.1568774413</v>
      </c>
      <c r="H20" s="70">
        <f>'Exh CTM-6 (Rate Design)'!L251</f>
        <v>273041.40619508282</v>
      </c>
      <c r="I20" s="70"/>
      <c r="J20" s="257">
        <f>'Exh CTM-6 (Rate Design)'!E243</f>
        <v>4380281.1514552524</v>
      </c>
      <c r="K20" s="70">
        <f>'Exh CTM-6 (Rate Design)'!M251</f>
        <v>271403.59614562948</v>
      </c>
      <c r="L20" s="70"/>
      <c r="M20" s="255">
        <v>1.5</v>
      </c>
      <c r="N20" s="90">
        <v>0.52</v>
      </c>
      <c r="O20" s="90"/>
      <c r="P20" s="254">
        <f>+$M$47*M20</f>
        <v>0.40713853307355086</v>
      </c>
      <c r="Q20" s="70">
        <f>+H20*P20</f>
        <v>111165.67758660555</v>
      </c>
      <c r="R20" s="254">
        <f>$R$12</f>
        <v>2.5396276127777756E-3</v>
      </c>
      <c r="S20" s="70">
        <f>R20*$M$42</f>
        <v>22157.762855284593</v>
      </c>
      <c r="T20" s="254">
        <f>(Q20+S20)/H20</f>
        <v>0.48829019121969042</v>
      </c>
      <c r="U20" s="70">
        <f>+H20+Q20+S20</f>
        <v>406364.84663697297</v>
      </c>
      <c r="V20" s="70"/>
      <c r="W20" s="254">
        <f>+$N$47*M20</f>
        <v>0.18393704299648267</v>
      </c>
      <c r="X20" s="70">
        <f>+K20*W20</f>
        <v>49921.174933638664</v>
      </c>
      <c r="Y20" s="254">
        <f>R20</f>
        <v>2.5396276127777756E-3</v>
      </c>
      <c r="Z20" s="70">
        <f>Y20*$N$42</f>
        <v>-1384.9559373101888</v>
      </c>
      <c r="AA20" s="254">
        <f>(X20+Z20)/K20</f>
        <v>0.17883410421092932</v>
      </c>
      <c r="AB20" s="70">
        <f>+K20+X20+Z20+Q20+S20</f>
        <v>453263.25558384811</v>
      </c>
    </row>
    <row r="21" spans="1:28" x14ac:dyDescent="0.2">
      <c r="A21" s="38">
        <f t="shared" si="0"/>
        <v>13</v>
      </c>
      <c r="B21" s="50" t="s">
        <v>178</v>
      </c>
      <c r="C21" s="37">
        <v>43</v>
      </c>
      <c r="D21" s="257">
        <f>'Exh CTM-6 (Rate Design)'!C267</f>
        <v>121497637.67220283</v>
      </c>
      <c r="E21" s="70">
        <f>'Exh CTM-6 (Rate Design)'!K276</f>
        <v>10359297.581659</v>
      </c>
      <c r="F21" s="70"/>
      <c r="G21" s="257">
        <f>'Exh CTM-6 (Rate Design)'!D267</f>
        <v>122267424.6450724</v>
      </c>
      <c r="H21" s="70">
        <f>'Exh CTM-6 (Rate Design)'!L276</f>
        <v>10672382.731891481</v>
      </c>
      <c r="I21" s="70"/>
      <c r="J21" s="257">
        <f>'Exh CTM-6 (Rate Design)'!E267</f>
        <v>121633779.10385114</v>
      </c>
      <c r="K21" s="70">
        <f>'Exh CTM-6 (Rate Design)'!M276</f>
        <v>10605568.012262374</v>
      </c>
      <c r="L21" s="70"/>
      <c r="M21" s="255">
        <v>1</v>
      </c>
      <c r="N21" s="90">
        <v>0.99</v>
      </c>
      <c r="O21" s="90"/>
      <c r="P21" s="254">
        <f>+$M$47*M21</f>
        <v>0.27142568871570055</v>
      </c>
      <c r="Q21" s="70">
        <f>+H21*P21</f>
        <v>2896758.833241195</v>
      </c>
      <c r="R21" s="254">
        <f>$R$12</f>
        <v>2.5396276127777756E-3</v>
      </c>
      <c r="S21" s="70">
        <f>R21*$M$42</f>
        <v>22157.762855284593</v>
      </c>
      <c r="T21" s="254">
        <f>(Q21+S21)/H21</f>
        <v>0.27350186639897195</v>
      </c>
      <c r="U21" s="70">
        <f>+H21+Q21+S21</f>
        <v>13591299.32798796</v>
      </c>
      <c r="V21" s="70"/>
      <c r="W21" s="254">
        <f>+$N$47*M21</f>
        <v>0.12262469533098844</v>
      </c>
      <c r="X21" s="70">
        <f>+K21*W21</f>
        <v>1300504.5463157503</v>
      </c>
      <c r="Y21" s="254">
        <f>R21</f>
        <v>2.5396276127777756E-3</v>
      </c>
      <c r="Z21" s="70">
        <f>Y21*$N$42</f>
        <v>-1384.9559373101888</v>
      </c>
      <c r="AA21" s="254">
        <f>(X21+Z21)/K21</f>
        <v>0.12249410770610038</v>
      </c>
      <c r="AB21" s="70">
        <f>+K21+X21+Z21+Q21+S21</f>
        <v>14823604.198737292</v>
      </c>
    </row>
    <row r="22" spans="1:28" x14ac:dyDescent="0.2">
      <c r="A22" s="38">
        <f t="shared" si="0"/>
        <v>14</v>
      </c>
      <c r="B22" s="40" t="s">
        <v>177</v>
      </c>
      <c r="C22" s="37"/>
      <c r="D22" s="256">
        <f>SUM(D19:D21)</f>
        <v>1511213999.0069191</v>
      </c>
      <c r="E22" s="72">
        <f>SUM(E19:E21)</f>
        <v>124852171.06244728</v>
      </c>
      <c r="F22" s="70"/>
      <c r="G22" s="256">
        <f>SUM(G19:G21)</f>
        <v>1550260704.2807536</v>
      </c>
      <c r="H22" s="72">
        <f>SUM(H19:H21)</f>
        <v>126187581.20399036</v>
      </c>
      <c r="I22" s="70"/>
      <c r="J22" s="256">
        <f>SUM(J19:J21)</f>
        <v>1537312032.3436973</v>
      </c>
      <c r="K22" s="72">
        <f>SUM(K19:K21)</f>
        <v>125031183.41430452</v>
      </c>
      <c r="L22" s="70"/>
      <c r="M22" s="37"/>
      <c r="N22" s="90"/>
      <c r="O22" s="90"/>
      <c r="P22" s="254"/>
      <c r="Q22" s="72">
        <f>SUM(Q19:Q21)</f>
        <v>34287606.361523673</v>
      </c>
      <c r="R22" s="254"/>
      <c r="S22" s="72">
        <f>SUM(S19:S21)</f>
        <v>66473.288565853785</v>
      </c>
      <c r="T22" s="254"/>
      <c r="U22" s="72">
        <f>SUM(U19:U21)</f>
        <v>160541660.8540799</v>
      </c>
      <c r="V22" s="70"/>
      <c r="W22" s="254"/>
      <c r="X22" s="72">
        <f>SUM(X19:X21)</f>
        <v>15348551.164696572</v>
      </c>
      <c r="Y22" s="254"/>
      <c r="Z22" s="72">
        <f>SUM(Z19:Z21)</f>
        <v>-4154.8678119305659</v>
      </c>
      <c r="AA22" s="254"/>
      <c r="AB22" s="72">
        <f>SUM(AB19:AB21)</f>
        <v>174729659.36127871</v>
      </c>
    </row>
    <row r="23" spans="1:28" x14ac:dyDescent="0.2">
      <c r="A23" s="38">
        <f t="shared" si="0"/>
        <v>15</v>
      </c>
      <c r="C23" s="37"/>
      <c r="D23" s="257"/>
      <c r="E23" s="70"/>
      <c r="F23" s="70"/>
      <c r="G23" s="257"/>
      <c r="H23" s="70"/>
      <c r="I23" s="70"/>
      <c r="J23" s="257"/>
      <c r="K23" s="70"/>
      <c r="L23" s="70"/>
      <c r="M23" s="37"/>
      <c r="N23" s="90"/>
      <c r="O23" s="90"/>
      <c r="P23" s="254"/>
      <c r="R23" s="254"/>
      <c r="T23" s="254"/>
      <c r="W23" s="254"/>
      <c r="Y23" s="254"/>
      <c r="AA23" s="254"/>
    </row>
    <row r="24" spans="1:28" x14ac:dyDescent="0.2">
      <c r="A24" s="38">
        <f t="shared" si="0"/>
        <v>16</v>
      </c>
      <c r="B24" s="43" t="s">
        <v>176</v>
      </c>
      <c r="C24" s="37" t="s">
        <v>175</v>
      </c>
      <c r="D24" s="256">
        <f>'Exh CTM-6 (Rate Design)'!C289+'Exh CTM-6 (Rate Design)'!C307</f>
        <v>642241222</v>
      </c>
      <c r="E24" s="72">
        <f>'Exh CTM-6 (Rate Design)'!K293+'Exh CTM-6 (Rate Design)'!K311</f>
        <v>41466286.184997998</v>
      </c>
      <c r="F24" s="70"/>
      <c r="G24" s="256">
        <f>'Exh CTM-6 (Rate Design)'!D289+'Exh CTM-6 (Rate Design)'!D307</f>
        <v>631776413.34994721</v>
      </c>
      <c r="H24" s="72">
        <f>'Exh CTM-6 (Rate Design)'!L293+'Exh CTM-6 (Rate Design)'!L311</f>
        <v>40724861.002794623</v>
      </c>
      <c r="I24" s="70"/>
      <c r="J24" s="256">
        <f>'Exh CTM-6 (Rate Design)'!E289+'Exh CTM-6 (Rate Design)'!E307</f>
        <v>631818207.20746911</v>
      </c>
      <c r="K24" s="72">
        <f>'Exh CTM-6 (Rate Design)'!M293+'Exh CTM-6 (Rate Design)'!M311</f>
        <v>40702463.995961919</v>
      </c>
      <c r="L24" s="70"/>
      <c r="M24" s="255">
        <v>0.9</v>
      </c>
      <c r="N24" s="90">
        <v>1.08</v>
      </c>
      <c r="O24" s="90"/>
      <c r="P24" s="254">
        <f>+$M$47*M24</f>
        <v>0.24428311984413051</v>
      </c>
      <c r="Q24" s="72">
        <f>+H24*P24</f>
        <v>9948396.1009812355</v>
      </c>
      <c r="R24" s="254">
        <f>$R$12</f>
        <v>2.5396276127777756E-3</v>
      </c>
      <c r="S24" s="72">
        <f>R24*$M$42</f>
        <v>22157.762855284593</v>
      </c>
      <c r="T24" s="254">
        <f>(Q24+S24)/H24</f>
        <v>0.2448272042758432</v>
      </c>
      <c r="U24" s="72">
        <f>+H24+Q24+S24</f>
        <v>50695414.866631143</v>
      </c>
      <c r="V24" s="70"/>
      <c r="W24" s="254">
        <f>+$N$47*M24</f>
        <v>0.1103622257978896</v>
      </c>
      <c r="X24" s="72">
        <f>+K24*W24</f>
        <v>4492014.5220528208</v>
      </c>
      <c r="Y24" s="254">
        <f>R24</f>
        <v>2.5396276127777756E-3</v>
      </c>
      <c r="Z24" s="72">
        <f>Y24*$N$42</f>
        <v>-1384.9559373101888</v>
      </c>
      <c r="AA24" s="254">
        <f>(X24+Z24)/K24</f>
        <v>0.11032819945645121</v>
      </c>
      <c r="AB24" s="72">
        <f>+K24+X24+Z24+Q24+S24</f>
        <v>55163647.425913952</v>
      </c>
    </row>
    <row r="25" spans="1:28" x14ac:dyDescent="0.2">
      <c r="A25" s="38">
        <f t="shared" si="0"/>
        <v>17</v>
      </c>
      <c r="C25" s="37"/>
      <c r="D25" s="257"/>
      <c r="E25" s="70"/>
      <c r="F25" s="70"/>
      <c r="G25" s="257"/>
      <c r="H25" s="70"/>
      <c r="I25" s="70"/>
      <c r="J25" s="257"/>
      <c r="K25" s="70"/>
      <c r="L25" s="70"/>
      <c r="M25" s="37" t="s">
        <v>174</v>
      </c>
      <c r="N25" s="90"/>
      <c r="O25" s="90"/>
      <c r="P25" s="254"/>
      <c r="R25" s="254"/>
      <c r="T25" s="254"/>
      <c r="W25" s="254"/>
      <c r="Y25" s="254"/>
      <c r="AA25" s="254"/>
    </row>
    <row r="26" spans="1:28" x14ac:dyDescent="0.2">
      <c r="A26" s="38">
        <f t="shared" si="0"/>
        <v>18</v>
      </c>
      <c r="B26" s="43" t="s">
        <v>173</v>
      </c>
      <c r="C26" s="45" t="s">
        <v>172</v>
      </c>
      <c r="D26" s="256">
        <f>'Exh CTM-6 (Rate Design)'!C325</f>
        <v>1946223571.888</v>
      </c>
      <c r="E26" s="72">
        <f>'Exh CTM-6 (Rate Design)'!K331</f>
        <v>13399405.32</v>
      </c>
      <c r="F26" s="70"/>
      <c r="G26" s="256">
        <f>'Exh CTM-6 (Rate Design)'!D325</f>
        <v>1967511960.3194919</v>
      </c>
      <c r="H26" s="72">
        <f>'Exh CTM-6 (Rate Design)'!L331</f>
        <v>13584723</v>
      </c>
      <c r="I26" s="70"/>
      <c r="J26" s="256">
        <f>'Exh CTM-6 (Rate Design)'!E325</f>
        <v>1964993565.6779518</v>
      </c>
      <c r="K26" s="72">
        <f>'Exh CTM-6 (Rate Design)'!M331</f>
        <v>13584723</v>
      </c>
      <c r="L26" s="70"/>
      <c r="M26" s="255" t="s">
        <v>167</v>
      </c>
      <c r="N26" s="90">
        <v>1.44</v>
      </c>
      <c r="O26" s="90"/>
      <c r="P26" s="254">
        <f>((Q26)/H26)</f>
        <v>3.8910515975151126E-2</v>
      </c>
      <c r="Q26" s="72">
        <f>'Exh CTM-6 (Rate Design)'!O331-'Exh CTM-6 (Rate Design)'!L331</f>
        <v>528588.58130950294</v>
      </c>
      <c r="R26" s="254"/>
      <c r="S26" s="72">
        <f>R26*$M$42</f>
        <v>0</v>
      </c>
      <c r="T26" s="254">
        <f>(Q26+S26)/H26</f>
        <v>3.8910515975151126E-2</v>
      </c>
      <c r="U26" s="72">
        <f>+H26+Q26+S26</f>
        <v>14113311.581309503</v>
      </c>
      <c r="V26" s="70"/>
      <c r="W26" s="254">
        <f>((X26)/H26)</f>
        <v>0</v>
      </c>
      <c r="X26" s="72">
        <f>'Exh CTM-6 (Rate Design)'!P331-'Exh CTM-6 (Rate Design)'!M331-Q26</f>
        <v>0</v>
      </c>
      <c r="Y26" s="254"/>
      <c r="Z26" s="72">
        <f>Y26*$N$42</f>
        <v>0</v>
      </c>
      <c r="AA26" s="254">
        <f>(X26+Z26)/K26</f>
        <v>0</v>
      </c>
      <c r="AB26" s="72">
        <f>+K26+X26+Z26+Q26+S26</f>
        <v>14113311.581309503</v>
      </c>
    </row>
    <row r="27" spans="1:28" x14ac:dyDescent="0.2">
      <c r="A27" s="38">
        <f t="shared" si="0"/>
        <v>19</v>
      </c>
      <c r="C27" s="37"/>
      <c r="D27" s="257"/>
      <c r="E27" s="70"/>
      <c r="F27" s="70"/>
      <c r="G27" s="257"/>
      <c r="H27" s="70"/>
      <c r="I27" s="70"/>
      <c r="J27" s="257"/>
      <c r="K27" s="70"/>
      <c r="L27" s="70"/>
      <c r="M27" s="37"/>
      <c r="N27" s="90"/>
      <c r="O27" s="90"/>
      <c r="P27" s="254"/>
      <c r="R27" s="254"/>
      <c r="T27" s="254"/>
      <c r="W27" s="254"/>
      <c r="Y27" s="254"/>
      <c r="AA27" s="254"/>
    </row>
    <row r="28" spans="1:28" x14ac:dyDescent="0.2">
      <c r="A28" s="38">
        <f t="shared" si="0"/>
        <v>20</v>
      </c>
      <c r="B28" s="43" t="s">
        <v>56</v>
      </c>
      <c r="C28" s="45" t="str">
        <f>'Exh CTM-6 (Tariff)'!B110</f>
        <v>Special Contract</v>
      </c>
      <c r="D28" s="256">
        <f>'Exh CTM-6 (Rate Design)'!C346</f>
        <v>316656904.37499994</v>
      </c>
      <c r="E28" s="72">
        <f>'Exh CTM-6 (Rate Design)'!K348</f>
        <v>3623975</v>
      </c>
      <c r="F28" s="70"/>
      <c r="G28" s="256">
        <f>'Exh CTM-6 (Rate Design)'!D346</f>
        <v>304773055.46200001</v>
      </c>
      <c r="H28" s="72">
        <f>'Exh CTM-6 (Rate Design)'!L348</f>
        <v>3169169.8069353327</v>
      </c>
      <c r="I28" s="70"/>
      <c r="J28" s="256">
        <f>'Exh CTM-6 (Rate Design)'!E346</f>
        <v>304773055.46200001</v>
      </c>
      <c r="K28" s="72">
        <f>'Exh CTM-6 (Rate Design)'!M348</f>
        <v>3477826.8069353327</v>
      </c>
      <c r="L28" s="70"/>
      <c r="M28" s="255" t="s">
        <v>167</v>
      </c>
      <c r="N28" s="90">
        <v>0.76</v>
      </c>
      <c r="O28" s="90"/>
      <c r="P28" s="254">
        <f>((Q28)/H28)</f>
        <v>1.5640465028283295</v>
      </c>
      <c r="Q28" s="72">
        <f>'Exh CTM-6 (Rate Design)'!O348-'Exh CTM-6 (Rate Design)'!L348</f>
        <v>4956728.9534063395</v>
      </c>
      <c r="R28" s="254"/>
      <c r="S28" s="72">
        <f>R28*$M$42</f>
        <v>0</v>
      </c>
      <c r="T28" s="254">
        <f>(Q28+S28)/H28</f>
        <v>1.5640465028283295</v>
      </c>
      <c r="U28" s="72">
        <f>+H28+Q28+S28</f>
        <v>8125898.7603416722</v>
      </c>
      <c r="V28" s="70"/>
      <c r="W28" s="254">
        <f>((X28)/H28)</f>
        <v>0.16415990246149068</v>
      </c>
      <c r="X28" s="72">
        <f>'Exh CTM-6 (Rate Design)'!P348-'Exh CTM-6 (Rate Design)'!M348-Q28</f>
        <v>520250.60639040545</v>
      </c>
      <c r="Y28" s="254"/>
      <c r="Z28" s="72">
        <f>Y28*$N$42</f>
        <v>0</v>
      </c>
      <c r="AA28" s="254">
        <f>(X28+Z28)/K28</f>
        <v>0.14959071721252595</v>
      </c>
      <c r="AB28" s="72">
        <f>+K28+X28+Z28+Q28+S28</f>
        <v>8954806.3667320777</v>
      </c>
    </row>
    <row r="29" spans="1:28" x14ac:dyDescent="0.2">
      <c r="A29" s="38">
        <f t="shared" si="0"/>
        <v>21</v>
      </c>
      <c r="C29" s="37"/>
      <c r="D29" s="257"/>
      <c r="E29" s="70"/>
      <c r="F29" s="70"/>
      <c r="G29" s="257"/>
      <c r="H29" s="70"/>
      <c r="I29" s="70"/>
      <c r="J29" s="257"/>
      <c r="K29" s="70"/>
      <c r="L29" s="70"/>
      <c r="M29" s="37"/>
      <c r="N29" s="90"/>
      <c r="O29" s="90"/>
      <c r="P29" s="254"/>
      <c r="R29" s="254"/>
      <c r="T29" s="254"/>
      <c r="W29" s="254"/>
      <c r="Y29" s="254"/>
      <c r="AA29" s="254"/>
    </row>
    <row r="30" spans="1:28" x14ac:dyDescent="0.2">
      <c r="A30" s="38">
        <f t="shared" si="0"/>
        <v>22</v>
      </c>
      <c r="B30" s="39" t="s">
        <v>171</v>
      </c>
      <c r="C30" s="37" t="s">
        <v>170</v>
      </c>
      <c r="D30" s="256">
        <f>'Exh CTM-6 (Rate Design)'!C381</f>
        <v>66745094.464439668</v>
      </c>
      <c r="E30" s="72">
        <f>'Exh CTM-6 (Rate Design)'!K381</f>
        <v>15360581</v>
      </c>
      <c r="F30" s="70"/>
      <c r="G30" s="256">
        <f>'Exh CTM-6 (Rate Design)'!D381</f>
        <v>67255417.982360825</v>
      </c>
      <c r="H30" s="72">
        <f>'Exh CTM-6 (Rate Design)'!L381</f>
        <v>16783224.913086899</v>
      </c>
      <c r="I30" s="70"/>
      <c r="J30" s="256">
        <f>'Exh CTM-6 (Rate Design)'!E381</f>
        <v>67027608.143863305</v>
      </c>
      <c r="K30" s="72">
        <f>'Exh CTM-6 (Rate Design)'!M381</f>
        <v>16726376.20302579</v>
      </c>
      <c r="L30" s="70"/>
      <c r="M30" s="255">
        <v>1</v>
      </c>
      <c r="N30" s="90">
        <v>1.03</v>
      </c>
      <c r="O30" s="90"/>
      <c r="P30" s="254">
        <f>+$M$47*M30</f>
        <v>0.27142568871570055</v>
      </c>
      <c r="Q30" s="72">
        <f>+H30*P30</f>
        <v>4555398.380905115</v>
      </c>
      <c r="R30" s="254"/>
      <c r="S30" s="72">
        <f>R30*$M$42</f>
        <v>0</v>
      </c>
      <c r="T30" s="254">
        <f>(Q30+S30)/H30</f>
        <v>0.27142568871570055</v>
      </c>
      <c r="U30" s="72">
        <f>+H30+Q30+S30</f>
        <v>21338623.293992013</v>
      </c>
      <c r="V30" s="3"/>
      <c r="W30" s="254">
        <f>+$N$47*M30</f>
        <v>0.12262469533098844</v>
      </c>
      <c r="X30" s="72">
        <f>+K30*W30</f>
        <v>2051066.7858875326</v>
      </c>
      <c r="Y30" s="254"/>
      <c r="Z30" s="72">
        <f>Y30*$N$42</f>
        <v>0</v>
      </c>
      <c r="AA30" s="254">
        <f>(X30+Z30)/K30</f>
        <v>0.12262469533098844</v>
      </c>
      <c r="AB30" s="72">
        <f>+K30+X30+Z30+Q30+S30</f>
        <v>23332841.369818438</v>
      </c>
    </row>
    <row r="31" spans="1:28" x14ac:dyDescent="0.2">
      <c r="A31" s="38">
        <f t="shared" si="0"/>
        <v>23</v>
      </c>
      <c r="C31" s="37"/>
      <c r="D31" s="256"/>
      <c r="E31" s="72"/>
      <c r="F31" s="70"/>
      <c r="G31" s="256"/>
      <c r="H31" s="72"/>
      <c r="I31" s="70"/>
      <c r="J31" s="256"/>
      <c r="K31" s="72"/>
      <c r="L31" s="70"/>
      <c r="M31" s="37"/>
      <c r="N31" s="300"/>
      <c r="O31" s="300"/>
      <c r="P31" s="254"/>
      <c r="R31" s="254"/>
      <c r="T31" s="254"/>
      <c r="W31" s="254"/>
      <c r="Y31" s="254"/>
      <c r="AA31" s="254"/>
    </row>
    <row r="32" spans="1:28" ht="12" thickBot="1" x14ac:dyDescent="0.25">
      <c r="A32" s="38">
        <f t="shared" si="0"/>
        <v>24</v>
      </c>
      <c r="B32" s="43" t="s">
        <v>169</v>
      </c>
      <c r="C32" s="37"/>
      <c r="D32" s="76">
        <f t="shared" ref="D32:K32" si="1">SUM(D30,D28,D24,D22,D16,D9,D26)</f>
        <v>23285393382.610947</v>
      </c>
      <c r="E32" s="78">
        <f t="shared" si="1"/>
        <v>2094244623.6664464</v>
      </c>
      <c r="F32" s="70">
        <f t="shared" si="1"/>
        <v>0</v>
      </c>
      <c r="G32" s="76">
        <f t="shared" si="1"/>
        <v>23551443434.196026</v>
      </c>
      <c r="H32" s="78">
        <f t="shared" si="1"/>
        <v>2118302922.2663794</v>
      </c>
      <c r="I32" s="70">
        <f t="shared" si="1"/>
        <v>0</v>
      </c>
      <c r="J32" s="76">
        <f t="shared" si="1"/>
        <v>23768895895.058743</v>
      </c>
      <c r="K32" s="78">
        <f t="shared" si="1"/>
        <v>2140692567.5479884</v>
      </c>
      <c r="L32" s="70"/>
      <c r="M32" s="37"/>
      <c r="P32" s="254">
        <f>((Q32)/H32)</f>
        <v>0.27136411042281544</v>
      </c>
      <c r="Q32" s="78">
        <f>SUM(Q30,Q28,Q24,Q22,Q16,Q9,Q26)</f>
        <v>574831388.10686636</v>
      </c>
      <c r="R32" s="254"/>
      <c r="S32" s="78">
        <f>SUM(S30,S28,S24,S22,S16,S9,S26)</f>
        <v>8724807.8197767884</v>
      </c>
      <c r="T32" s="254">
        <f>(Q32+S32)/H32</f>
        <v>0.27548288292134082</v>
      </c>
      <c r="U32" s="78">
        <f>SUM(U30,U28,U24,U22,U16,U9,U26)</f>
        <v>2701859118.1930223</v>
      </c>
      <c r="V32" s="70"/>
      <c r="W32" s="254">
        <f>((X32)/U32)</f>
        <v>9.6395574603010861E-2</v>
      </c>
      <c r="X32" s="78">
        <f>SUM(X30,X28,X24,X22,X16,X9,X26)</f>
        <v>260447262.19460061</v>
      </c>
      <c r="Y32" s="254"/>
      <c r="Z32" s="78">
        <f>SUM(Z30,Z28,Z24,Z22,Z16,Z9,Z26)</f>
        <v>-545338.19460064918</v>
      </c>
      <c r="AA32" s="254">
        <f>(X32+Z32)/K32</f>
        <v>0.12141020524852815</v>
      </c>
      <c r="AB32" s="78">
        <f>SUM(AB30,AB28,AB24,AB22,AB16,AB9,AB26)</f>
        <v>2984150687.4746313</v>
      </c>
    </row>
    <row r="33" spans="1:31" ht="12" thickTop="1" x14ac:dyDescent="0.2">
      <c r="A33" s="38">
        <f t="shared" si="0"/>
        <v>25</v>
      </c>
      <c r="C33" s="37"/>
      <c r="D33" s="257"/>
      <c r="E33" s="70"/>
      <c r="F33" s="70"/>
      <c r="G33" s="70"/>
      <c r="H33" s="70"/>
      <c r="I33" s="70"/>
      <c r="J33" s="70"/>
      <c r="K33" s="70"/>
      <c r="L33" s="70"/>
      <c r="M33" s="37"/>
      <c r="P33" s="254"/>
      <c r="R33" s="254"/>
      <c r="T33" s="254"/>
      <c r="W33" s="254"/>
      <c r="Y33" s="254"/>
      <c r="AA33" s="254"/>
    </row>
    <row r="34" spans="1:31" x14ac:dyDescent="0.2">
      <c r="A34" s="38">
        <f t="shared" si="0"/>
        <v>26</v>
      </c>
      <c r="B34" s="43" t="s">
        <v>168</v>
      </c>
      <c r="C34" s="45">
        <v>5</v>
      </c>
      <c r="D34" s="256">
        <f>'Exh CTM-6 (Rate Design)'!C361</f>
        <v>6767845.1784540005</v>
      </c>
      <c r="E34" s="72">
        <f>'Exh CTM-6 (Rate Design)'!K369</f>
        <v>434445</v>
      </c>
      <c r="F34" s="70"/>
      <c r="G34" s="256">
        <f>'Exh CTM-6 (Rate Design)'!D361</f>
        <v>6714960.2368700616</v>
      </c>
      <c r="H34" s="72">
        <f>'Exh CTM-6 (Rate Design)'!L369</f>
        <v>306713.92664298858</v>
      </c>
      <c r="I34" s="70"/>
      <c r="J34" s="256">
        <f>'Exh CTM-6 (Rate Design)'!E361</f>
        <v>6710049.8818741431</v>
      </c>
      <c r="K34" s="72">
        <f>'Exh CTM-6 (Rate Design)'!M369</f>
        <v>306149.63955806073</v>
      </c>
      <c r="L34" s="70"/>
      <c r="M34" s="255" t="s">
        <v>167</v>
      </c>
      <c r="N34" s="90">
        <v>1.36</v>
      </c>
      <c r="O34" s="90"/>
      <c r="P34" s="254">
        <f>((Q34)/H34)</f>
        <v>2.675333599416684</v>
      </c>
      <c r="Q34" s="72">
        <v>820562.07335701142</v>
      </c>
      <c r="R34" s="254"/>
      <c r="S34" s="72">
        <f>R34*$M$42</f>
        <v>0</v>
      </c>
      <c r="T34" s="254">
        <f>(Q34+S34)/H34</f>
        <v>2.675333599416684</v>
      </c>
      <c r="U34" s="72">
        <f>+H34+Q34+S34</f>
        <v>1127276</v>
      </c>
      <c r="V34" s="70"/>
      <c r="W34" s="254">
        <f>((X34)/H34)</f>
        <v>0</v>
      </c>
      <c r="X34" s="258">
        <v>0</v>
      </c>
      <c r="Y34" s="254"/>
      <c r="Z34" s="258">
        <f>Y34*$N$42</f>
        <v>0</v>
      </c>
      <c r="AA34" s="254">
        <f>(X34+Z34)/K34</f>
        <v>0</v>
      </c>
      <c r="AB34" s="72">
        <f>+K34+X34+Z34+Q34+S34</f>
        <v>1126711.7129150722</v>
      </c>
    </row>
    <row r="35" spans="1:31" x14ac:dyDescent="0.2">
      <c r="A35" s="38">
        <f t="shared" si="0"/>
        <v>27</v>
      </c>
      <c r="C35" s="37"/>
      <c r="D35" s="69"/>
      <c r="E35" s="70"/>
      <c r="F35" s="70"/>
      <c r="G35" s="70"/>
      <c r="H35" s="70"/>
      <c r="I35" s="70"/>
      <c r="J35" s="70"/>
      <c r="K35" s="70"/>
      <c r="L35" s="70"/>
      <c r="M35" s="259"/>
      <c r="P35" s="254"/>
      <c r="R35" s="254"/>
      <c r="T35" s="254"/>
      <c r="W35" s="254"/>
      <c r="Y35" s="254"/>
      <c r="AA35" s="254"/>
    </row>
    <row r="36" spans="1:31" ht="12" thickBot="1" x14ac:dyDescent="0.25">
      <c r="A36" s="38">
        <f t="shared" si="0"/>
        <v>28</v>
      </c>
      <c r="B36" s="39" t="s">
        <v>166</v>
      </c>
      <c r="C36" s="37"/>
      <c r="D36" s="76">
        <f>SUM(D34,D32)</f>
        <v>23292161227.789402</v>
      </c>
      <c r="E36" s="78">
        <f>SUM(E34,E32)</f>
        <v>2094679068.6664464</v>
      </c>
      <c r="F36" s="78"/>
      <c r="G36" s="76">
        <f>SUM(G34,G32)</f>
        <v>23558158394.432896</v>
      </c>
      <c r="H36" s="78">
        <f>SUM(H34,H32)</f>
        <v>2118609636.1930223</v>
      </c>
      <c r="I36" s="78"/>
      <c r="J36" s="76">
        <f>SUM(J34,J32)</f>
        <v>23775605944.940617</v>
      </c>
      <c r="K36" s="78">
        <f>SUM(K34,K32)</f>
        <v>2140998717.1875465</v>
      </c>
      <c r="L36" s="78"/>
      <c r="M36" s="260"/>
      <c r="P36" s="261">
        <f>(+M41/H36)</f>
        <v>0.2717121362737806</v>
      </c>
      <c r="Q36" s="78">
        <f>SUM(Q34,Q32)</f>
        <v>575651950.18022335</v>
      </c>
      <c r="R36" s="261">
        <f>SUM(R9:R35)</f>
        <v>1.0000000000000002</v>
      </c>
      <c r="S36" s="78">
        <f>SUM(S34,S32)</f>
        <v>8724807.8197767884</v>
      </c>
      <c r="T36" s="261">
        <f>(Q36+S36)/H36</f>
        <v>0.27583031249214934</v>
      </c>
      <c r="U36" s="78">
        <f>SUM(U34,U32)</f>
        <v>2702986394.1930223</v>
      </c>
      <c r="V36" s="78"/>
      <c r="W36" s="261">
        <f>(+$N$41/K36)</f>
        <v>0.12164755639682434</v>
      </c>
      <c r="X36" s="78">
        <f>SUM(X34,X32)</f>
        <v>260447262.19460061</v>
      </c>
      <c r="Y36" s="261">
        <f>SUM(Y9:Y35)</f>
        <v>1.0000000000000002</v>
      </c>
      <c r="Z36" s="78">
        <f>SUM(Z34,Z32)</f>
        <v>-545338.19460064918</v>
      </c>
      <c r="AA36" s="261">
        <f>(X36+Z36)/K36</f>
        <v>0.12139284433640937</v>
      </c>
      <c r="AB36" s="78">
        <f>SUM(AB34,AB32)</f>
        <v>2985277399.1875463</v>
      </c>
    </row>
    <row r="37" spans="1:31" ht="12" thickTop="1" x14ac:dyDescent="0.2">
      <c r="A37" s="38">
        <f t="shared" si="0"/>
        <v>29</v>
      </c>
      <c r="C37" s="37" t="s">
        <v>165</v>
      </c>
      <c r="D37" s="69">
        <f>'Exh CTM-6 (Rate Design)'!C387-D36</f>
        <v>0</v>
      </c>
      <c r="E37" s="69">
        <f>'Exh CTM-6 (Rate Design)'!K389-E36</f>
        <v>0</v>
      </c>
      <c r="F37" s="69"/>
      <c r="G37" s="69">
        <f>'Exh CTM-6 (Rate Design)'!D387-G36</f>
        <v>0</v>
      </c>
      <c r="H37" s="69">
        <f>'Exh CTM-6 (Rate Design)'!L389-H36</f>
        <v>0</v>
      </c>
      <c r="I37" s="69"/>
      <c r="J37" s="69">
        <f>'Exh CTM-6 (Rate Design)'!E387-J36</f>
        <v>0</v>
      </c>
      <c r="K37" s="69">
        <f>'Exh CTM-6 (Rate Design)'!M389-K36</f>
        <v>0</v>
      </c>
      <c r="L37" s="69"/>
      <c r="M37" s="69"/>
      <c r="N37" s="69"/>
      <c r="P37" s="69"/>
      <c r="Q37" s="69">
        <f>M41-Q36</f>
        <v>0</v>
      </c>
      <c r="R37" s="69"/>
      <c r="S37" s="69">
        <f>M42-S36</f>
        <v>0</v>
      </c>
      <c r="T37" s="69"/>
      <c r="U37" s="69">
        <f>H36+M40-U36</f>
        <v>0</v>
      </c>
      <c r="V37" s="69"/>
      <c r="W37" s="69"/>
      <c r="X37" s="69">
        <f>N41-X36</f>
        <v>0</v>
      </c>
      <c r="Y37" s="69"/>
      <c r="Z37" s="69">
        <f>N42-Z36</f>
        <v>0</v>
      </c>
      <c r="AA37" s="69"/>
      <c r="AB37" s="69">
        <f>K36+SUM(N40)-AB36</f>
        <v>0</v>
      </c>
    </row>
    <row r="38" spans="1:31" ht="12" thickBot="1" x14ac:dyDescent="0.25">
      <c r="A38" s="38">
        <f t="shared" si="0"/>
        <v>30</v>
      </c>
      <c r="C38" s="37"/>
      <c r="D38" s="69"/>
      <c r="E38" s="69"/>
      <c r="F38" s="69"/>
      <c r="G38" s="69"/>
      <c r="H38" s="69"/>
      <c r="I38" s="69"/>
      <c r="J38" s="69"/>
      <c r="K38" s="69"/>
      <c r="L38" s="69"/>
      <c r="M38" s="69"/>
      <c r="N38" s="69"/>
      <c r="O38" s="69"/>
      <c r="P38" s="69"/>
      <c r="Q38" s="69"/>
      <c r="R38" s="69"/>
      <c r="S38" s="69"/>
      <c r="T38" s="69"/>
      <c r="U38" s="69"/>
      <c r="V38" s="69"/>
      <c r="W38" s="3"/>
      <c r="X38" s="69"/>
      <c r="Y38" s="69"/>
      <c r="Z38" s="69"/>
      <c r="AA38" s="69"/>
      <c r="AB38" s="69"/>
    </row>
    <row r="39" spans="1:31" ht="12" thickBot="1" x14ac:dyDescent="0.25">
      <c r="A39" s="38">
        <f t="shared" si="0"/>
        <v>31</v>
      </c>
      <c r="C39" s="37"/>
      <c r="D39" s="69"/>
      <c r="E39" s="69"/>
      <c r="F39" s="69"/>
      <c r="G39" s="69"/>
      <c r="H39" s="69"/>
      <c r="I39" s="69"/>
      <c r="J39" s="69"/>
      <c r="K39" s="69"/>
      <c r="L39" s="69"/>
      <c r="M39" s="262" t="s">
        <v>164</v>
      </c>
      <c r="N39" s="262" t="s">
        <v>163</v>
      </c>
      <c r="O39" s="27"/>
      <c r="P39" s="69"/>
      <c r="Q39" s="69"/>
      <c r="R39" s="69"/>
      <c r="S39" s="69"/>
      <c r="T39" s="69"/>
      <c r="U39" s="69"/>
      <c r="V39" s="69"/>
      <c r="W39" s="69"/>
      <c r="X39" s="69"/>
      <c r="Y39" s="69"/>
      <c r="Z39" s="69"/>
      <c r="AA39" s="69"/>
      <c r="AB39" s="69"/>
      <c r="AC39" s="69"/>
      <c r="AD39" s="69"/>
      <c r="AE39" s="69"/>
    </row>
    <row r="40" spans="1:31" ht="12" thickBot="1" x14ac:dyDescent="0.25">
      <c r="A40" s="38">
        <f t="shared" si="0"/>
        <v>32</v>
      </c>
      <c r="B40" s="263" t="s">
        <v>162</v>
      </c>
      <c r="C40" s="301" t="s">
        <v>158</v>
      </c>
      <c r="D40" s="264"/>
      <c r="E40" s="264"/>
      <c r="F40" s="264"/>
      <c r="G40" s="264"/>
      <c r="H40" s="264"/>
      <c r="I40" s="264"/>
      <c r="J40" s="264"/>
      <c r="K40" s="264"/>
      <c r="L40" s="264"/>
      <c r="M40" s="302">
        <v>584376758</v>
      </c>
      <c r="N40" s="302">
        <v>844278682</v>
      </c>
      <c r="O40" s="69"/>
      <c r="P40" s="69" t="s">
        <v>160</v>
      </c>
      <c r="Q40" s="69"/>
      <c r="R40" s="69"/>
      <c r="S40" s="69"/>
      <c r="T40" s="37" t="s">
        <v>158</v>
      </c>
      <c r="U40" s="298">
        <v>2702986396.0946202</v>
      </c>
      <c r="V40" s="69"/>
      <c r="W40" s="69"/>
      <c r="X40" s="69"/>
      <c r="Y40" s="69"/>
      <c r="Z40" s="69"/>
      <c r="AA40" s="37" t="s">
        <v>158</v>
      </c>
      <c r="AB40" s="298">
        <v>2985277400.9672737</v>
      </c>
    </row>
    <row r="41" spans="1:31" ht="12" thickBot="1" x14ac:dyDescent="0.25">
      <c r="A41" s="38">
        <f t="shared" si="0"/>
        <v>33</v>
      </c>
      <c r="B41" s="263" t="s">
        <v>161</v>
      </c>
      <c r="C41" s="301" t="s">
        <v>158</v>
      </c>
      <c r="D41" s="264"/>
      <c r="E41" s="264"/>
      <c r="F41" s="264"/>
      <c r="G41" s="264"/>
      <c r="H41" s="264"/>
      <c r="I41" s="264"/>
      <c r="J41" s="264"/>
      <c r="K41" s="264"/>
      <c r="L41" s="264"/>
      <c r="M41" s="302">
        <v>575651950.18022323</v>
      </c>
      <c r="N41" s="302">
        <v>260447262.19460064</v>
      </c>
      <c r="O41" s="69"/>
      <c r="P41" s="69">
        <f>N40-M41-N41-M42-N42</f>
        <v>-7.4505805969238281E-9</v>
      </c>
      <c r="Q41" s="69"/>
      <c r="R41" s="69"/>
      <c r="S41" s="69"/>
      <c r="T41" s="69" t="s">
        <v>160</v>
      </c>
      <c r="U41" s="69">
        <f>U40-U36</f>
        <v>1.9015979766845703</v>
      </c>
      <c r="V41" s="69"/>
      <c r="W41" s="69"/>
      <c r="X41" s="69"/>
      <c r="Y41" s="69"/>
      <c r="Z41" s="69"/>
      <c r="AA41" s="69" t="s">
        <v>160</v>
      </c>
      <c r="AB41" s="69">
        <f>AB40-AB36</f>
        <v>1.7797274589538574</v>
      </c>
    </row>
    <row r="42" spans="1:31" ht="12" thickBot="1" x14ac:dyDescent="0.25">
      <c r="A42" s="38"/>
      <c r="B42" s="263" t="s">
        <v>159</v>
      </c>
      <c r="C42" s="301" t="s">
        <v>158</v>
      </c>
      <c r="D42" s="264"/>
      <c r="E42" s="264"/>
      <c r="F42" s="264"/>
      <c r="G42" s="264"/>
      <c r="H42" s="264"/>
      <c r="I42" s="264"/>
      <c r="J42" s="264"/>
      <c r="K42" s="264"/>
      <c r="L42" s="264"/>
      <c r="M42" s="302">
        <v>8724807.8197767884</v>
      </c>
      <c r="N42" s="302">
        <v>-545338.19460064918</v>
      </c>
      <c r="O42" s="69"/>
      <c r="P42" s="69"/>
      <c r="Q42" s="69"/>
      <c r="R42" s="69"/>
      <c r="S42" s="69"/>
      <c r="T42" s="69"/>
      <c r="U42" s="69"/>
      <c r="V42" s="69"/>
      <c r="W42" s="69"/>
      <c r="X42" s="69">
        <f>X36</f>
        <v>260447262.19460061</v>
      </c>
      <c r="Y42" s="69"/>
      <c r="Z42" s="69"/>
      <c r="AA42" s="69"/>
    </row>
    <row r="43" spans="1:31" x14ac:dyDescent="0.2">
      <c r="A43" s="38">
        <f>+A41+1</f>
        <v>34</v>
      </c>
      <c r="B43" s="116"/>
      <c r="C43" s="37"/>
      <c r="D43" s="37"/>
      <c r="M43" s="265"/>
      <c r="N43" s="266"/>
      <c r="O43" s="27"/>
      <c r="P43" s="69"/>
      <c r="V43" s="70"/>
      <c r="W43" s="70"/>
    </row>
    <row r="44" spans="1:31" x14ac:dyDescent="0.2">
      <c r="A44" s="38">
        <f>+A43+1</f>
        <v>35</v>
      </c>
      <c r="B44" s="367" t="s">
        <v>157</v>
      </c>
      <c r="C44" s="368"/>
      <c r="D44" s="368"/>
      <c r="E44" s="368"/>
      <c r="F44" s="43"/>
      <c r="G44" s="43"/>
      <c r="H44" s="43"/>
      <c r="I44" s="43"/>
      <c r="J44" s="43"/>
      <c r="K44" s="43"/>
      <c r="L44" s="43"/>
      <c r="M44" s="267">
        <f>M41/H36</f>
        <v>0.2717121362737806</v>
      </c>
      <c r="N44" s="267">
        <f>N41/K36</f>
        <v>0.12164755639682434</v>
      </c>
      <c r="O44" s="268"/>
      <c r="P44" s="69"/>
      <c r="AB44" s="70">
        <f>AB36-U36</f>
        <v>282291004.994524</v>
      </c>
    </row>
    <row r="45" spans="1:31" x14ac:dyDescent="0.2">
      <c r="A45" s="38">
        <f>+A44+1</f>
        <v>36</v>
      </c>
      <c r="B45" s="367" t="s">
        <v>156</v>
      </c>
      <c r="C45" s="368"/>
      <c r="D45" s="368"/>
      <c r="E45" s="368"/>
      <c r="F45" s="43"/>
      <c r="G45" s="43"/>
      <c r="H45" s="43"/>
      <c r="I45" s="43"/>
      <c r="J45" s="43"/>
      <c r="K45" s="43"/>
      <c r="L45" s="43"/>
      <c r="M45" s="267">
        <f>((M41-Q28-Q34-Q26)/(H36-H28-H26-H34))</f>
        <v>0.27091733887293429</v>
      </c>
      <c r="N45" s="267">
        <f>((N41-X28-X34-X26)/(K36-K28-K26-K34))</f>
        <v>0.12239750305691181</v>
      </c>
      <c r="O45" s="268"/>
      <c r="P45" s="70"/>
      <c r="W45" s="70"/>
    </row>
    <row r="46" spans="1:31" x14ac:dyDescent="0.2">
      <c r="A46" s="38">
        <f>+A45+1</f>
        <v>37</v>
      </c>
      <c r="B46" s="369" t="s">
        <v>155</v>
      </c>
      <c r="C46" s="370"/>
      <c r="D46" s="370"/>
      <c r="E46" s="370"/>
      <c r="F46" s="40"/>
      <c r="G46" s="40"/>
      <c r="H46" s="40"/>
      <c r="I46" s="40"/>
      <c r="J46" s="40"/>
      <c r="K46" s="40"/>
      <c r="L46" s="40"/>
      <c r="M46" s="269">
        <f>1/((SUMPRODUCT(H9:H15,$M$9:$M$15)+SUMPRODUCT(H19:H21,$M$19:$M$21)+(H24*$M$24)+(H30*$M$30))/(H32-H28-H26))</f>
        <v>1.0018764020231452</v>
      </c>
      <c r="N46" s="269">
        <f>1/((SUMPRODUCT(K9:K15,$M$9:$M$15)+SUMPRODUCT(K19:K21,$M$19:$M$21)+(K24*$M$24)+(K30*$M$30))/(K32-K28-K26))</f>
        <v>1.0018561838959328</v>
      </c>
      <c r="O46" s="303"/>
      <c r="P46" s="70"/>
      <c r="W46" s="70"/>
    </row>
    <row r="47" spans="1:31" ht="12" thickBot="1" x14ac:dyDescent="0.25">
      <c r="A47" s="38">
        <f>+A46+1</f>
        <v>38</v>
      </c>
      <c r="B47" s="365" t="s">
        <v>154</v>
      </c>
      <c r="C47" s="366"/>
      <c r="D47" s="366"/>
      <c r="E47" s="366"/>
      <c r="F47" s="270"/>
      <c r="G47" s="270"/>
      <c r="H47" s="270"/>
      <c r="I47" s="270"/>
      <c r="J47" s="270"/>
      <c r="K47" s="270"/>
      <c r="L47" s="270"/>
      <c r="M47" s="271">
        <f>M46*M45</f>
        <v>0.27142568871570055</v>
      </c>
      <c r="N47" s="271">
        <f>N46*N45</f>
        <v>0.12262469533098844</v>
      </c>
      <c r="O47" s="268"/>
      <c r="P47" s="70"/>
      <c r="W47" s="70"/>
    </row>
    <row r="48" spans="1:31" x14ac:dyDescent="0.2">
      <c r="A48" s="38"/>
      <c r="B48" s="272"/>
      <c r="C48" s="272"/>
      <c r="D48" s="272"/>
      <c r="E48" s="272"/>
      <c r="F48" s="272"/>
      <c r="G48" s="272"/>
      <c r="H48" s="273"/>
      <c r="I48" s="272"/>
      <c r="J48" s="272"/>
      <c r="K48" s="272"/>
      <c r="L48" s="272"/>
      <c r="M48" s="272"/>
    </row>
    <row r="49" spans="1:11" x14ac:dyDescent="0.2">
      <c r="A49" s="38"/>
      <c r="H49" s="274"/>
      <c r="I49" s="274"/>
      <c r="J49" s="274"/>
      <c r="K49" s="274"/>
    </row>
    <row r="50" spans="1:11" x14ac:dyDescent="0.2">
      <c r="A50" s="38"/>
      <c r="B50" s="304"/>
      <c r="H50" s="275"/>
    </row>
    <row r="51" spans="1:11" x14ac:dyDescent="0.2">
      <c r="A51" s="38"/>
    </row>
    <row r="52" spans="1:11" x14ac:dyDescent="0.2">
      <c r="A52" s="38"/>
    </row>
    <row r="53" spans="1:11" x14ac:dyDescent="0.2">
      <c r="A53" s="38"/>
    </row>
  </sheetData>
  <mergeCells count="10">
    <mergeCell ref="B47:E47"/>
    <mergeCell ref="B44:E44"/>
    <mergeCell ref="B45:E45"/>
    <mergeCell ref="B46:E46"/>
    <mergeCell ref="A1:AB1"/>
    <mergeCell ref="A3:AB3"/>
    <mergeCell ref="A2:AB2"/>
    <mergeCell ref="A4:AB4"/>
    <mergeCell ref="P6:U6"/>
    <mergeCell ref="W6:AB6"/>
  </mergeCells>
  <conditionalFormatting sqref="N9 N12:N15 N19:N21 N24 N30">
    <cfRule type="cellIs" dxfId="1" priority="1" operator="lessThan">
      <formula>0.95</formula>
    </cfRule>
    <cfRule type="cellIs" dxfId="0" priority="2" operator="greaterThan">
      <formula>1.05</formula>
    </cfRule>
  </conditionalFormatting>
  <printOptions horizontalCentered="1"/>
  <pageMargins left="0.7" right="0.7" top="0.75" bottom="0.75" header="0.3" footer="0.3"/>
  <pageSetup scale="41" fitToHeight="0" orientation="landscape" r:id="rId1"/>
  <headerFooter alignWithMargins="0">
    <oddFooter>&amp;R&amp;F
&amp;A
&amp;P of &amp;N</oddFoot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dimension ref="A1:U398"/>
  <sheetViews>
    <sheetView zoomScaleNormal="100" zoomScaleSheetLayoutView="80" workbookViewId="0">
      <pane ySplit="10" topLeftCell="A361" activePane="bottomLeft" state="frozen"/>
      <selection sqref="A1:XFD1048576"/>
      <selection pane="bottomLeft" activeCell="P395" sqref="P395"/>
    </sheetView>
  </sheetViews>
  <sheetFormatPr defaultColWidth="10.25" defaultRowHeight="11.25" x14ac:dyDescent="0.2"/>
  <cols>
    <col min="1" max="1" width="4.625" style="137" customWidth="1"/>
    <col min="2" max="2" width="45.5" style="117" bestFit="1" customWidth="1"/>
    <col min="3" max="3" width="11.25" style="117" bestFit="1" customWidth="1"/>
    <col min="4" max="4" width="12.375" style="117" customWidth="1"/>
    <col min="5" max="5" width="11.25" style="117" bestFit="1" customWidth="1"/>
    <col min="6" max="6" width="0.875" style="117" customWidth="1"/>
    <col min="7" max="7" width="9.875" style="117" bestFit="1" customWidth="1"/>
    <col min="8" max="9" width="10.125" style="117" bestFit="1" customWidth="1"/>
    <col min="10" max="10" width="0.875" style="117" customWidth="1"/>
    <col min="11" max="12" width="11.25" style="117" bestFit="1" customWidth="1"/>
    <col min="13" max="13" width="11.5" style="117" customWidth="1"/>
    <col min="14" max="14" width="0.625" style="117" customWidth="1"/>
    <col min="15" max="15" width="13.25" style="117" bestFit="1" customWidth="1"/>
    <col min="16" max="16" width="11.25" style="117" bestFit="1" customWidth="1"/>
    <col min="17" max="17" width="0.875" style="117" customWidth="1"/>
    <col min="18" max="18" width="11.25" style="117" bestFit="1" customWidth="1"/>
    <col min="19" max="19" width="11.75" style="117" bestFit="1" customWidth="1"/>
    <col min="20" max="20" width="0.875" style="117" customWidth="1"/>
    <col min="21" max="21" width="34.5" style="117" bestFit="1" customWidth="1"/>
    <col min="22" max="16384" width="10.25" style="117"/>
  </cols>
  <sheetData>
    <row r="1" spans="1:21" ht="15.75" x14ac:dyDescent="0.25">
      <c r="A1" s="377" t="str">
        <f>'Exh CTM-6 (Rate Spread)'!A1</f>
        <v>Puget Sound Energy</v>
      </c>
      <c r="B1" s="378"/>
      <c r="C1" s="378"/>
      <c r="D1" s="378"/>
      <c r="E1" s="378"/>
      <c r="F1" s="378"/>
      <c r="G1" s="378"/>
      <c r="H1" s="378"/>
      <c r="I1" s="378"/>
      <c r="J1" s="378"/>
      <c r="K1" s="378"/>
      <c r="L1" s="378"/>
      <c r="M1" s="378"/>
      <c r="N1" s="378"/>
      <c r="O1" s="378"/>
      <c r="P1" s="378"/>
      <c r="Q1" s="378"/>
      <c r="R1" s="378"/>
      <c r="S1" s="378"/>
      <c r="T1" s="378"/>
      <c r="U1" s="378"/>
    </row>
    <row r="2" spans="1:21" ht="15.75" customHeight="1" x14ac:dyDescent="0.25">
      <c r="A2" s="377" t="str">
        <f>'Exh CTM-6 (Rate Spread)'!A2</f>
        <v>2024 General Rate Case Docket No. UE-240004 and UG-240005</v>
      </c>
      <c r="B2" s="378"/>
      <c r="C2" s="378"/>
      <c r="D2" s="378"/>
      <c r="E2" s="378"/>
      <c r="F2" s="378"/>
      <c r="G2" s="378"/>
      <c r="H2" s="378"/>
      <c r="I2" s="378"/>
      <c r="J2" s="378"/>
      <c r="K2" s="378"/>
      <c r="L2" s="378"/>
      <c r="M2" s="378"/>
      <c r="N2" s="378"/>
      <c r="O2" s="378"/>
      <c r="P2" s="378"/>
      <c r="Q2" s="378"/>
      <c r="R2" s="378"/>
      <c r="S2" s="378"/>
      <c r="T2" s="378"/>
      <c r="U2" s="378"/>
    </row>
    <row r="3" spans="1:21" ht="15.75" x14ac:dyDescent="0.25">
      <c r="A3" s="377" t="str">
        <f>'Exh CTM-6 (Rate Spread)'!A3</f>
        <v xml:space="preserve">2024 GRC Test year: 12 Months ended June 30, 2023 and MYRP 2025, MYRP 2026 </v>
      </c>
      <c r="B3" s="378"/>
      <c r="C3" s="378"/>
      <c r="D3" s="378"/>
      <c r="E3" s="378"/>
      <c r="F3" s="378"/>
      <c r="G3" s="378"/>
      <c r="H3" s="378"/>
      <c r="I3" s="378"/>
      <c r="J3" s="378"/>
      <c r="K3" s="378"/>
      <c r="L3" s="378"/>
      <c r="M3" s="378"/>
      <c r="N3" s="378"/>
      <c r="O3" s="378"/>
      <c r="P3" s="378"/>
      <c r="Q3" s="378"/>
      <c r="R3" s="378"/>
      <c r="S3" s="378"/>
      <c r="T3" s="378"/>
      <c r="U3" s="378"/>
    </row>
    <row r="4" spans="1:21" ht="15.75" x14ac:dyDescent="0.25">
      <c r="A4" s="377" t="s">
        <v>325</v>
      </c>
      <c r="B4" s="378"/>
      <c r="C4" s="378"/>
      <c r="D4" s="378"/>
      <c r="E4" s="378"/>
      <c r="F4" s="378"/>
      <c r="G4" s="378"/>
      <c r="H4" s="378"/>
      <c r="I4" s="378"/>
      <c r="J4" s="378"/>
      <c r="K4" s="378"/>
      <c r="L4" s="378"/>
      <c r="M4" s="378"/>
      <c r="N4" s="378"/>
      <c r="O4" s="378"/>
      <c r="P4" s="378"/>
      <c r="Q4" s="378"/>
      <c r="R4" s="378"/>
      <c r="S4" s="378"/>
      <c r="T4" s="378"/>
      <c r="U4" s="378"/>
    </row>
    <row r="5" spans="1:21" ht="15.75" x14ac:dyDescent="0.25">
      <c r="A5" s="379" t="s">
        <v>324</v>
      </c>
      <c r="B5" s="378"/>
      <c r="C5" s="378"/>
      <c r="D5" s="378"/>
      <c r="E5" s="378"/>
      <c r="F5" s="378"/>
      <c r="G5" s="378"/>
      <c r="H5" s="378"/>
      <c r="I5" s="378"/>
      <c r="J5" s="378"/>
      <c r="K5" s="378"/>
      <c r="L5" s="378"/>
      <c r="M5" s="378"/>
      <c r="N5" s="378"/>
      <c r="O5" s="378"/>
      <c r="P5" s="378"/>
      <c r="Q5" s="378"/>
      <c r="R5" s="378"/>
      <c r="S5" s="378"/>
      <c r="T5" s="378"/>
      <c r="U5" s="378"/>
    </row>
    <row r="6" spans="1:21" x14ac:dyDescent="0.2">
      <c r="B6" s="164"/>
      <c r="C6" s="165"/>
      <c r="D6" s="165"/>
      <c r="E6" s="165"/>
      <c r="F6" s="165"/>
      <c r="G6" s="165"/>
      <c r="H6" s="165"/>
      <c r="I6" s="165"/>
      <c r="J6" s="165"/>
      <c r="K6" s="165"/>
      <c r="L6" s="165"/>
      <c r="M6" s="165"/>
      <c r="N6" s="165"/>
      <c r="O6" s="165"/>
      <c r="P6" s="165"/>
      <c r="Q6" s="165"/>
      <c r="R6" s="165"/>
      <c r="S6" s="165"/>
      <c r="T6" s="165"/>
      <c r="U6" s="165"/>
    </row>
    <row r="7" spans="1:21" x14ac:dyDescent="0.2">
      <c r="B7" s="165"/>
      <c r="C7" s="165"/>
      <c r="D7" s="165"/>
      <c r="E7" s="165"/>
      <c r="F7" s="165"/>
      <c r="G7" s="165"/>
      <c r="H7" s="165"/>
      <c r="I7" s="165"/>
      <c r="J7" s="165"/>
      <c r="K7" s="165"/>
      <c r="L7" s="165"/>
      <c r="M7" s="165"/>
      <c r="N7" s="165"/>
      <c r="O7" s="165"/>
      <c r="P7" s="165"/>
      <c r="Q7" s="165"/>
      <c r="R7" s="165"/>
      <c r="S7" s="165"/>
      <c r="T7" s="165"/>
      <c r="U7" s="165"/>
    </row>
    <row r="8" spans="1:21" ht="15.75" customHeight="1" x14ac:dyDescent="0.25">
      <c r="B8" s="125"/>
      <c r="C8" s="381" t="s">
        <v>323</v>
      </c>
      <c r="D8" s="382"/>
      <c r="E8" s="383"/>
      <c r="F8" s="166"/>
      <c r="G8" s="381" t="s">
        <v>322</v>
      </c>
      <c r="H8" s="382"/>
      <c r="I8" s="383"/>
      <c r="J8" s="167"/>
      <c r="K8" s="384" t="s">
        <v>321</v>
      </c>
      <c r="L8" s="385"/>
      <c r="M8" s="386"/>
      <c r="N8" s="165"/>
      <c r="O8" s="387" t="s">
        <v>320</v>
      </c>
      <c r="P8" s="386"/>
      <c r="Q8" s="224"/>
      <c r="R8" s="382" t="s">
        <v>319</v>
      </c>
      <c r="S8" s="383"/>
      <c r="T8" s="224"/>
      <c r="U8" s="165"/>
    </row>
    <row r="9" spans="1:21" ht="22.5" x14ac:dyDescent="0.2">
      <c r="A9" s="34" t="s">
        <v>147</v>
      </c>
      <c r="B9" s="168" t="s">
        <v>318</v>
      </c>
      <c r="C9" s="287" t="s">
        <v>317</v>
      </c>
      <c r="D9" s="170" t="s">
        <v>164</v>
      </c>
      <c r="E9" s="171" t="s">
        <v>163</v>
      </c>
      <c r="F9" s="166"/>
      <c r="G9" s="169" t="str">
        <f>C9</f>
        <v xml:space="preserve">Test Year </v>
      </c>
      <c r="H9" s="170" t="str">
        <f>D9</f>
        <v>MYRP 2025</v>
      </c>
      <c r="I9" s="171" t="str">
        <f>E9</f>
        <v>MYRP 2026</v>
      </c>
      <c r="J9" s="167"/>
      <c r="K9" s="169" t="str">
        <f>G9</f>
        <v xml:space="preserve">Test Year </v>
      </c>
      <c r="L9" s="170" t="str">
        <f>H9</f>
        <v>MYRP 2025</v>
      </c>
      <c r="M9" s="171" t="str">
        <f>I9</f>
        <v>MYRP 2026</v>
      </c>
      <c r="N9" s="165"/>
      <c r="O9" s="170" t="str">
        <f>H9</f>
        <v>MYRP 2025</v>
      </c>
      <c r="P9" s="171" t="str">
        <f>I9</f>
        <v>MYRP 2026</v>
      </c>
      <c r="Q9" s="224"/>
      <c r="R9" s="170" t="str">
        <f>O9</f>
        <v>MYRP 2025</v>
      </c>
      <c r="S9" s="171" t="str">
        <f>P9</f>
        <v>MYRP 2026</v>
      </c>
      <c r="T9" s="224"/>
      <c r="U9" s="172" t="s">
        <v>316</v>
      </c>
    </row>
    <row r="10" spans="1:21" x14ac:dyDescent="0.2">
      <c r="A10" s="61"/>
      <c r="B10" s="62" t="s">
        <v>137</v>
      </c>
      <c r="C10" s="62" t="s">
        <v>136</v>
      </c>
      <c r="D10" s="62" t="s">
        <v>135</v>
      </c>
      <c r="E10" s="62" t="s">
        <v>134</v>
      </c>
      <c r="F10" s="63"/>
      <c r="G10" s="62" t="s">
        <v>197</v>
      </c>
      <c r="H10" s="37" t="s">
        <v>132</v>
      </c>
      <c r="I10" s="37" t="s">
        <v>196</v>
      </c>
      <c r="J10" s="64"/>
      <c r="K10" s="62" t="s">
        <v>315</v>
      </c>
      <c r="L10" s="38" t="s">
        <v>314</v>
      </c>
      <c r="M10" s="38" t="s">
        <v>313</v>
      </c>
      <c r="N10" s="38"/>
      <c r="O10" s="37" t="s">
        <v>312</v>
      </c>
      <c r="P10" s="37" t="s">
        <v>311</v>
      </c>
      <c r="Q10" s="65"/>
      <c r="R10" s="37" t="s">
        <v>125</v>
      </c>
      <c r="S10" s="37" t="s">
        <v>124</v>
      </c>
      <c r="T10" s="65"/>
      <c r="U10" s="45" t="s">
        <v>123</v>
      </c>
    </row>
    <row r="11" spans="1:21" x14ac:dyDescent="0.2">
      <c r="A11" s="137">
        <v>1</v>
      </c>
      <c r="B11" s="248" t="str">
        <f>CONCATENATE("SCHEDULE"," ", 'Exh CTM-6 (Tariff)'!B8)</f>
        <v>SCHEDULE 7 (307) (317) (327)</v>
      </c>
      <c r="C11" s="173"/>
      <c r="D11" s="165"/>
      <c r="E11" s="165"/>
      <c r="F11" s="166"/>
      <c r="G11" s="173"/>
      <c r="H11" s="165"/>
      <c r="I11" s="165"/>
      <c r="J11" s="167"/>
      <c r="K11" s="173"/>
      <c r="L11" s="173"/>
      <c r="M11" s="173"/>
      <c r="N11" s="173"/>
      <c r="O11" s="165"/>
      <c r="P11" s="165"/>
      <c r="Q11" s="224"/>
      <c r="R11" s="165"/>
      <c r="S11" s="165"/>
      <c r="T11" s="224"/>
      <c r="U11" s="164"/>
    </row>
    <row r="12" spans="1:21" x14ac:dyDescent="0.2">
      <c r="A12" s="137">
        <f t="shared" ref="A12:A75" si="0">A11+1</f>
        <v>2</v>
      </c>
      <c r="B12" s="141" t="s">
        <v>14</v>
      </c>
      <c r="F12" s="166"/>
      <c r="G12" s="163"/>
      <c r="H12" s="163"/>
      <c r="I12" s="163"/>
      <c r="J12" s="167"/>
      <c r="O12" s="163"/>
      <c r="T12" s="224"/>
    </row>
    <row r="13" spans="1:21" x14ac:dyDescent="0.2">
      <c r="A13" s="137">
        <f t="shared" si="0"/>
        <v>3</v>
      </c>
      <c r="B13" s="117" t="s">
        <v>55</v>
      </c>
      <c r="C13" s="118"/>
      <c r="D13" s="118"/>
      <c r="E13" s="118"/>
      <c r="F13" s="118"/>
      <c r="G13" s="163"/>
      <c r="H13" s="163"/>
      <c r="I13" s="163"/>
      <c r="J13" s="167"/>
      <c r="O13" s="163"/>
      <c r="T13" s="224"/>
    </row>
    <row r="14" spans="1:21" x14ac:dyDescent="0.2">
      <c r="A14" s="137">
        <f t="shared" si="0"/>
        <v>4</v>
      </c>
      <c r="B14" s="117" t="s">
        <v>290</v>
      </c>
      <c r="C14" s="118">
        <v>13063955</v>
      </c>
      <c r="D14" s="118">
        <v>13402924</v>
      </c>
      <c r="E14" s="118">
        <v>13545540</v>
      </c>
      <c r="F14" s="118"/>
      <c r="G14" s="224">
        <f>'Exh CTM-6 (Tariff)'!D9</f>
        <v>7.49</v>
      </c>
      <c r="H14" s="42">
        <f>G14*(1+R14)</f>
        <v>9.7370000000000001</v>
      </c>
      <c r="I14" s="42">
        <f>H14*(1+S14)</f>
        <v>12.658100000000001</v>
      </c>
      <c r="J14" s="167"/>
      <c r="K14" s="174">
        <f>G14*C14</f>
        <v>97849022.950000003</v>
      </c>
      <c r="L14" s="174">
        <f>G14*D14</f>
        <v>100387900.76000001</v>
      </c>
      <c r="M14" s="174">
        <f>G14*E14</f>
        <v>101456094.60000001</v>
      </c>
      <c r="N14" s="174"/>
      <c r="O14" s="174">
        <f>H14*D14</f>
        <v>130504270.98800001</v>
      </c>
      <c r="P14" s="174">
        <f>I14*E14</f>
        <v>171460799.87400001</v>
      </c>
      <c r="R14" s="3">
        <v>0.3</v>
      </c>
      <c r="S14" s="3">
        <f>R14</f>
        <v>0.3</v>
      </c>
      <c r="T14" s="224"/>
      <c r="U14" s="117" t="s">
        <v>264</v>
      </c>
    </row>
    <row r="15" spans="1:21" x14ac:dyDescent="0.2">
      <c r="A15" s="137">
        <f t="shared" si="0"/>
        <v>5</v>
      </c>
      <c r="B15" s="117" t="s">
        <v>289</v>
      </c>
      <c r="C15" s="118">
        <v>4524</v>
      </c>
      <c r="D15" s="118">
        <v>4641</v>
      </c>
      <c r="E15" s="118">
        <v>4692</v>
      </c>
      <c r="F15" s="118"/>
      <c r="G15" s="224">
        <f>'Exh CTM-6 (Tariff)'!D10</f>
        <v>17.989999999999998</v>
      </c>
      <c r="H15" s="42">
        <f>G15*(1+R15)</f>
        <v>23.387</v>
      </c>
      <c r="I15" s="42">
        <f>H15*(1+S15)</f>
        <v>30.403100000000002</v>
      </c>
      <c r="J15" s="167"/>
      <c r="K15" s="174">
        <f>G15*C15</f>
        <v>81386.759999999995</v>
      </c>
      <c r="L15" s="174">
        <f>G15*D15</f>
        <v>83491.59</v>
      </c>
      <c r="M15" s="174">
        <f>G15*E15</f>
        <v>84409.079999999987</v>
      </c>
      <c r="N15" s="174"/>
      <c r="O15" s="174">
        <f>H15*D15</f>
        <v>108539.067</v>
      </c>
      <c r="P15" s="174">
        <f>I15*E15</f>
        <v>142651.34520000001</v>
      </c>
      <c r="R15" s="49">
        <f>R14</f>
        <v>0.3</v>
      </c>
      <c r="S15" s="49">
        <f>S14</f>
        <v>0.3</v>
      </c>
      <c r="T15" s="224"/>
      <c r="U15" s="117" t="s">
        <v>264</v>
      </c>
    </row>
    <row r="16" spans="1:21" x14ac:dyDescent="0.2">
      <c r="A16" s="137">
        <f t="shared" si="0"/>
        <v>6</v>
      </c>
      <c r="B16" s="175" t="s">
        <v>226</v>
      </c>
      <c r="C16" s="176">
        <f>SUM(C14:C15)</f>
        <v>13068479</v>
      </c>
      <c r="D16" s="176">
        <f>SUM(D14:D15)</f>
        <v>13407565</v>
      </c>
      <c r="E16" s="176">
        <f>SUM(E14:E15)</f>
        <v>13550232</v>
      </c>
      <c r="F16" s="118"/>
      <c r="G16" s="179"/>
      <c r="H16" s="42"/>
      <c r="I16" s="42"/>
      <c r="J16" s="167"/>
      <c r="K16" s="177">
        <f>SUM(K14:K15)</f>
        <v>97930409.710000008</v>
      </c>
      <c r="L16" s="177">
        <f>SUM(L14:L15)</f>
        <v>100471392.35000001</v>
      </c>
      <c r="M16" s="177">
        <f>SUM(M14:M15)</f>
        <v>101540503.68000001</v>
      </c>
      <c r="N16" s="177"/>
      <c r="O16" s="177">
        <f>SUM(O14:O15)</f>
        <v>130612810.05500001</v>
      </c>
      <c r="P16" s="177">
        <f>SUM(P14:P15)</f>
        <v>171603451.21920002</v>
      </c>
      <c r="R16" s="178"/>
      <c r="S16" s="178"/>
      <c r="T16" s="224"/>
    </row>
    <row r="17" spans="1:21" x14ac:dyDescent="0.2">
      <c r="A17" s="137">
        <f t="shared" si="0"/>
        <v>7</v>
      </c>
      <c r="B17" s="117" t="s">
        <v>54</v>
      </c>
      <c r="C17" s="118"/>
      <c r="D17" s="118"/>
      <c r="E17" s="118"/>
      <c r="F17" s="118"/>
      <c r="G17" s="179"/>
      <c r="J17" s="167"/>
      <c r="K17" s="174"/>
      <c r="L17" s="174"/>
      <c r="M17" s="174"/>
      <c r="N17" s="174"/>
      <c r="O17" s="174"/>
      <c r="P17" s="174"/>
      <c r="R17" s="23"/>
      <c r="S17" s="23"/>
      <c r="T17" s="224"/>
      <c r="U17" s="180"/>
    </row>
    <row r="18" spans="1:21" x14ac:dyDescent="0.2">
      <c r="A18" s="137">
        <f t="shared" si="0"/>
        <v>8</v>
      </c>
      <c r="B18" s="181" t="s">
        <v>310</v>
      </c>
      <c r="C18" s="118">
        <v>6506331253</v>
      </c>
      <c r="D18" s="118">
        <v>6356287865.579875</v>
      </c>
      <c r="E18" s="118">
        <v>6454126299.9336367</v>
      </c>
      <c r="F18" s="118"/>
      <c r="G18" s="182">
        <f>'Exh CTM-6 (Tariff)'!D12</f>
        <v>8.9437000000000003E-2</v>
      </c>
      <c r="H18" s="182">
        <f>G18+R18</f>
        <v>0.11651582591302051</v>
      </c>
      <c r="I18" s="182">
        <f>H18+S18</f>
        <v>0.12567450443201938</v>
      </c>
      <c r="J18" s="167"/>
      <c r="K18" s="174">
        <f>G18*C18</f>
        <v>581906748.27456105</v>
      </c>
      <c r="L18" s="174">
        <f>G18*D18</f>
        <v>568487317.83386731</v>
      </c>
      <c r="M18" s="174">
        <f>G18*E18</f>
        <v>577237693.88716471</v>
      </c>
      <c r="N18" s="174"/>
      <c r="O18" s="174">
        <f>H18*D18</f>
        <v>740608130.39894938</v>
      </c>
      <c r="P18" s="174">
        <f>I18*E18</f>
        <v>811119124.28582275</v>
      </c>
      <c r="R18" s="182">
        <f>(R25-(O16-L16))/D23</f>
        <v>2.70788259130205E-2</v>
      </c>
      <c r="S18" s="182">
        <f>((S25+R25)-(P16-M16))/E23-R18</f>
        <v>9.1586785189988612E-3</v>
      </c>
      <c r="T18" s="224"/>
      <c r="U18" s="141" t="s">
        <v>230</v>
      </c>
    </row>
    <row r="19" spans="1:21" x14ac:dyDescent="0.2">
      <c r="A19" s="137">
        <f t="shared" si="0"/>
        <v>9</v>
      </c>
      <c r="B19" s="181" t="s">
        <v>309</v>
      </c>
      <c r="C19" s="118">
        <v>5206810367</v>
      </c>
      <c r="D19" s="118">
        <v>4921917985.8154898</v>
      </c>
      <c r="E19" s="118">
        <v>4993522939.7803335</v>
      </c>
      <c r="F19" s="118"/>
      <c r="G19" s="182">
        <f>'Exh CTM-6 (Tariff)'!D13</f>
        <v>0.10885400000000001</v>
      </c>
      <c r="H19" s="182">
        <f>G19+R19</f>
        <v>0.1359328259130205</v>
      </c>
      <c r="I19" s="182">
        <f>H19+S19</f>
        <v>0.14509150443201935</v>
      </c>
      <c r="J19" s="167"/>
      <c r="K19" s="174">
        <f>G19*C19</f>
        <v>566782135.68941808</v>
      </c>
      <c r="L19" s="174">
        <f>G19*D19</f>
        <v>535770460.42795938</v>
      </c>
      <c r="M19" s="174">
        <f>G19*E19</f>
        <v>543564946.0868485</v>
      </c>
      <c r="N19" s="174"/>
      <c r="O19" s="174">
        <f>H19*D19</f>
        <v>669050220.72402143</v>
      </c>
      <c r="P19" s="174">
        <f>I19*E19</f>
        <v>724517755.74852848</v>
      </c>
      <c r="R19" s="182">
        <f>R18</f>
        <v>2.70788259130205E-2</v>
      </c>
      <c r="S19" s="182">
        <f>S18</f>
        <v>9.1586785189988612E-3</v>
      </c>
      <c r="T19" s="224"/>
      <c r="U19" s="141" t="s">
        <v>230</v>
      </c>
    </row>
    <row r="20" spans="1:21" x14ac:dyDescent="0.2">
      <c r="A20" s="137">
        <f t="shared" si="0"/>
        <v>10</v>
      </c>
      <c r="B20" s="175" t="s">
        <v>226</v>
      </c>
      <c r="C20" s="176">
        <f>SUM(C18:C19)</f>
        <v>11713141620</v>
      </c>
      <c r="D20" s="176">
        <f>SUM(D18:D19)</f>
        <v>11278205851.395365</v>
      </c>
      <c r="E20" s="176">
        <f>SUM(E18:E19)</f>
        <v>11447649239.71397</v>
      </c>
      <c r="F20" s="118"/>
      <c r="G20" s="183"/>
      <c r="H20" s="183"/>
      <c r="I20" s="183"/>
      <c r="J20" s="167"/>
      <c r="K20" s="177">
        <f>SUM(K18:K19)</f>
        <v>1148688883.9639792</v>
      </c>
      <c r="L20" s="177">
        <f>SUM(L18:L19)</f>
        <v>1104257778.2618268</v>
      </c>
      <c r="M20" s="177">
        <f>SUM(M18:M19)</f>
        <v>1120802639.9740133</v>
      </c>
      <c r="N20" s="177"/>
      <c r="O20" s="177">
        <f>SUM(O18:O19)</f>
        <v>1409658351.1229708</v>
      </c>
      <c r="P20" s="177">
        <f>SUM(P18:P19)</f>
        <v>1535636880.0343513</v>
      </c>
      <c r="T20" s="224"/>
    </row>
    <row r="21" spans="1:21" x14ac:dyDescent="0.2">
      <c r="A21" s="137">
        <f t="shared" si="0"/>
        <v>11</v>
      </c>
      <c r="B21" s="184" t="s">
        <v>229</v>
      </c>
      <c r="C21" s="118">
        <v>-508914814.87916487</v>
      </c>
      <c r="D21" s="185" t="s">
        <v>227</v>
      </c>
      <c r="E21" s="185"/>
      <c r="F21" s="118"/>
      <c r="G21" s="182">
        <f>K21/C21</f>
        <v>0.10632400043777007</v>
      </c>
      <c r="H21" s="183"/>
      <c r="I21" s="183"/>
      <c r="J21" s="167"/>
      <c r="K21" s="174">
        <v>-54109859</v>
      </c>
      <c r="L21" s="174">
        <f>G21*D21</f>
        <v>0</v>
      </c>
      <c r="M21" s="174">
        <f>G21*E21</f>
        <v>0</v>
      </c>
      <c r="N21" s="174"/>
      <c r="O21" s="174">
        <f>H21*D21</f>
        <v>0</v>
      </c>
      <c r="P21" s="174">
        <f>I21*E21</f>
        <v>0</v>
      </c>
      <c r="T21" s="224"/>
    </row>
    <row r="22" spans="1:21" x14ac:dyDescent="0.2">
      <c r="A22" s="137">
        <f t="shared" si="0"/>
        <v>12</v>
      </c>
      <c r="B22" s="184" t="s">
        <v>228</v>
      </c>
      <c r="C22" s="118">
        <v>18614228</v>
      </c>
      <c r="D22" s="185" t="s">
        <v>227</v>
      </c>
      <c r="E22" s="185"/>
      <c r="F22" s="118"/>
      <c r="G22" s="182">
        <f>K22/C22</f>
        <v>0.10585622997633853</v>
      </c>
      <c r="H22" s="183"/>
      <c r="I22" s="183"/>
      <c r="J22" s="167"/>
      <c r="K22" s="249">
        <v>1970432</v>
      </c>
      <c r="L22" s="174">
        <f>G22*D22</f>
        <v>0</v>
      </c>
      <c r="M22" s="174">
        <f>G22*E22</f>
        <v>0</v>
      </c>
      <c r="N22" s="174"/>
      <c r="O22" s="174">
        <f>H22*D22</f>
        <v>0</v>
      </c>
      <c r="P22" s="174">
        <f>I22*E22</f>
        <v>0</v>
      </c>
      <c r="T22" s="224"/>
    </row>
    <row r="23" spans="1:21" ht="12" thickBot="1" x14ac:dyDescent="0.25">
      <c r="A23" s="137">
        <f t="shared" si="0"/>
        <v>13</v>
      </c>
      <c r="B23" s="175" t="s">
        <v>226</v>
      </c>
      <c r="C23" s="186">
        <f>SUM(C20:C22)</f>
        <v>11222841033.120834</v>
      </c>
      <c r="D23" s="186">
        <f>SUM(D20:D22)</f>
        <v>11278205851.395365</v>
      </c>
      <c r="E23" s="186">
        <f>SUM(E20:E22)</f>
        <v>11447649239.71397</v>
      </c>
      <c r="F23" s="118"/>
      <c r="G23" s="182"/>
      <c r="H23" s="183"/>
      <c r="I23" s="183"/>
      <c r="J23" s="167"/>
      <c r="K23" s="174">
        <f>SUM(K20:K22)</f>
        <v>1096549456.9639792</v>
      </c>
      <c r="L23" s="177">
        <f>SUM(L20:L22)</f>
        <v>1104257778.2618268</v>
      </c>
      <c r="M23" s="177">
        <f>SUM(M20:M22)</f>
        <v>1120802639.9740133</v>
      </c>
      <c r="N23" s="177"/>
      <c r="O23" s="177">
        <f>SUM(O20:O22)</f>
        <v>1409658351.1229708</v>
      </c>
      <c r="P23" s="177">
        <f>SUM(P20:P22)</f>
        <v>1535636880.0343513</v>
      </c>
      <c r="T23" s="224"/>
    </row>
    <row r="24" spans="1:21" ht="12.75" thickTop="1" thickBot="1" x14ac:dyDescent="0.25">
      <c r="A24" s="137">
        <f t="shared" si="0"/>
        <v>14</v>
      </c>
      <c r="B24" s="117" t="s">
        <v>308</v>
      </c>
      <c r="G24" s="187">
        <f>K24/C23</f>
        <v>0.10643293112223828</v>
      </c>
      <c r="H24" s="187">
        <f>O24/D23</f>
        <v>0.13657058414015427</v>
      </c>
      <c r="I24" s="187">
        <f>P24/E23</f>
        <v>0.14913457737076929</v>
      </c>
      <c r="J24" s="167"/>
      <c r="K24" s="188">
        <f>SUM(K23,K16)</f>
        <v>1194479866.6739793</v>
      </c>
      <c r="L24" s="188">
        <f>SUM(L23,L16)</f>
        <v>1204729170.6118267</v>
      </c>
      <c r="M24" s="188">
        <f>SUM(M23,M16)</f>
        <v>1222343143.6540134</v>
      </c>
      <c r="N24" s="188"/>
      <c r="O24" s="188">
        <f>SUM(O23,O16)</f>
        <v>1540271161.1779709</v>
      </c>
      <c r="P24" s="188">
        <f>SUM(P23,P16)</f>
        <v>1707240331.2535515</v>
      </c>
      <c r="R24" s="188">
        <f>'Exh CTM-6 (Rate Spread)'!U9</f>
        <v>1540271161.1779709</v>
      </c>
      <c r="S24" s="188">
        <f>'Exh CTM-6 (Rate Spread)'!AB9</f>
        <v>1707240331.2535515</v>
      </c>
      <c r="T24" s="174"/>
    </row>
    <row r="25" spans="1:21" ht="12" thickTop="1" x14ac:dyDescent="0.2">
      <c r="A25" s="137">
        <f t="shared" si="0"/>
        <v>15</v>
      </c>
      <c r="B25" s="141" t="s">
        <v>224</v>
      </c>
      <c r="G25" s="182"/>
      <c r="H25" s="182"/>
      <c r="I25" s="182"/>
      <c r="J25" s="167"/>
      <c r="K25" s="174"/>
      <c r="L25" s="174"/>
      <c r="M25" s="174"/>
      <c r="N25" s="174"/>
      <c r="O25" s="174"/>
      <c r="P25" s="174"/>
      <c r="R25" s="174">
        <f>R24-L24</f>
        <v>335541990.56614423</v>
      </c>
      <c r="S25" s="174">
        <f>S24-M24-R25</f>
        <v>149355197.03339386</v>
      </c>
      <c r="T25" s="174"/>
    </row>
    <row r="26" spans="1:21" x14ac:dyDescent="0.2">
      <c r="A26" s="137">
        <f t="shared" si="0"/>
        <v>16</v>
      </c>
      <c r="B26" s="141" t="s">
        <v>223</v>
      </c>
      <c r="G26" s="182"/>
      <c r="H26" s="8"/>
      <c r="I26" s="8"/>
      <c r="J26" s="167"/>
      <c r="K26" s="182"/>
      <c r="L26" s="182"/>
      <c r="M26" s="182"/>
      <c r="N26" s="7"/>
      <c r="O26" s="174"/>
      <c r="P26" s="174"/>
      <c r="R26" s="23">
        <f>R25/L24</f>
        <v>0.27852068228391769</v>
      </c>
      <c r="S26" s="23">
        <f>S25/M24</f>
        <v>0.12218761794410583</v>
      </c>
      <c r="T26" s="174"/>
    </row>
    <row r="27" spans="1:21" x14ac:dyDescent="0.2">
      <c r="A27" s="137">
        <f t="shared" si="0"/>
        <v>17</v>
      </c>
      <c r="B27" s="288" t="s">
        <v>160</v>
      </c>
      <c r="C27" s="163">
        <v>0.2949981689453125</v>
      </c>
      <c r="H27" s="182"/>
      <c r="I27" s="6"/>
      <c r="J27" s="167"/>
      <c r="K27" s="163">
        <v>-1.6739792823791504</v>
      </c>
      <c r="L27" s="174">
        <v>0</v>
      </c>
      <c r="M27" s="174">
        <v>0</v>
      </c>
      <c r="N27" s="174"/>
      <c r="O27" s="174"/>
      <c r="P27" s="174"/>
      <c r="R27" s="174">
        <f>R24-O24</f>
        <v>0</v>
      </c>
      <c r="S27" s="174">
        <f>S24-P24</f>
        <v>0</v>
      </c>
      <c r="T27" s="189"/>
    </row>
    <row r="28" spans="1:21" x14ac:dyDescent="0.2">
      <c r="A28" s="137">
        <f t="shared" si="0"/>
        <v>18</v>
      </c>
      <c r="B28" s="190"/>
      <c r="C28" s="191"/>
      <c r="D28" s="191"/>
      <c r="E28" s="191"/>
      <c r="F28" s="191"/>
      <c r="G28" s="192"/>
      <c r="H28" s="5"/>
      <c r="I28" s="5"/>
      <c r="J28" s="191"/>
      <c r="K28" s="191"/>
      <c r="L28" s="191"/>
      <c r="M28" s="191"/>
      <c r="N28" s="191"/>
      <c r="O28" s="191" t="s">
        <v>307</v>
      </c>
      <c r="P28" s="191"/>
      <c r="Q28" s="191"/>
      <c r="R28" s="191"/>
      <c r="S28" s="191"/>
      <c r="T28" s="191"/>
    </row>
    <row r="29" spans="1:21" x14ac:dyDescent="0.2">
      <c r="A29" s="137">
        <f t="shared" si="0"/>
        <v>19</v>
      </c>
      <c r="B29" s="125"/>
      <c r="C29" s="173"/>
      <c r="D29" s="165"/>
      <c r="E29" s="165"/>
      <c r="F29" s="166"/>
      <c r="G29" s="173"/>
      <c r="H29" s="165"/>
      <c r="I29" s="165"/>
      <c r="J29" s="167"/>
      <c r="K29" s="173"/>
      <c r="L29" s="173"/>
      <c r="M29" s="173"/>
      <c r="N29" s="173"/>
      <c r="O29" s="165"/>
      <c r="P29" s="165"/>
      <c r="Q29" s="224"/>
      <c r="R29" s="165"/>
      <c r="S29" s="165"/>
      <c r="T29" s="224"/>
      <c r="U29" s="164"/>
    </row>
    <row r="30" spans="1:21" x14ac:dyDescent="0.2">
      <c r="A30" s="137">
        <f t="shared" si="0"/>
        <v>20</v>
      </c>
      <c r="B30" s="248" t="str">
        <f>CONCATENATE("SCHEDULE"," ", 'Exh CTM-6 (Tariff)'!B15)</f>
        <v>SCHEDULE 08 (24) (324)</v>
      </c>
    </row>
    <row r="31" spans="1:21" x14ac:dyDescent="0.2">
      <c r="A31" s="137">
        <f t="shared" si="0"/>
        <v>21</v>
      </c>
      <c r="B31" s="141" t="s">
        <v>306</v>
      </c>
    </row>
    <row r="32" spans="1:21" x14ac:dyDescent="0.2">
      <c r="A32" s="137">
        <f t="shared" si="0"/>
        <v>22</v>
      </c>
      <c r="B32" s="117" t="s">
        <v>55</v>
      </c>
    </row>
    <row r="33" spans="1:21" x14ac:dyDescent="0.2">
      <c r="A33" s="137">
        <f t="shared" si="0"/>
        <v>23</v>
      </c>
      <c r="B33" s="117" t="s">
        <v>290</v>
      </c>
      <c r="C33" s="163">
        <v>1134095</v>
      </c>
      <c r="D33" s="163">
        <v>1164314</v>
      </c>
      <c r="E33" s="163">
        <v>1177319</v>
      </c>
      <c r="G33" s="210">
        <f>'Exh CTM-6 (Tariff)'!D16</f>
        <v>10.210000000000001</v>
      </c>
      <c r="H33" s="42">
        <f>G33*(1+R33)</f>
        <v>13.273000000000001</v>
      </c>
      <c r="I33" s="42">
        <f>H33*(1+S33)</f>
        <v>17.254900000000003</v>
      </c>
      <c r="K33" s="174">
        <f>G33*C33</f>
        <v>11579109.950000001</v>
      </c>
      <c r="L33" s="174">
        <f>G33*D33</f>
        <v>11887645.940000001</v>
      </c>
      <c r="M33" s="174">
        <f>G33*E33</f>
        <v>12020426.99</v>
      </c>
      <c r="N33" s="174"/>
      <c r="O33" s="174">
        <f>H33*D33</f>
        <v>15453939.722000001</v>
      </c>
      <c r="P33" s="174">
        <f>I33*E33</f>
        <v>20314521.613100003</v>
      </c>
      <c r="R33" s="3">
        <v>0.3</v>
      </c>
      <c r="S33" s="3">
        <f>R33</f>
        <v>0.3</v>
      </c>
      <c r="U33" s="117" t="s">
        <v>264</v>
      </c>
    </row>
    <row r="34" spans="1:21" x14ac:dyDescent="0.2">
      <c r="A34" s="137">
        <f t="shared" si="0"/>
        <v>24</v>
      </c>
      <c r="B34" s="117" t="s">
        <v>289</v>
      </c>
      <c r="C34" s="163">
        <v>482155</v>
      </c>
      <c r="D34" s="163">
        <v>495002</v>
      </c>
      <c r="E34" s="163">
        <v>500533</v>
      </c>
      <c r="G34" s="210">
        <f>'Exh CTM-6 (Tariff)'!D17</f>
        <v>25.95</v>
      </c>
      <c r="H34" s="42">
        <f>G34*(1+R34)</f>
        <v>33.734999999999999</v>
      </c>
      <c r="I34" s="42">
        <f>H34*(1+S34)</f>
        <v>43.855499999999999</v>
      </c>
      <c r="K34" s="174">
        <f>G34*C34</f>
        <v>12511922.25</v>
      </c>
      <c r="L34" s="174">
        <f>G34*D34</f>
        <v>12845301.9</v>
      </c>
      <c r="M34" s="174">
        <f>G34*E34</f>
        <v>12988831.35</v>
      </c>
      <c r="N34" s="174"/>
      <c r="O34" s="174">
        <f>H34*D34</f>
        <v>16698892.469999999</v>
      </c>
      <c r="P34" s="174">
        <f>I34*E34</f>
        <v>21951124.9815</v>
      </c>
      <c r="R34" s="49">
        <f>R33</f>
        <v>0.3</v>
      </c>
      <c r="S34" s="49">
        <f>S33</f>
        <v>0.3</v>
      </c>
      <c r="U34" s="117" t="s">
        <v>264</v>
      </c>
    </row>
    <row r="35" spans="1:21" x14ac:dyDescent="0.2">
      <c r="A35" s="137">
        <f t="shared" si="0"/>
        <v>25</v>
      </c>
      <c r="B35" s="175" t="s">
        <v>226</v>
      </c>
      <c r="C35" s="193">
        <f>SUM(C33:C34)</f>
        <v>1616250</v>
      </c>
      <c r="D35" s="193">
        <f>SUM(D33:D34)</f>
        <v>1659316</v>
      </c>
      <c r="E35" s="193">
        <f>SUM(E33:E34)</f>
        <v>1677852</v>
      </c>
      <c r="H35" s="42"/>
      <c r="I35" s="42"/>
      <c r="K35" s="177">
        <f>SUM(K33:K34)</f>
        <v>24091032.200000003</v>
      </c>
      <c r="L35" s="177">
        <f>SUM(L33:L34)</f>
        <v>24732947.840000004</v>
      </c>
      <c r="M35" s="177">
        <f>SUM(M33:M34)</f>
        <v>25009258.34</v>
      </c>
      <c r="N35" s="177"/>
      <c r="O35" s="177">
        <f>SUM(O33:O34)</f>
        <v>32152832.192000002</v>
      </c>
      <c r="P35" s="177">
        <f>SUM(P33:P34)</f>
        <v>42265646.594600007</v>
      </c>
      <c r="R35" s="178"/>
      <c r="S35" s="178"/>
      <c r="T35" s="163"/>
    </row>
    <row r="36" spans="1:21" x14ac:dyDescent="0.2">
      <c r="A36" s="137">
        <f t="shared" si="0"/>
        <v>26</v>
      </c>
      <c r="B36" s="117" t="s">
        <v>54</v>
      </c>
      <c r="C36" s="163"/>
      <c r="D36" s="163"/>
      <c r="E36" s="163"/>
      <c r="K36" s="174"/>
      <c r="L36" s="174"/>
      <c r="M36" s="174"/>
      <c r="N36" s="174"/>
      <c r="O36" s="174"/>
      <c r="P36" s="174"/>
      <c r="R36" s="23"/>
      <c r="S36" s="23"/>
      <c r="U36" s="180"/>
    </row>
    <row r="37" spans="1:21" ht="15.75" customHeight="1" x14ac:dyDescent="0.2">
      <c r="A37" s="137">
        <f t="shared" si="0"/>
        <v>27</v>
      </c>
      <c r="B37" s="181" t="s">
        <v>305</v>
      </c>
      <c r="C37" s="163">
        <v>1297397711</v>
      </c>
      <c r="D37" s="163">
        <v>1457771579.8610439</v>
      </c>
      <c r="E37" s="163">
        <v>1466038232.8208413</v>
      </c>
      <c r="G37" s="194">
        <f>'Exh CTM-6 (Tariff)'!D19</f>
        <v>9.2536999999999994E-2</v>
      </c>
      <c r="H37" s="182">
        <f>G37+R37</f>
        <v>0.11699587891915719</v>
      </c>
      <c r="I37" s="182">
        <f>H37+S37</f>
        <v>0.12560934039909302</v>
      </c>
      <c r="K37" s="174">
        <f>G37*C37</f>
        <v>120057291.982807</v>
      </c>
      <c r="L37" s="174">
        <f>G37*D37</f>
        <v>134897808.68560141</v>
      </c>
      <c r="M37" s="174">
        <f>G37*E37</f>
        <v>135662779.95054218</v>
      </c>
      <c r="N37" s="174"/>
      <c r="O37" s="174">
        <f>H37*D37</f>
        <v>170553267.24921119</v>
      </c>
      <c r="P37" s="174">
        <f>I37*E37</f>
        <v>184148095.42447785</v>
      </c>
      <c r="R37" s="182">
        <f>(R45-(O35-L35))/D43</f>
        <v>2.4458878919157205E-2</v>
      </c>
      <c r="S37" s="182">
        <f>((S45+R45)-(P35-M35))/E43-R37</f>
        <v>8.6134614799358369E-3</v>
      </c>
      <c r="U37" s="141" t="s">
        <v>230</v>
      </c>
    </row>
    <row r="38" spans="1:21" x14ac:dyDescent="0.2">
      <c r="A38" s="137">
        <f t="shared" si="0"/>
        <v>28</v>
      </c>
      <c r="B38" s="184" t="s">
        <v>304</v>
      </c>
      <c r="C38" s="163">
        <v>1482649252</v>
      </c>
      <c r="D38" s="163">
        <v>1304864386.3086548</v>
      </c>
      <c r="E38" s="163">
        <v>1308929189.4485493</v>
      </c>
      <c r="G38" s="194">
        <f>'Exh CTM-6 (Tariff)'!D20</f>
        <v>8.9337E-2</v>
      </c>
      <c r="H38" s="182">
        <f>G38+R38</f>
        <v>0.11379587891915721</v>
      </c>
      <c r="I38" s="182">
        <f>H38+S38</f>
        <v>0.12240934039909304</v>
      </c>
      <c r="K38" s="174">
        <f>G38*C38</f>
        <v>132455436.225924</v>
      </c>
      <c r="L38" s="174">
        <f>G38*D38</f>
        <v>116572669.6796563</v>
      </c>
      <c r="M38" s="174">
        <f>G38*E38</f>
        <v>116935806.99776505</v>
      </c>
      <c r="N38" s="174"/>
      <c r="O38" s="174">
        <f>H38*D38</f>
        <v>148488189.71030006</v>
      </c>
      <c r="P38" s="174">
        <f>I38*E38</f>
        <v>160225158.70951641</v>
      </c>
      <c r="R38" s="182">
        <f>R37</f>
        <v>2.4458878919157205E-2</v>
      </c>
      <c r="S38" s="182">
        <f>S37</f>
        <v>8.6134614799358369E-3</v>
      </c>
      <c r="U38" s="141" t="s">
        <v>230</v>
      </c>
    </row>
    <row r="39" spans="1:21" x14ac:dyDescent="0.2">
      <c r="A39" s="137">
        <f t="shared" si="0"/>
        <v>29</v>
      </c>
      <c r="B39" s="175" t="s">
        <v>226</v>
      </c>
      <c r="C39" s="193">
        <f>SUM(C37:C38)</f>
        <v>2780046963</v>
      </c>
      <c r="D39" s="193">
        <f>SUM(D37:D38)</f>
        <v>2762635966.1696987</v>
      </c>
      <c r="E39" s="193">
        <f>SUM(E37:E38)</f>
        <v>2774967422.2693906</v>
      </c>
      <c r="F39" s="163"/>
      <c r="G39" s="163"/>
      <c r="H39" s="183"/>
      <c r="I39" s="183"/>
      <c r="J39" s="163"/>
      <c r="K39" s="177">
        <f>SUM(K37:K38)</f>
        <v>252512728.208731</v>
      </c>
      <c r="L39" s="177">
        <f>SUM(L37:L38)</f>
        <v>251470478.36525771</v>
      </c>
      <c r="M39" s="177">
        <f>SUM(M37:M38)</f>
        <v>252598586.94830722</v>
      </c>
      <c r="N39" s="177"/>
      <c r="O39" s="177">
        <f>SUM(O37:O38)</f>
        <v>319041456.95951128</v>
      </c>
      <c r="P39" s="177">
        <f>SUM(P37:P38)</f>
        <v>344373254.13399422</v>
      </c>
      <c r="Q39" s="163"/>
    </row>
    <row r="40" spans="1:21" x14ac:dyDescent="0.2">
      <c r="A40" s="137">
        <f t="shared" si="0"/>
        <v>30</v>
      </c>
      <c r="B40" s="181" t="s">
        <v>284</v>
      </c>
      <c r="C40" s="163">
        <v>-26017025.539350219</v>
      </c>
      <c r="D40" s="185" t="s">
        <v>227</v>
      </c>
      <c r="E40" s="185"/>
      <c r="F40" s="163"/>
      <c r="G40" s="194">
        <f>K40/C40</f>
        <v>0.10015034178519225</v>
      </c>
      <c r="H40" s="183"/>
      <c r="I40" s="183"/>
      <c r="J40" s="163"/>
      <c r="K40" s="174">
        <v>-2605614</v>
      </c>
      <c r="L40" s="174">
        <f>G40*D40</f>
        <v>0</v>
      </c>
      <c r="M40" s="174">
        <f>G40*E40</f>
        <v>0</v>
      </c>
      <c r="N40" s="174"/>
      <c r="O40" s="174">
        <f t="shared" ref="O40:P42" si="1">H40*D40</f>
        <v>0</v>
      </c>
      <c r="P40" s="174">
        <f t="shared" si="1"/>
        <v>0</v>
      </c>
      <c r="Q40" s="163"/>
    </row>
    <row r="41" spans="1:21" x14ac:dyDescent="0.2">
      <c r="A41" s="137">
        <f t="shared" si="0"/>
        <v>31</v>
      </c>
      <c r="B41" s="181" t="s">
        <v>283</v>
      </c>
      <c r="C41" s="163">
        <v>-11651897.623968661</v>
      </c>
      <c r="D41" s="185" t="s">
        <v>227</v>
      </c>
      <c r="E41" s="185"/>
      <c r="F41" s="163"/>
      <c r="G41" s="194">
        <f>K41/C41</f>
        <v>0.10015029634310652</v>
      </c>
      <c r="H41" s="183"/>
      <c r="I41" s="183"/>
      <c r="J41" s="163"/>
      <c r="K41" s="174">
        <v>-1166941</v>
      </c>
      <c r="L41" s="174">
        <f>G41*D41</f>
        <v>0</v>
      </c>
      <c r="M41" s="174">
        <f>G41*E41</f>
        <v>0</v>
      </c>
      <c r="N41" s="174"/>
      <c r="O41" s="174">
        <f t="shared" si="1"/>
        <v>0</v>
      </c>
      <c r="P41" s="174">
        <f t="shared" si="1"/>
        <v>0</v>
      </c>
      <c r="Q41" s="163"/>
    </row>
    <row r="42" spans="1:21" ht="10.5" customHeight="1" x14ac:dyDescent="0.2">
      <c r="A42" s="137">
        <f t="shared" si="0"/>
        <v>32</v>
      </c>
      <c r="B42" s="184" t="s">
        <v>228</v>
      </c>
      <c r="C42" s="289">
        <v>16441044</v>
      </c>
      <c r="D42" s="185" t="s">
        <v>227</v>
      </c>
      <c r="E42" s="185"/>
      <c r="F42" s="174"/>
      <c r="G42" s="194">
        <f>K42/C42</f>
        <v>9.6465285294534825E-2</v>
      </c>
      <c r="H42" s="183"/>
      <c r="I42" s="183"/>
      <c r="J42" s="174"/>
      <c r="K42" s="174">
        <v>1585990</v>
      </c>
      <c r="L42" s="174">
        <f>G42*D42</f>
        <v>0</v>
      </c>
      <c r="M42" s="174">
        <f>G42*E42</f>
        <v>0</v>
      </c>
      <c r="N42" s="174"/>
      <c r="O42" s="174">
        <f t="shared" si="1"/>
        <v>0</v>
      </c>
      <c r="P42" s="174">
        <f t="shared" si="1"/>
        <v>0</v>
      </c>
      <c r="Q42" s="174"/>
    </row>
    <row r="43" spans="1:21" x14ac:dyDescent="0.2">
      <c r="A43" s="137">
        <f t="shared" si="0"/>
        <v>33</v>
      </c>
      <c r="B43" s="175" t="s">
        <v>226</v>
      </c>
      <c r="C43" s="176">
        <f>SUM(C39:C42)</f>
        <v>2758819083.8366814</v>
      </c>
      <c r="D43" s="176">
        <f>SUM(D39:D42)</f>
        <v>2762635966.1696987</v>
      </c>
      <c r="E43" s="176">
        <f>SUM(E39:E42)</f>
        <v>2774967422.2693906</v>
      </c>
      <c r="F43" s="174"/>
      <c r="G43" s="174"/>
      <c r="H43" s="183"/>
      <c r="I43" s="183"/>
      <c r="J43" s="174"/>
      <c r="K43" s="177">
        <f>SUM(K39:K42)</f>
        <v>250326163.208731</v>
      </c>
      <c r="L43" s="177">
        <f>SUM(L39:L42)</f>
        <v>251470478.36525771</v>
      </c>
      <c r="M43" s="177">
        <f>SUM(M39:M42)</f>
        <v>252598586.94830722</v>
      </c>
      <c r="N43" s="177"/>
      <c r="O43" s="177">
        <f>SUM(O39:O42)</f>
        <v>319041456.95951128</v>
      </c>
      <c r="P43" s="177">
        <f>SUM(P39:P42)</f>
        <v>344373254.13399422</v>
      </c>
      <c r="Q43" s="174"/>
      <c r="R43" s="174"/>
      <c r="S43" s="174"/>
      <c r="T43" s="174"/>
      <c r="U43" s="174"/>
    </row>
    <row r="44" spans="1:21" ht="12" thickBot="1" x14ac:dyDescent="0.25">
      <c r="A44" s="137">
        <f t="shared" si="0"/>
        <v>34</v>
      </c>
      <c r="B44" s="117" t="s">
        <v>225</v>
      </c>
      <c r="G44" s="187">
        <f>K43/C43</f>
        <v>9.0736708570466743E-2</v>
      </c>
      <c r="H44" s="187">
        <f>O43/D43</f>
        <v>0.11548443619296372</v>
      </c>
      <c r="I44" s="187">
        <f>P43/E43</f>
        <v>0.12409992685692973</v>
      </c>
      <c r="K44" s="188">
        <f>SUM(K43,K35)</f>
        <v>274417195.40873098</v>
      </c>
      <c r="L44" s="188">
        <f>SUM(L43,L35)</f>
        <v>276203426.20525771</v>
      </c>
      <c r="M44" s="188">
        <f>SUM(M43,M35)</f>
        <v>277607845.28830719</v>
      </c>
      <c r="N44" s="188"/>
      <c r="O44" s="188">
        <f>SUM(O43,O35)</f>
        <v>351194289.15151131</v>
      </c>
      <c r="P44" s="188">
        <f>SUM(P43,P35)</f>
        <v>386638900.72859424</v>
      </c>
      <c r="R44" s="188">
        <f>'Exh CTM-6 (Rate Spread)'!U12</f>
        <v>351194289.15151125</v>
      </c>
      <c r="S44" s="188">
        <f>'Exh CTM-6 (Rate Spread)'!AB12</f>
        <v>386638900.72859424</v>
      </c>
      <c r="T44" s="174"/>
    </row>
    <row r="45" spans="1:21" ht="12" thickTop="1" x14ac:dyDescent="0.2">
      <c r="A45" s="137">
        <f t="shared" si="0"/>
        <v>35</v>
      </c>
      <c r="B45" s="141" t="s">
        <v>224</v>
      </c>
      <c r="K45" s="174"/>
      <c r="L45" s="174"/>
      <c r="M45" s="174"/>
      <c r="N45" s="174"/>
      <c r="O45" s="174"/>
      <c r="P45" s="174"/>
      <c r="R45" s="174">
        <f>R44-L44</f>
        <v>74990862.946253538</v>
      </c>
      <c r="S45" s="174">
        <f>S44-M44-R45</f>
        <v>34040192.494033515</v>
      </c>
      <c r="T45" s="174"/>
    </row>
    <row r="46" spans="1:21" x14ac:dyDescent="0.2">
      <c r="A46" s="137">
        <f t="shared" si="0"/>
        <v>36</v>
      </c>
      <c r="B46" s="141" t="s">
        <v>223</v>
      </c>
      <c r="K46" s="174"/>
      <c r="L46" s="174"/>
      <c r="M46" s="174"/>
      <c r="N46" s="174"/>
      <c r="O46" s="174"/>
      <c r="P46" s="174"/>
      <c r="R46" s="23">
        <f>R45/L44</f>
        <v>0.27150591133697544</v>
      </c>
      <c r="S46" s="23">
        <f>S45/M44</f>
        <v>0.12261970643762381</v>
      </c>
      <c r="T46" s="174"/>
    </row>
    <row r="47" spans="1:21" x14ac:dyDescent="0.2">
      <c r="A47" s="137">
        <f t="shared" si="0"/>
        <v>37</v>
      </c>
      <c r="B47" s="288" t="s">
        <v>160</v>
      </c>
      <c r="C47" s="163">
        <v>-1.5469999313354492</v>
      </c>
      <c r="K47" s="163">
        <v>-0.40873098373413086</v>
      </c>
      <c r="L47" s="174">
        <v>0</v>
      </c>
      <c r="M47" s="174">
        <v>0</v>
      </c>
      <c r="N47" s="174"/>
      <c r="R47" s="174">
        <f>R44-O44</f>
        <v>0</v>
      </c>
      <c r="S47" s="174">
        <f>S44-P44</f>
        <v>0</v>
      </c>
      <c r="T47" s="189"/>
    </row>
    <row r="48" spans="1:21" x14ac:dyDescent="0.2">
      <c r="A48" s="137">
        <f t="shared" si="0"/>
        <v>38</v>
      </c>
      <c r="B48" s="190"/>
      <c r="C48" s="191"/>
      <c r="D48" s="191"/>
      <c r="E48" s="191"/>
      <c r="G48" s="192"/>
      <c r="H48" s="5"/>
      <c r="I48" s="5"/>
      <c r="J48" s="191"/>
      <c r="K48" s="191"/>
      <c r="L48" s="191"/>
      <c r="M48" s="191"/>
      <c r="N48" s="191"/>
      <c r="O48" s="191"/>
      <c r="P48" s="191"/>
      <c r="Q48" s="191"/>
      <c r="R48" s="191"/>
      <c r="S48" s="191"/>
      <c r="T48" s="191"/>
    </row>
    <row r="49" spans="1:21" x14ac:dyDescent="0.2">
      <c r="A49" s="137">
        <f t="shared" si="0"/>
        <v>39</v>
      </c>
    </row>
    <row r="50" spans="1:21" x14ac:dyDescent="0.2">
      <c r="A50" s="137">
        <f t="shared" si="0"/>
        <v>40</v>
      </c>
      <c r="B50" s="248" t="str">
        <f>CONCATENATE("SCHEDULE"," ", 'Exh CTM-6 (Tariff)'!B27)</f>
        <v>SCHEDULE 7A (11) (25)</v>
      </c>
    </row>
    <row r="51" spans="1:21" x14ac:dyDescent="0.2">
      <c r="A51" s="137">
        <f t="shared" si="0"/>
        <v>41</v>
      </c>
      <c r="B51" s="141" t="s">
        <v>303</v>
      </c>
    </row>
    <row r="52" spans="1:21" x14ac:dyDescent="0.2">
      <c r="A52" s="137">
        <f t="shared" si="0"/>
        <v>42</v>
      </c>
    </row>
    <row r="53" spans="1:21" x14ac:dyDescent="0.2">
      <c r="A53" s="137">
        <f t="shared" si="0"/>
        <v>43</v>
      </c>
      <c r="B53" s="117" t="s">
        <v>55</v>
      </c>
      <c r="C53" s="118">
        <v>100522</v>
      </c>
      <c r="D53" s="118">
        <v>104091.5758044844</v>
      </c>
      <c r="E53" s="118">
        <v>106231.43807201592</v>
      </c>
      <c r="F53" s="174"/>
      <c r="G53" s="224">
        <f>'Exh CTM-6 (Tariff)'!D23</f>
        <v>53.95</v>
      </c>
      <c r="H53" s="42">
        <f>G53*(1+R53)</f>
        <v>70.135000000000005</v>
      </c>
      <c r="I53" s="42">
        <f>H53*(1+S53)</f>
        <v>91.175500000000014</v>
      </c>
      <c r="J53" s="174"/>
      <c r="K53" s="174">
        <f>G53*C53</f>
        <v>5423161.9000000004</v>
      </c>
      <c r="L53" s="174">
        <f>G53*D53</f>
        <v>5615740.5146519337</v>
      </c>
      <c r="M53" s="174">
        <f>G53*E53</f>
        <v>5731186.0839852598</v>
      </c>
      <c r="N53" s="174"/>
      <c r="O53" s="174">
        <f>H53*D53</f>
        <v>7300462.669047514</v>
      </c>
      <c r="P53" s="174">
        <f>I53*E53</f>
        <v>9685704.4819350895</v>
      </c>
      <c r="Q53" s="174"/>
      <c r="R53" s="3">
        <v>0.3</v>
      </c>
      <c r="S53" s="3">
        <f>R53</f>
        <v>0.3</v>
      </c>
      <c r="U53" s="117" t="s">
        <v>264</v>
      </c>
    </row>
    <row r="54" spans="1:21" x14ac:dyDescent="0.2">
      <c r="A54" s="137">
        <f t="shared" si="0"/>
        <v>44</v>
      </c>
      <c r="B54" s="117" t="s">
        <v>263</v>
      </c>
      <c r="C54" s="118"/>
      <c r="D54" s="118"/>
      <c r="E54" s="118"/>
      <c r="F54" s="174"/>
      <c r="G54" s="195"/>
      <c r="H54" s="174"/>
      <c r="I54" s="174"/>
      <c r="J54" s="174"/>
      <c r="K54" s="189"/>
      <c r="L54" s="189"/>
      <c r="M54" s="189"/>
      <c r="N54" s="189"/>
      <c r="O54" s="189"/>
      <c r="P54" s="189"/>
      <c r="Q54" s="174"/>
      <c r="R54" s="174"/>
      <c r="S54" s="174"/>
      <c r="T54" s="174"/>
    </row>
    <row r="55" spans="1:21" x14ac:dyDescent="0.2">
      <c r="A55" s="137">
        <f t="shared" si="0"/>
        <v>45</v>
      </c>
      <c r="B55" s="181" t="s">
        <v>288</v>
      </c>
      <c r="C55" s="118">
        <v>782914394</v>
      </c>
      <c r="D55" s="118">
        <v>764890777.36825001</v>
      </c>
      <c r="E55" s="118">
        <v>768227524.74642587</v>
      </c>
      <c r="F55" s="174"/>
      <c r="G55" s="182">
        <f>'Exh CTM-6 (Tariff)'!D25</f>
        <v>9.0594999999999995E-2</v>
      </c>
      <c r="H55" s="182">
        <f t="shared" ref="H55:I57" si="2">G55+R55</f>
        <v>0.11068380767349564</v>
      </c>
      <c r="I55" s="182">
        <f t="shared" si="2"/>
        <v>0.11577050127427037</v>
      </c>
      <c r="J55" s="174"/>
      <c r="K55" s="174">
        <f>G55*C55</f>
        <v>70928129.524429992</v>
      </c>
      <c r="L55" s="174">
        <f>G55*D55</f>
        <v>69295279.975676611</v>
      </c>
      <c r="M55" s="174">
        <f>G55*E55</f>
        <v>69597572.604402453</v>
      </c>
      <c r="N55" s="174"/>
      <c r="O55" s="174">
        <f t="shared" ref="O55:P57" si="3">H55*D55</f>
        <v>84661023.693457961</v>
      </c>
      <c r="P55" s="174">
        <f t="shared" si="3"/>
        <v>88938085.63258566</v>
      </c>
      <c r="Q55" s="174"/>
      <c r="R55" s="182">
        <f>(R70-(O53-L53)-(O65-L65)-(O67-L67))/D61</f>
        <v>2.0088807673495641E-2</v>
      </c>
      <c r="S55" s="182">
        <f>((S70+R70)-(P53-M53)-(P65-M65)-(P67-M67))/E61-R55</f>
        <v>5.0866936007747249E-3</v>
      </c>
      <c r="U55" s="141" t="s">
        <v>230</v>
      </c>
    </row>
    <row r="56" spans="1:21" x14ac:dyDescent="0.2">
      <c r="A56" s="137">
        <f t="shared" si="0"/>
        <v>46</v>
      </c>
      <c r="B56" s="181" t="s">
        <v>286</v>
      </c>
      <c r="C56" s="118">
        <v>764321170</v>
      </c>
      <c r="D56" s="118">
        <v>746887576.95007479</v>
      </c>
      <c r="E56" s="118">
        <v>747812352.02207935</v>
      </c>
      <c r="F56" s="174"/>
      <c r="G56" s="182">
        <f>'Exh CTM-6 (Tariff)'!D26</f>
        <v>8.1648999999999999E-2</v>
      </c>
      <c r="H56" s="182">
        <f t="shared" si="2"/>
        <v>0.10173780767349563</v>
      </c>
      <c r="I56" s="182">
        <f t="shared" si="2"/>
        <v>0.10682450127427036</v>
      </c>
      <c r="J56" s="174"/>
      <c r="K56" s="174">
        <f>G56*C56</f>
        <v>62406059.20933</v>
      </c>
      <c r="L56" s="174">
        <f>G56*D56</f>
        <v>60982623.770396657</v>
      </c>
      <c r="M56" s="174">
        <f>G56*E56</f>
        <v>61058130.730250753</v>
      </c>
      <c r="N56" s="174"/>
      <c r="O56" s="174">
        <f t="shared" si="3"/>
        <v>75986704.657469884</v>
      </c>
      <c r="P56" s="174">
        <f t="shared" si="3"/>
        <v>79884681.551497728</v>
      </c>
      <c r="Q56" s="174"/>
      <c r="R56" s="182">
        <f>R55</f>
        <v>2.0088807673495641E-2</v>
      </c>
      <c r="S56" s="182">
        <f>S55</f>
        <v>5.0866936007747249E-3</v>
      </c>
      <c r="T56" s="174"/>
      <c r="U56" s="141" t="s">
        <v>230</v>
      </c>
    </row>
    <row r="57" spans="1:21" x14ac:dyDescent="0.2">
      <c r="A57" s="137">
        <f t="shared" si="0"/>
        <v>47</v>
      </c>
      <c r="B57" s="181" t="s">
        <v>302</v>
      </c>
      <c r="C57" s="118">
        <v>1484990644</v>
      </c>
      <c r="D57" s="118">
        <v>1448423920.4871457</v>
      </c>
      <c r="E57" s="118">
        <v>1452680297.8689337</v>
      </c>
      <c r="F57" s="174"/>
      <c r="G57" s="182">
        <f>'Exh CTM-6 (Tariff)'!D27</f>
        <v>6.4577999999999997E-2</v>
      </c>
      <c r="H57" s="182">
        <f t="shared" si="2"/>
        <v>8.4666807673495631E-2</v>
      </c>
      <c r="I57" s="182">
        <f t="shared" si="2"/>
        <v>8.9753501274270356E-2</v>
      </c>
      <c r="J57" s="174"/>
      <c r="K57" s="174">
        <f>G57*C57</f>
        <v>95897725.808231995</v>
      </c>
      <c r="L57" s="174">
        <f>G57*D57</f>
        <v>93536319.93721889</v>
      </c>
      <c r="M57" s="174">
        <f>G57*E57</f>
        <v>93811188.275779992</v>
      </c>
      <c r="N57" s="174"/>
      <c r="O57" s="174">
        <f t="shared" si="3"/>
        <v>122633429.50557569</v>
      </c>
      <c r="P57" s="174">
        <f t="shared" si="3"/>
        <v>130383142.96588677</v>
      </c>
      <c r="Q57" s="174"/>
      <c r="R57" s="182">
        <f>R56</f>
        <v>2.0088807673495641E-2</v>
      </c>
      <c r="S57" s="182">
        <f>S55</f>
        <v>5.0866936007747249E-3</v>
      </c>
      <c r="T57" s="174"/>
      <c r="U57" s="141" t="s">
        <v>230</v>
      </c>
    </row>
    <row r="58" spans="1:21" x14ac:dyDescent="0.2">
      <c r="A58" s="137">
        <f t="shared" si="0"/>
        <v>48</v>
      </c>
      <c r="B58" s="175" t="s">
        <v>226</v>
      </c>
      <c r="C58" s="176">
        <f>SUM(C55:C57)</f>
        <v>3032226208</v>
      </c>
      <c r="D58" s="176">
        <f>SUM(D55:D57)</f>
        <v>2960202274.8054705</v>
      </c>
      <c r="E58" s="176">
        <f>SUM(E55:E57)</f>
        <v>2968720174.6374388</v>
      </c>
      <c r="F58" s="174"/>
      <c r="G58" s="182"/>
      <c r="H58" s="174"/>
      <c r="I58" s="174"/>
      <c r="J58" s="174"/>
      <c r="K58" s="196">
        <f>SUM(K55:K57)</f>
        <v>229231914.54199201</v>
      </c>
      <c r="L58" s="196">
        <f>SUM(L55:L57)</f>
        <v>223814223.68329215</v>
      </c>
      <c r="M58" s="196">
        <f>SUM(M55:M57)</f>
        <v>224466891.61043319</v>
      </c>
      <c r="N58" s="196"/>
      <c r="O58" s="196">
        <f>SUM(O55:O57)</f>
        <v>283281157.85650349</v>
      </c>
      <c r="P58" s="196">
        <f>SUM(P55:P57)</f>
        <v>299205910.14997017</v>
      </c>
      <c r="Q58" s="174"/>
      <c r="R58" s="174"/>
      <c r="S58" s="174"/>
      <c r="T58" s="174"/>
    </row>
    <row r="59" spans="1:21" x14ac:dyDescent="0.2">
      <c r="A59" s="137">
        <f t="shared" si="0"/>
        <v>49</v>
      </c>
      <c r="B59" s="181" t="s">
        <v>229</v>
      </c>
      <c r="C59" s="118">
        <v>-32050105.587753978</v>
      </c>
      <c r="D59" s="185" t="s">
        <v>227</v>
      </c>
      <c r="E59" s="185"/>
      <c r="F59" s="174"/>
      <c r="G59" s="194">
        <f>K59/C59</f>
        <v>9.1438981128341867E-2</v>
      </c>
      <c r="H59" s="174"/>
      <c r="I59" s="174"/>
      <c r="J59" s="174"/>
      <c r="K59" s="189">
        <v>-2930629</v>
      </c>
      <c r="L59" s="174">
        <f>G59*D59</f>
        <v>0</v>
      </c>
      <c r="M59" s="174">
        <f>G59*E59</f>
        <v>0</v>
      </c>
      <c r="N59" s="174"/>
      <c r="O59" s="174">
        <f>H59*D59</f>
        <v>0</v>
      </c>
      <c r="P59" s="174">
        <f>I59*E59</f>
        <v>0</v>
      </c>
      <c r="Q59" s="174"/>
      <c r="R59" s="174"/>
      <c r="S59" s="174"/>
      <c r="T59" s="174"/>
      <c r="U59" s="141"/>
    </row>
    <row r="60" spans="1:21" ht="10.5" customHeight="1" x14ac:dyDescent="0.2">
      <c r="A60" s="137">
        <f t="shared" si="0"/>
        <v>50</v>
      </c>
      <c r="B60" s="184" t="s">
        <v>228</v>
      </c>
      <c r="C60" s="118">
        <v>-5507858</v>
      </c>
      <c r="D60" s="185" t="s">
        <v>227</v>
      </c>
      <c r="E60" s="185"/>
      <c r="F60" s="174"/>
      <c r="G60" s="194">
        <f>K60/C60</f>
        <v>5.6991665362469406E-2</v>
      </c>
      <c r="H60" s="174"/>
      <c r="I60" s="174"/>
      <c r="J60" s="174"/>
      <c r="K60" s="189">
        <v>-313902</v>
      </c>
      <c r="L60" s="174">
        <f>G60*D60</f>
        <v>0</v>
      </c>
      <c r="M60" s="174">
        <f>G60*E60</f>
        <v>0</v>
      </c>
      <c r="N60" s="174"/>
      <c r="O60" s="174">
        <f>H60*D60</f>
        <v>0</v>
      </c>
      <c r="P60" s="174">
        <f>I60*E60</f>
        <v>0</v>
      </c>
      <c r="Q60" s="174"/>
      <c r="R60" s="174"/>
      <c r="S60" s="174"/>
      <c r="T60" s="174"/>
      <c r="U60" s="141"/>
    </row>
    <row r="61" spans="1:21" x14ac:dyDescent="0.2">
      <c r="A61" s="137">
        <f t="shared" si="0"/>
        <v>51</v>
      </c>
      <c r="B61" s="175" t="s">
        <v>226</v>
      </c>
      <c r="C61" s="176">
        <f>SUM(C58:C60)</f>
        <v>2994668244.4122462</v>
      </c>
      <c r="D61" s="176">
        <f>SUM(D58:D60)</f>
        <v>2960202274.8054705</v>
      </c>
      <c r="E61" s="176">
        <f>SUM(E58:E60)</f>
        <v>2968720174.6374388</v>
      </c>
      <c r="F61" s="174"/>
      <c r="H61" s="174"/>
      <c r="I61" s="174"/>
      <c r="J61" s="174"/>
      <c r="K61" s="196">
        <f>SUM(K58:K60)</f>
        <v>225987383.54199201</v>
      </c>
      <c r="L61" s="196">
        <f>SUM(L58:L60)</f>
        <v>223814223.68329215</v>
      </c>
      <c r="M61" s="196">
        <f>SUM(M58:M60)</f>
        <v>224466891.61043319</v>
      </c>
      <c r="N61" s="196"/>
      <c r="O61" s="196">
        <f>SUM(O58:O60)</f>
        <v>283281157.85650349</v>
      </c>
      <c r="P61" s="196">
        <f>SUM(P58:P60)</f>
        <v>299205910.14997017</v>
      </c>
      <c r="Q61" s="174"/>
      <c r="R61" s="174"/>
      <c r="S61" s="174"/>
      <c r="T61" s="174"/>
      <c r="U61" s="178"/>
    </row>
    <row r="62" spans="1:21" x14ac:dyDescent="0.2">
      <c r="A62" s="137">
        <f t="shared" si="0"/>
        <v>52</v>
      </c>
      <c r="B62" s="117" t="s">
        <v>262</v>
      </c>
      <c r="C62" s="118"/>
      <c r="D62" s="118"/>
      <c r="E62" s="118"/>
      <c r="F62" s="174"/>
      <c r="G62" s="179"/>
      <c r="H62" s="174"/>
      <c r="I62" s="174"/>
      <c r="J62" s="174"/>
      <c r="K62" s="189"/>
      <c r="L62" s="189"/>
      <c r="M62" s="189"/>
      <c r="N62" s="189"/>
      <c r="O62" s="189"/>
      <c r="P62" s="189"/>
      <c r="Q62" s="174"/>
      <c r="R62" s="174"/>
      <c r="S62" s="174"/>
      <c r="T62" s="174"/>
    </row>
    <row r="63" spans="1:21" x14ac:dyDescent="0.2">
      <c r="A63" s="137">
        <f t="shared" si="0"/>
        <v>53</v>
      </c>
      <c r="B63" s="181" t="s">
        <v>282</v>
      </c>
      <c r="C63" s="118">
        <v>2378579</v>
      </c>
      <c r="D63" s="118">
        <v>2288723.4046284151</v>
      </c>
      <c r="E63" s="118">
        <v>2283097.2984594069</v>
      </c>
      <c r="F63" s="174"/>
      <c r="G63" s="224">
        <f>'Exh CTM-6 (Tariff)'!D30</f>
        <v>10.119999999999999</v>
      </c>
      <c r="H63" s="42">
        <f>G63*(1+R63)</f>
        <v>13.155999999999999</v>
      </c>
      <c r="I63" s="42">
        <f>H63*(1+S63)</f>
        <v>17.102799999999998</v>
      </c>
      <c r="J63" s="174"/>
      <c r="K63" s="174">
        <f>G63*C63</f>
        <v>24071219.479999997</v>
      </c>
      <c r="L63" s="174">
        <f>G63*D63</f>
        <v>23161880.85483956</v>
      </c>
      <c r="M63" s="174">
        <f>G63*E63</f>
        <v>23104944.660409197</v>
      </c>
      <c r="N63" s="174"/>
      <c r="O63" s="174">
        <f>H63*D63</f>
        <v>30110445.111291427</v>
      </c>
      <c r="P63" s="174">
        <f>I63*E63</f>
        <v>39047356.476091541</v>
      </c>
      <c r="Q63" s="174"/>
      <c r="R63" s="3">
        <v>0.3</v>
      </c>
      <c r="S63" s="3">
        <f>R63</f>
        <v>0.3</v>
      </c>
      <c r="T63" s="174"/>
      <c r="U63" s="141" t="s">
        <v>239</v>
      </c>
    </row>
    <row r="64" spans="1:21" x14ac:dyDescent="0.2">
      <c r="A64" s="137">
        <f t="shared" si="0"/>
        <v>54</v>
      </c>
      <c r="B64" s="181" t="s">
        <v>281</v>
      </c>
      <c r="C64" s="118">
        <v>2294595</v>
      </c>
      <c r="D64" s="118">
        <v>2229163.6026629228</v>
      </c>
      <c r="E64" s="118">
        <v>2232411.6467305804</v>
      </c>
      <c r="F64" s="174"/>
      <c r="G64" s="224">
        <f>'Exh CTM-6 (Tariff)'!D31</f>
        <v>6.75</v>
      </c>
      <c r="H64" s="42">
        <f>G64*(1+R64)</f>
        <v>8.7750000000000004</v>
      </c>
      <c r="I64" s="42">
        <f>H64*(1+S64)</f>
        <v>11.407500000000001</v>
      </c>
      <c r="J64" s="174"/>
      <c r="K64" s="174">
        <f>G64*C64</f>
        <v>15488516.25</v>
      </c>
      <c r="L64" s="174">
        <f>G64*D64</f>
        <v>15046854.317974729</v>
      </c>
      <c r="M64" s="174">
        <f>G64*E64</f>
        <v>15068778.615431417</v>
      </c>
      <c r="N64" s="174"/>
      <c r="O64" s="174">
        <f>H64*D64</f>
        <v>19560910.613367148</v>
      </c>
      <c r="P64" s="174">
        <f>I64*E64</f>
        <v>25466235.860079098</v>
      </c>
      <c r="Q64" s="174"/>
      <c r="R64" s="49">
        <f>R63</f>
        <v>0.3</v>
      </c>
      <c r="S64" s="49">
        <f>S63</f>
        <v>0.3</v>
      </c>
      <c r="T64" s="174"/>
      <c r="U64" s="141" t="s">
        <v>239</v>
      </c>
    </row>
    <row r="65" spans="1:21" x14ac:dyDescent="0.2">
      <c r="A65" s="137">
        <f t="shared" si="0"/>
        <v>55</v>
      </c>
      <c r="B65" s="175" t="s">
        <v>226</v>
      </c>
      <c r="C65" s="176">
        <f>SUM(C63:C64)</f>
        <v>4673174</v>
      </c>
      <c r="D65" s="176">
        <f>SUM(D63:D64)</f>
        <v>4517887.0072913375</v>
      </c>
      <c r="E65" s="176">
        <f>SUM(E63:E64)</f>
        <v>4515508.9451899873</v>
      </c>
      <c r="G65" s="179"/>
      <c r="K65" s="196">
        <f>SUM(K63:K64)</f>
        <v>39559735.729999997</v>
      </c>
      <c r="L65" s="196">
        <f>SUM(L63:L64)</f>
        <v>38208735.172814287</v>
      </c>
      <c r="M65" s="196">
        <f>SUM(M63:M64)</f>
        <v>38173723.27584061</v>
      </c>
      <c r="N65" s="196"/>
      <c r="O65" s="196">
        <f>SUM(O63:O64)</f>
        <v>49671355.724658579</v>
      </c>
      <c r="P65" s="196">
        <f>SUM(P63:P64)</f>
        <v>64513592.336170644</v>
      </c>
    </row>
    <row r="66" spans="1:21" x14ac:dyDescent="0.2">
      <c r="A66" s="137">
        <f t="shared" si="0"/>
        <v>56</v>
      </c>
      <c r="C66" s="118"/>
      <c r="D66" s="118"/>
      <c r="E66" s="118"/>
      <c r="G66" s="163"/>
      <c r="K66" s="189"/>
      <c r="L66" s="189"/>
      <c r="M66" s="189"/>
      <c r="N66" s="189"/>
      <c r="O66" s="189"/>
      <c r="P66" s="189"/>
      <c r="U66" s="178"/>
    </row>
    <row r="67" spans="1:21" x14ac:dyDescent="0.2">
      <c r="A67" s="137">
        <f t="shared" si="0"/>
        <v>57</v>
      </c>
      <c r="B67" s="117" t="s">
        <v>258</v>
      </c>
      <c r="C67" s="118">
        <v>583427299</v>
      </c>
      <c r="D67" s="118">
        <v>571159840.78918433</v>
      </c>
      <c r="E67" s="118">
        <v>572748098.34600949</v>
      </c>
      <c r="F67" s="174"/>
      <c r="G67" s="290">
        <f>'Exh CTM-6 (Tariff)'!D33</f>
        <v>3.1800000000000001E-3</v>
      </c>
      <c r="H67" s="47">
        <f>G67*(1+R67)</f>
        <v>4.1340000000000005E-3</v>
      </c>
      <c r="I67" s="47">
        <f>H67*(1+S67)</f>
        <v>5.3742000000000009E-3</v>
      </c>
      <c r="J67" s="174"/>
      <c r="K67" s="174">
        <f>G67*C67</f>
        <v>1855298.81082</v>
      </c>
      <c r="L67" s="174">
        <f>G67*D67</f>
        <v>1816288.2937096062</v>
      </c>
      <c r="M67" s="174">
        <f>G67*E67</f>
        <v>1821338.9527403102</v>
      </c>
      <c r="N67" s="174"/>
      <c r="O67" s="174">
        <f>H67*D67</f>
        <v>2361174.7818224882</v>
      </c>
      <c r="P67" s="174">
        <f>I67*E67</f>
        <v>3078062.8301311247</v>
      </c>
      <c r="Q67" s="174"/>
      <c r="R67" s="3">
        <v>0.3</v>
      </c>
      <c r="S67" s="3">
        <f>R67</f>
        <v>0.3</v>
      </c>
      <c r="T67" s="174"/>
      <c r="U67" s="141" t="s">
        <v>237</v>
      </c>
    </row>
    <row r="68" spans="1:21" x14ac:dyDescent="0.2">
      <c r="A68" s="137">
        <f t="shared" si="0"/>
        <v>58</v>
      </c>
      <c r="C68" s="118"/>
      <c r="D68" s="118"/>
      <c r="E68" s="118"/>
      <c r="G68" s="163"/>
      <c r="K68" s="189"/>
      <c r="L68" s="189"/>
      <c r="M68" s="189"/>
      <c r="N68" s="189"/>
      <c r="O68" s="189"/>
      <c r="P68" s="189"/>
    </row>
    <row r="69" spans="1:21" ht="12" thickBot="1" x14ac:dyDescent="0.25">
      <c r="A69" s="137">
        <f t="shared" si="0"/>
        <v>59</v>
      </c>
      <c r="B69" s="117" t="s">
        <v>225</v>
      </c>
      <c r="C69" s="163"/>
      <c r="D69" s="163"/>
      <c r="E69" s="163"/>
      <c r="G69" s="163"/>
      <c r="K69" s="197">
        <f>SUM(K53,K61,K65,K67)</f>
        <v>272825579.98281199</v>
      </c>
      <c r="L69" s="197">
        <f>SUM(L53,L61,L65,L67)</f>
        <v>269454987.66446799</v>
      </c>
      <c r="M69" s="197">
        <f>SUM(M53,M61,M65,M67)</f>
        <v>270193139.92299938</v>
      </c>
      <c r="N69" s="197"/>
      <c r="O69" s="197">
        <f>SUM(O53,O61,O65,O67)</f>
        <v>342614151.03203207</v>
      </c>
      <c r="P69" s="197">
        <f>SUM(P53,P61,P65,P67)</f>
        <v>376483269.79820698</v>
      </c>
      <c r="R69" s="188">
        <f>'Exh CTM-6 (Rate Spread)'!U13</f>
        <v>342614151.03203213</v>
      </c>
      <c r="S69" s="188">
        <f>'Exh CTM-6 (Rate Spread)'!AB13</f>
        <v>376483269.79820704</v>
      </c>
      <c r="T69" s="174"/>
    </row>
    <row r="70" spans="1:21" ht="12" thickTop="1" x14ac:dyDescent="0.2">
      <c r="A70" s="137">
        <f t="shared" si="0"/>
        <v>60</v>
      </c>
      <c r="B70" s="141" t="s">
        <v>224</v>
      </c>
      <c r="C70" s="163"/>
      <c r="D70" s="163"/>
      <c r="E70" s="163"/>
      <c r="G70" s="163"/>
      <c r="K70" s="189"/>
      <c r="L70" s="189"/>
      <c r="M70" s="189"/>
      <c r="N70" s="189"/>
      <c r="O70" s="189"/>
      <c r="P70" s="189"/>
      <c r="R70" s="174">
        <f>R69-L69</f>
        <v>73159163.367564142</v>
      </c>
      <c r="S70" s="174">
        <f>S69-M69-R70</f>
        <v>33130966.507643521</v>
      </c>
      <c r="T70" s="174"/>
    </row>
    <row r="71" spans="1:21" x14ac:dyDescent="0.2">
      <c r="A71" s="137">
        <f t="shared" si="0"/>
        <v>61</v>
      </c>
      <c r="B71" s="141" t="s">
        <v>223</v>
      </c>
      <c r="C71" s="163"/>
      <c r="D71" s="163"/>
      <c r="E71" s="163"/>
      <c r="K71" s="189"/>
      <c r="L71" s="189"/>
      <c r="M71" s="189"/>
      <c r="N71" s="189"/>
      <c r="O71" s="189"/>
      <c r="P71" s="189"/>
      <c r="R71" s="23">
        <f>(R70/L69)</f>
        <v>0.27150792049417821</v>
      </c>
      <c r="S71" s="23">
        <f>(S70/M69)</f>
        <v>0.12261956953120758</v>
      </c>
      <c r="T71" s="174"/>
    </row>
    <row r="72" spans="1:21" x14ac:dyDescent="0.2">
      <c r="A72" s="137">
        <f t="shared" si="0"/>
        <v>62</v>
      </c>
      <c r="B72" s="288" t="s">
        <v>160</v>
      </c>
      <c r="C72" s="163">
        <v>0.39800024032592773</v>
      </c>
      <c r="D72" s="163"/>
      <c r="E72" s="163"/>
      <c r="K72" s="163">
        <v>5.0171880125999451</v>
      </c>
      <c r="L72" s="174">
        <v>0</v>
      </c>
      <c r="M72" s="174">
        <v>0</v>
      </c>
      <c r="N72" s="174"/>
      <c r="O72" s="189"/>
      <c r="P72" s="189"/>
      <c r="R72" s="174">
        <f>R69-O69</f>
        <v>0</v>
      </c>
      <c r="S72" s="174">
        <f>S69-P69</f>
        <v>0</v>
      </c>
      <c r="T72" s="189"/>
    </row>
    <row r="73" spans="1:21" ht="12.75" customHeight="1" x14ac:dyDescent="0.2">
      <c r="A73" s="137">
        <f t="shared" si="0"/>
        <v>63</v>
      </c>
      <c r="B73" s="198" t="s">
        <v>280</v>
      </c>
      <c r="C73" s="163"/>
      <c r="D73" s="163"/>
      <c r="E73" s="163"/>
      <c r="G73" s="199">
        <f>ROUND(SUM(K55:K56)/SUM(C55:C56),6)</f>
        <v>8.6176000000000003E-2</v>
      </c>
      <c r="H73" s="199">
        <f>ROUND(SUM(O55:O56)/SUM(C55:C56),6)</f>
        <v>0.103829</v>
      </c>
      <c r="I73" s="199">
        <f>ROUND(SUM(P55:P56)/SUM(C55:C56),6)</f>
        <v>0.109113</v>
      </c>
      <c r="K73" s="163"/>
      <c r="L73" s="174"/>
      <c r="M73" s="174"/>
      <c r="N73" s="174"/>
      <c r="O73" s="200"/>
      <c r="P73" s="200"/>
      <c r="Q73" s="200"/>
      <c r="R73" s="200"/>
      <c r="S73" s="200"/>
      <c r="T73" s="200"/>
    </row>
    <row r="74" spans="1:21" ht="12" thickBot="1" x14ac:dyDescent="0.25">
      <c r="A74" s="137">
        <f t="shared" si="0"/>
        <v>64</v>
      </c>
      <c r="B74" s="198" t="s">
        <v>257</v>
      </c>
      <c r="G74" s="201">
        <f>ROUND(K65/C65,2)</f>
        <v>8.4700000000000006</v>
      </c>
      <c r="H74" s="201">
        <f>ROUND(O65/D65,2)</f>
        <v>10.99</v>
      </c>
      <c r="I74" s="201">
        <f>ROUND(P65/E65,2)</f>
        <v>14.29</v>
      </c>
      <c r="R74" s="200"/>
      <c r="S74" s="200"/>
    </row>
    <row r="75" spans="1:21" ht="12" thickTop="1" x14ac:dyDescent="0.2">
      <c r="A75" s="137">
        <f t="shared" si="0"/>
        <v>65</v>
      </c>
      <c r="B75" s="190"/>
      <c r="C75" s="191"/>
      <c r="D75" s="191"/>
      <c r="E75" s="191"/>
      <c r="F75" s="191"/>
      <c r="G75" s="192"/>
      <c r="H75" s="192"/>
      <c r="I75" s="192"/>
      <c r="J75" s="191"/>
      <c r="K75" s="191"/>
      <c r="L75" s="191"/>
      <c r="M75" s="191"/>
      <c r="N75" s="191"/>
      <c r="O75" s="191"/>
      <c r="P75" s="191"/>
      <c r="Q75" s="191"/>
      <c r="R75" s="202"/>
      <c r="S75" s="202"/>
      <c r="T75" s="191"/>
      <c r="U75" s="191"/>
    </row>
    <row r="76" spans="1:21" x14ac:dyDescent="0.2">
      <c r="A76" s="137">
        <f t="shared" ref="A76:A139" si="4">A75+1</f>
        <v>66</v>
      </c>
    </row>
    <row r="77" spans="1:21" x14ac:dyDescent="0.2">
      <c r="A77" s="137">
        <f t="shared" si="4"/>
        <v>67</v>
      </c>
      <c r="B77" s="248" t="s">
        <v>301</v>
      </c>
    </row>
    <row r="78" spans="1:21" x14ac:dyDescent="0.2">
      <c r="A78" s="137">
        <f t="shared" si="4"/>
        <v>68</v>
      </c>
      <c r="B78" s="141" t="s">
        <v>277</v>
      </c>
    </row>
    <row r="79" spans="1:21" x14ac:dyDescent="0.2">
      <c r="A79" s="137">
        <f t="shared" si="4"/>
        <v>69</v>
      </c>
    </row>
    <row r="80" spans="1:21" x14ac:dyDescent="0.2">
      <c r="A80" s="137">
        <f t="shared" si="4"/>
        <v>70</v>
      </c>
      <c r="B80" s="117" t="s">
        <v>55</v>
      </c>
      <c r="C80" s="163">
        <v>10443</v>
      </c>
      <c r="D80" s="163">
        <v>12832.950278385571</v>
      </c>
      <c r="E80" s="163">
        <v>14912.048410558225</v>
      </c>
      <c r="F80" s="174"/>
      <c r="G80" s="224">
        <f>'Exh CTM-6 (Tariff)'!D36</f>
        <v>109.08</v>
      </c>
      <c r="H80" s="42">
        <f>G80*(1+R80)</f>
        <v>141.804</v>
      </c>
      <c r="I80" s="42">
        <f>H80*(1+S80)</f>
        <v>184.34520000000001</v>
      </c>
      <c r="J80" s="174"/>
      <c r="K80" s="174">
        <f>G80*C80</f>
        <v>1139122.44</v>
      </c>
      <c r="L80" s="174">
        <f>G80*D80</f>
        <v>1399818.216366298</v>
      </c>
      <c r="M80" s="174">
        <f>G80*E80</f>
        <v>1626606.2406236911</v>
      </c>
      <c r="N80" s="174"/>
      <c r="O80" s="174">
        <f>H80*D80</f>
        <v>1819763.6812761875</v>
      </c>
      <c r="P80" s="174">
        <f>I80*E80</f>
        <v>2748964.5466540381</v>
      </c>
      <c r="Q80" s="174"/>
      <c r="R80" s="3">
        <v>0.3</v>
      </c>
      <c r="S80" s="3">
        <f>R80</f>
        <v>0.3</v>
      </c>
      <c r="U80" s="117" t="s">
        <v>264</v>
      </c>
    </row>
    <row r="81" spans="1:21" x14ac:dyDescent="0.2">
      <c r="A81" s="137">
        <f t="shared" si="4"/>
        <v>71</v>
      </c>
      <c r="B81" s="117" t="s">
        <v>263</v>
      </c>
      <c r="C81" s="163"/>
      <c r="D81" s="163"/>
      <c r="E81" s="163"/>
      <c r="F81" s="174"/>
      <c r="G81" s="195"/>
      <c r="H81" s="174"/>
      <c r="I81" s="174"/>
      <c r="J81" s="174"/>
      <c r="K81" s="189"/>
      <c r="L81" s="189"/>
      <c r="M81" s="189"/>
      <c r="N81" s="189"/>
      <c r="O81" s="189"/>
      <c r="P81" s="189"/>
      <c r="Q81" s="174"/>
      <c r="R81" s="174"/>
      <c r="S81" s="174"/>
      <c r="T81" s="174"/>
      <c r="U81" s="174"/>
    </row>
    <row r="82" spans="1:21" x14ac:dyDescent="0.2">
      <c r="A82" s="137">
        <f t="shared" si="4"/>
        <v>72</v>
      </c>
      <c r="B82" s="181" t="s">
        <v>231</v>
      </c>
      <c r="C82" s="163">
        <v>1799236030</v>
      </c>
      <c r="D82" s="163">
        <v>2001418768.871773</v>
      </c>
      <c r="E82" s="163">
        <v>2044052902.8306885</v>
      </c>
      <c r="F82" s="174"/>
      <c r="G82" s="182">
        <f>'Exh CTM-6 (Tariff)'!D38</f>
        <v>5.7457000000000001E-2</v>
      </c>
      <c r="H82" s="182">
        <f>G82+R82</f>
        <v>7.2321288221106006E-2</v>
      </c>
      <c r="I82" s="182">
        <f>H82+S82</f>
        <v>7.2172529847459185E-2</v>
      </c>
      <c r="J82" s="174"/>
      <c r="K82" s="174">
        <f>G82*C82</f>
        <v>103378704.57571</v>
      </c>
      <c r="L82" s="174">
        <f>G82*D82</f>
        <v>114995518.20306547</v>
      </c>
      <c r="M82" s="174">
        <f>G82*E82</f>
        <v>117445147.63794287</v>
      </c>
      <c r="N82" s="174"/>
      <c r="O82" s="174">
        <f>H82*D82</f>
        <v>144745183.63470665</v>
      </c>
      <c r="P82" s="174">
        <f>I82*E82</f>
        <v>147524469.13933346</v>
      </c>
      <c r="Q82" s="174"/>
      <c r="R82" s="182">
        <f>(R95-(O80-L80)-(O90-L90)-(O92-L92)-(O114-L114)-(O129-L129)-(O139-L139)-(O143-L143))/(D86+D135)</f>
        <v>1.4864288221106001E-2</v>
      </c>
      <c r="S82" s="182">
        <f>((S95+R95)-(P80-M80)-(P90-M90)-(P92-M92)-(P114-M114)-(P129-M129)-(P139-M139)-(P143-M143))/(E86+E135)-R82</f>
        <v>-1.4875837364682239E-4</v>
      </c>
      <c r="U82" s="141" t="s">
        <v>230</v>
      </c>
    </row>
    <row r="83" spans="1:21" x14ac:dyDescent="0.2">
      <c r="A83" s="137">
        <f t="shared" si="4"/>
        <v>73</v>
      </c>
      <c r="B83" s="175" t="s">
        <v>226</v>
      </c>
      <c r="C83" s="193">
        <f>SUM(C82:C82)</f>
        <v>1799236030</v>
      </c>
      <c r="D83" s="193">
        <f>SUM(D82:D82)</f>
        <v>2001418768.871773</v>
      </c>
      <c r="E83" s="193">
        <f>SUM(E82:E82)</f>
        <v>2044052902.8306885</v>
      </c>
      <c r="F83" s="174"/>
      <c r="G83" s="203"/>
      <c r="H83" s="174"/>
      <c r="I83" s="174"/>
      <c r="J83" s="174"/>
      <c r="K83" s="196">
        <f>SUM(K82:K82)</f>
        <v>103378704.57571</v>
      </c>
      <c r="L83" s="196">
        <f>SUM(L82:L82)</f>
        <v>114995518.20306547</v>
      </c>
      <c r="M83" s="196">
        <f>SUM(M82:M82)</f>
        <v>117445147.63794287</v>
      </c>
      <c r="N83" s="196"/>
      <c r="O83" s="196">
        <f>SUM(O82:O82)</f>
        <v>144745183.63470665</v>
      </c>
      <c r="P83" s="196">
        <f>SUM(P82:P82)</f>
        <v>147524469.13933346</v>
      </c>
      <c r="Q83" s="174"/>
      <c r="R83" s="174"/>
      <c r="S83" s="174"/>
      <c r="T83" s="174"/>
      <c r="U83" s="174"/>
    </row>
    <row r="84" spans="1:21" x14ac:dyDescent="0.2">
      <c r="A84" s="137">
        <f t="shared" si="4"/>
        <v>74</v>
      </c>
      <c r="B84" s="181" t="s">
        <v>229</v>
      </c>
      <c r="C84" s="163">
        <v>-11237911.493177326</v>
      </c>
      <c r="D84" s="185" t="s">
        <v>227</v>
      </c>
      <c r="E84" s="185"/>
      <c r="F84" s="174"/>
      <c r="G84" s="194">
        <f>K84/C84</f>
        <v>8.4230686509203997E-2</v>
      </c>
      <c r="H84" s="174"/>
      <c r="I84" s="174"/>
      <c r="J84" s="174"/>
      <c r="K84" s="189">
        <v>-946577</v>
      </c>
      <c r="L84" s="174">
        <f>G84*D84</f>
        <v>0</v>
      </c>
      <c r="M84" s="174">
        <f>G84*E84</f>
        <v>0</v>
      </c>
      <c r="N84" s="174"/>
      <c r="O84" s="174">
        <f>H84*D84</f>
        <v>0</v>
      </c>
      <c r="P84" s="174">
        <f>I84*E84</f>
        <v>0</v>
      </c>
      <c r="Q84" s="174"/>
      <c r="R84" s="174"/>
      <c r="S84" s="174"/>
      <c r="T84" s="174"/>
      <c r="U84" s="174"/>
    </row>
    <row r="85" spans="1:21" ht="11.25" customHeight="1" x14ac:dyDescent="0.2">
      <c r="A85" s="137">
        <f t="shared" si="4"/>
        <v>75</v>
      </c>
      <c r="B85" s="184" t="s">
        <v>228</v>
      </c>
      <c r="C85" s="163">
        <v>13270755</v>
      </c>
      <c r="D85" s="185" t="s">
        <v>227</v>
      </c>
      <c r="E85" s="185"/>
      <c r="F85" s="174"/>
      <c r="G85" s="194">
        <f>K85/C85</f>
        <v>8.2366376291326301E-2</v>
      </c>
      <c r="H85" s="174"/>
      <c r="I85" s="174"/>
      <c r="J85" s="174"/>
      <c r="K85" s="189">
        <v>1093064</v>
      </c>
      <c r="L85" s="174">
        <f>G85*D85</f>
        <v>0</v>
      </c>
      <c r="M85" s="174">
        <f>G85*E85</f>
        <v>0</v>
      </c>
      <c r="N85" s="174"/>
      <c r="O85" s="174">
        <f>H85*D85</f>
        <v>0</v>
      </c>
      <c r="P85" s="174">
        <f>I85*E85</f>
        <v>0</v>
      </c>
      <c r="Q85" s="174"/>
      <c r="R85" s="174"/>
      <c r="S85" s="174"/>
      <c r="T85" s="174"/>
      <c r="U85" s="174"/>
    </row>
    <row r="86" spans="1:21" x14ac:dyDescent="0.2">
      <c r="A86" s="137">
        <f t="shared" si="4"/>
        <v>76</v>
      </c>
      <c r="B86" s="175" t="s">
        <v>226</v>
      </c>
      <c r="C86" s="193">
        <f>SUM(C83:C85)</f>
        <v>1801268873.5068226</v>
      </c>
      <c r="D86" s="193">
        <f>SUM(D83:D85)</f>
        <v>2001418768.871773</v>
      </c>
      <c r="E86" s="193">
        <f>SUM(E83:E85)</f>
        <v>2044052902.8306885</v>
      </c>
      <c r="F86" s="174"/>
      <c r="H86" s="174"/>
      <c r="I86" s="174"/>
      <c r="J86" s="174"/>
      <c r="K86" s="196">
        <f>SUM(K83:K85)</f>
        <v>103525191.57571</v>
      </c>
      <c r="L86" s="196">
        <f>SUM(L83:L85)</f>
        <v>114995518.20306547</v>
      </c>
      <c r="M86" s="196">
        <f>SUM(M83:M85)</f>
        <v>117445147.63794287</v>
      </c>
      <c r="N86" s="196"/>
      <c r="O86" s="196">
        <f>SUM(O83:O85)</f>
        <v>144745183.63470665</v>
      </c>
      <c r="P86" s="196">
        <f>SUM(P83:P85)</f>
        <v>147524469.13933346</v>
      </c>
      <c r="Q86" s="174"/>
      <c r="R86" s="174"/>
      <c r="S86" s="174"/>
      <c r="T86" s="174"/>
      <c r="U86" s="174"/>
    </row>
    <row r="87" spans="1:21" x14ac:dyDescent="0.2">
      <c r="A87" s="137">
        <f t="shared" si="4"/>
        <v>77</v>
      </c>
      <c r="B87" s="117" t="s">
        <v>262</v>
      </c>
      <c r="C87" s="163"/>
      <c r="D87" s="163"/>
      <c r="E87" s="163"/>
      <c r="F87" s="174"/>
      <c r="G87" s="179"/>
      <c r="H87" s="174"/>
      <c r="I87" s="174"/>
      <c r="J87" s="174"/>
      <c r="K87" s="189"/>
      <c r="L87" s="189"/>
      <c r="M87" s="189"/>
      <c r="N87" s="189"/>
      <c r="O87" s="189"/>
      <c r="P87" s="189"/>
      <c r="Q87" s="174"/>
      <c r="R87" s="174"/>
      <c r="S87" s="174"/>
      <c r="T87" s="174"/>
      <c r="U87" s="174"/>
    </row>
    <row r="88" spans="1:21" x14ac:dyDescent="0.2">
      <c r="A88" s="137">
        <f t="shared" si="4"/>
        <v>78</v>
      </c>
      <c r="B88" s="181" t="s">
        <v>267</v>
      </c>
      <c r="C88" s="163">
        <v>2145569</v>
      </c>
      <c r="D88" s="163">
        <v>2204133.5296230405</v>
      </c>
      <c r="E88" s="163">
        <v>2242797.6603778745</v>
      </c>
      <c r="F88" s="174"/>
      <c r="G88" s="224">
        <f>'Exh CTM-6 (Tariff)'!D40</f>
        <v>12.23</v>
      </c>
      <c r="H88" s="42">
        <f>G88*(1+R88)</f>
        <v>15.899000000000001</v>
      </c>
      <c r="I88" s="42">
        <f>H88*(1+S88)</f>
        <v>20.668700000000001</v>
      </c>
      <c r="J88" s="174"/>
      <c r="K88" s="174">
        <f>G88*C88</f>
        <v>26240308.870000001</v>
      </c>
      <c r="L88" s="174">
        <f>G88*D88</f>
        <v>26956553.067289785</v>
      </c>
      <c r="M88" s="174">
        <f>G88*E88</f>
        <v>27429415.386421405</v>
      </c>
      <c r="N88" s="174"/>
      <c r="O88" s="174">
        <f>H88*D88</f>
        <v>35043518.987476721</v>
      </c>
      <c r="P88" s="174">
        <f>I88*E88</f>
        <v>46355712.003052175</v>
      </c>
      <c r="Q88" s="174"/>
      <c r="R88" s="3">
        <v>0.3</v>
      </c>
      <c r="S88" s="3">
        <f>R88</f>
        <v>0.3</v>
      </c>
      <c r="T88" s="174"/>
      <c r="U88" s="141" t="s">
        <v>239</v>
      </c>
    </row>
    <row r="89" spans="1:21" x14ac:dyDescent="0.2">
      <c r="A89" s="137">
        <f t="shared" si="4"/>
        <v>79</v>
      </c>
      <c r="B89" s="181" t="s">
        <v>266</v>
      </c>
      <c r="C89" s="163">
        <v>2227459</v>
      </c>
      <c r="D89" s="163">
        <v>2310653.8082797262</v>
      </c>
      <c r="E89" s="163">
        <v>2352216.0436157929</v>
      </c>
      <c r="F89" s="174"/>
      <c r="G89" s="224">
        <f>'Exh CTM-6 (Tariff)'!D43</f>
        <v>8.15</v>
      </c>
      <c r="H89" s="42">
        <f>G89*(1+R89)</f>
        <v>10.595000000000001</v>
      </c>
      <c r="I89" s="42">
        <f>H89*(1+S89)</f>
        <v>13.773500000000002</v>
      </c>
      <c r="J89" s="174"/>
      <c r="K89" s="174">
        <f>G89*C89</f>
        <v>18153790.850000001</v>
      </c>
      <c r="L89" s="174">
        <f>G89*D89</f>
        <v>18831828.537479769</v>
      </c>
      <c r="M89" s="174">
        <f>G89*E89</f>
        <v>19170560.755468711</v>
      </c>
      <c r="N89" s="174"/>
      <c r="O89" s="174">
        <f>H89*D89</f>
        <v>24481377.098723702</v>
      </c>
      <c r="P89" s="174">
        <f>I89*E89</f>
        <v>32398247.676742129</v>
      </c>
      <c r="Q89" s="174"/>
      <c r="R89" s="49">
        <f>R88</f>
        <v>0.3</v>
      </c>
      <c r="S89" s="49">
        <f>S88</f>
        <v>0.3</v>
      </c>
      <c r="T89" s="174"/>
      <c r="U89" s="141" t="s">
        <v>239</v>
      </c>
    </row>
    <row r="90" spans="1:21" x14ac:dyDescent="0.2">
      <c r="A90" s="137">
        <f t="shared" si="4"/>
        <v>80</v>
      </c>
      <c r="B90" s="175" t="s">
        <v>226</v>
      </c>
      <c r="C90" s="193">
        <f>SUM(C88:C89)</f>
        <v>4373028</v>
      </c>
      <c r="D90" s="193">
        <f>SUM(D88:D89)</f>
        <v>4514787.3379027667</v>
      </c>
      <c r="E90" s="193">
        <f>SUM(E88:E89)</f>
        <v>4595013.7039936669</v>
      </c>
      <c r="F90" s="174"/>
      <c r="G90" s="179"/>
      <c r="K90" s="196">
        <f>SUM(K88:K89)</f>
        <v>44394099.719999999</v>
      </c>
      <c r="L90" s="196">
        <f>SUM(L88:L89)</f>
        <v>45788381.604769558</v>
      </c>
      <c r="M90" s="196">
        <f>SUM(M88:M89)</f>
        <v>46599976.141890116</v>
      </c>
      <c r="N90" s="196"/>
      <c r="O90" s="196">
        <f>SUM(O88:O89)</f>
        <v>59524896.086200424</v>
      </c>
      <c r="P90" s="196">
        <f>SUM(P88:P89)</f>
        <v>78753959.679794312</v>
      </c>
    </row>
    <row r="91" spans="1:21" x14ac:dyDescent="0.2">
      <c r="A91" s="137">
        <f t="shared" si="4"/>
        <v>81</v>
      </c>
      <c r="C91" s="163"/>
      <c r="D91" s="163"/>
      <c r="E91" s="163"/>
      <c r="F91" s="174"/>
      <c r="G91" s="163"/>
      <c r="K91" s="189"/>
      <c r="L91" s="189"/>
      <c r="M91" s="189"/>
      <c r="N91" s="189"/>
      <c r="O91" s="189"/>
      <c r="P91" s="189"/>
      <c r="U91" s="178"/>
    </row>
    <row r="92" spans="1:21" x14ac:dyDescent="0.2">
      <c r="A92" s="137">
        <f t="shared" si="4"/>
        <v>82</v>
      </c>
      <c r="B92" s="117" t="s">
        <v>258</v>
      </c>
      <c r="C92" s="163">
        <v>716546266</v>
      </c>
      <c r="D92" s="163">
        <v>798755476.69555104</v>
      </c>
      <c r="E92" s="163">
        <v>814488448.04873681</v>
      </c>
      <c r="F92" s="174"/>
      <c r="G92" s="290">
        <f>'Exh CTM-6 (Tariff)'!D47</f>
        <v>1.2999999999999999E-3</v>
      </c>
      <c r="H92" s="47">
        <f>G92*(1+R92)</f>
        <v>1.6899999999999999E-3</v>
      </c>
      <c r="I92" s="47">
        <f>H92*(1+S92)</f>
        <v>2.1969999999999997E-3</v>
      </c>
      <c r="J92" s="174"/>
      <c r="K92" s="174">
        <f>G92*C92</f>
        <v>931510.14579999994</v>
      </c>
      <c r="L92" s="174">
        <f>G92*D92</f>
        <v>1038382.1197042163</v>
      </c>
      <c r="M92" s="174">
        <f>G92*E92</f>
        <v>1058834.9824633577</v>
      </c>
      <c r="N92" s="174"/>
      <c r="O92" s="174">
        <f>H92*D92</f>
        <v>1349896.7556154812</v>
      </c>
      <c r="P92" s="174">
        <f>I92*E92</f>
        <v>1789431.1203630746</v>
      </c>
      <c r="Q92" s="174"/>
      <c r="R92" s="3">
        <v>0.3</v>
      </c>
      <c r="S92" s="3">
        <f>R92</f>
        <v>0.3</v>
      </c>
      <c r="T92" s="174"/>
      <c r="U92" s="141" t="s">
        <v>237</v>
      </c>
    </row>
    <row r="93" spans="1:21" x14ac:dyDescent="0.2">
      <c r="A93" s="137">
        <f t="shared" si="4"/>
        <v>83</v>
      </c>
      <c r="C93" s="163"/>
      <c r="D93" s="163"/>
      <c r="E93" s="163"/>
      <c r="G93" s="163"/>
      <c r="K93" s="189"/>
      <c r="L93" s="189"/>
      <c r="M93" s="189"/>
      <c r="N93" s="189"/>
      <c r="O93" s="189"/>
      <c r="P93" s="189"/>
    </row>
    <row r="94" spans="1:21" ht="12" thickBot="1" x14ac:dyDescent="0.25">
      <c r="A94" s="137">
        <f t="shared" si="4"/>
        <v>84</v>
      </c>
      <c r="B94" s="117" t="s">
        <v>225</v>
      </c>
      <c r="C94" s="163"/>
      <c r="D94" s="163"/>
      <c r="E94" s="163"/>
      <c r="G94" s="163"/>
      <c r="K94" s="197">
        <f>SUM(K80,K86,K90,K92)</f>
        <v>149989923.88150999</v>
      </c>
      <c r="L94" s="197">
        <f>SUM(L80,L86,L90,L92)</f>
        <v>163222100.14390555</v>
      </c>
      <c r="M94" s="197">
        <f>SUM(M80,M86,M90,M92)</f>
        <v>166730565.00292003</v>
      </c>
      <c r="N94" s="197"/>
      <c r="O94" s="197">
        <f>SUM(O80,O86,O90,O92)</f>
        <v>207439740.15779874</v>
      </c>
      <c r="P94" s="197">
        <f>SUM(P80,P86,P90,P92)</f>
        <v>230816824.4861449</v>
      </c>
      <c r="R94" s="188">
        <f>'Exh CTM-6 (Rate Spread)'!U14</f>
        <v>211393611.06507736</v>
      </c>
      <c r="S94" s="188">
        <f>'Exh CTM-6 (Rate Spread)'!AB14</f>
        <v>235781631.70379132</v>
      </c>
    </row>
    <row r="95" spans="1:21" ht="12" thickTop="1" x14ac:dyDescent="0.2">
      <c r="A95" s="137">
        <f t="shared" si="4"/>
        <v>85</v>
      </c>
      <c r="B95" s="141" t="s">
        <v>224</v>
      </c>
      <c r="C95" s="163"/>
      <c r="D95" s="163"/>
      <c r="E95" s="163"/>
      <c r="G95" s="163"/>
      <c r="K95" s="189"/>
      <c r="L95" s="189"/>
      <c r="M95" s="189"/>
      <c r="N95" s="189"/>
      <c r="O95" s="189"/>
      <c r="P95" s="189"/>
      <c r="R95" s="174">
        <f>R94-L94-L114-L145</f>
        <v>45146023.669125237</v>
      </c>
      <c r="S95" s="174">
        <f>S94-M94-M114-M145-R95</f>
        <v>20821961.690108314</v>
      </c>
      <c r="T95" s="174"/>
    </row>
    <row r="96" spans="1:21" x14ac:dyDescent="0.2">
      <c r="A96" s="137">
        <f t="shared" si="4"/>
        <v>86</v>
      </c>
      <c r="B96" s="141" t="s">
        <v>223</v>
      </c>
      <c r="C96" s="163"/>
      <c r="D96" s="163"/>
      <c r="E96" s="163"/>
      <c r="K96" s="189"/>
      <c r="L96" s="189"/>
      <c r="M96" s="189"/>
      <c r="N96" s="189"/>
      <c r="O96" s="189"/>
      <c r="P96" s="189"/>
      <c r="R96" s="23">
        <f>R95/L94</f>
        <v>0.27659259150153093</v>
      </c>
      <c r="S96" s="23">
        <f>S95/M94</f>
        <v>0.12488389090352839</v>
      </c>
      <c r="T96" s="174"/>
    </row>
    <row r="97" spans="1:21" x14ac:dyDescent="0.2">
      <c r="A97" s="137">
        <f t="shared" si="4"/>
        <v>87</v>
      </c>
      <c r="B97" s="288" t="s">
        <v>160</v>
      </c>
      <c r="C97" s="163">
        <v>-0.59200000762939453</v>
      </c>
      <c r="D97" s="163"/>
      <c r="E97" s="163"/>
      <c r="K97" s="163">
        <v>1.1184900235384703</v>
      </c>
      <c r="L97" s="174">
        <v>-1.5366822481155396E-8</v>
      </c>
      <c r="M97" s="174">
        <v>-1.1641532182693481E-8</v>
      </c>
      <c r="N97" s="189"/>
      <c r="O97" s="189"/>
      <c r="P97" s="189"/>
      <c r="R97" s="174">
        <f>R94-O94-O114-O145</f>
        <v>-6.0535967350006104E-9</v>
      </c>
      <c r="S97" s="174">
        <f>S94-P94-P114-P145</f>
        <v>-3.3527612686157227E-8</v>
      </c>
      <c r="T97" s="189"/>
    </row>
    <row r="98" spans="1:21" ht="12" thickBot="1" x14ac:dyDescent="0.25">
      <c r="A98" s="137">
        <f t="shared" si="4"/>
        <v>88</v>
      </c>
      <c r="B98" s="198" t="s">
        <v>257</v>
      </c>
      <c r="D98" s="163"/>
      <c r="E98" s="163"/>
      <c r="G98" s="201">
        <f>ROUND(SUM(K90)/SUM(C90),2)</f>
        <v>10.15</v>
      </c>
      <c r="H98" s="201">
        <f>ROUND(SUM(O90)/SUM(C90),2)</f>
        <v>13.61</v>
      </c>
      <c r="I98" s="201">
        <f>ROUND(SUM(P90)/SUM(C90),2)</f>
        <v>18.010000000000002</v>
      </c>
      <c r="N98" s="189"/>
    </row>
    <row r="99" spans="1:21" ht="12" thickTop="1" x14ac:dyDescent="0.2">
      <c r="A99" s="137">
        <f t="shared" si="4"/>
        <v>89</v>
      </c>
      <c r="B99" s="190"/>
      <c r="C99" s="191"/>
      <c r="D99" s="191"/>
      <c r="E99" s="191"/>
      <c r="F99" s="191"/>
      <c r="G99" s="192"/>
      <c r="H99" s="192"/>
      <c r="I99" s="192"/>
      <c r="J99" s="191"/>
      <c r="K99" s="191"/>
      <c r="L99" s="191"/>
      <c r="M99" s="191"/>
      <c r="N99" s="189"/>
      <c r="O99" s="191"/>
      <c r="P99" s="191"/>
      <c r="Q99" s="191"/>
      <c r="R99" s="191"/>
      <c r="S99" s="191"/>
      <c r="T99" s="191"/>
      <c r="U99" s="191"/>
    </row>
    <row r="100" spans="1:21" x14ac:dyDescent="0.2">
      <c r="A100" s="137">
        <f t="shared" si="4"/>
        <v>90</v>
      </c>
      <c r="B100" s="141"/>
    </row>
    <row r="101" spans="1:21" x14ac:dyDescent="0.2">
      <c r="A101" s="137">
        <f t="shared" si="4"/>
        <v>91</v>
      </c>
      <c r="B101" s="248" t="s">
        <v>300</v>
      </c>
    </row>
    <row r="102" spans="1:21" x14ac:dyDescent="0.2">
      <c r="A102" s="137">
        <f t="shared" si="4"/>
        <v>92</v>
      </c>
      <c r="B102" s="141" t="s">
        <v>277</v>
      </c>
    </row>
    <row r="103" spans="1:21" x14ac:dyDescent="0.2">
      <c r="A103" s="137">
        <f t="shared" si="4"/>
        <v>93</v>
      </c>
    </row>
    <row r="104" spans="1:21" x14ac:dyDescent="0.2">
      <c r="A104" s="137">
        <f t="shared" si="4"/>
        <v>94</v>
      </c>
      <c r="B104" s="117" t="s">
        <v>276</v>
      </c>
      <c r="C104" s="163"/>
      <c r="F104" s="174"/>
      <c r="G104" s="179"/>
      <c r="H104" s="174"/>
      <c r="I104" s="174"/>
      <c r="J104" s="174"/>
      <c r="K104" s="189"/>
      <c r="L104" s="189"/>
      <c r="M104" s="189"/>
      <c r="N104" s="189"/>
      <c r="O104" s="189"/>
      <c r="P104" s="189"/>
      <c r="Q104" s="174"/>
      <c r="R104" s="174"/>
      <c r="S104" s="174"/>
      <c r="T104" s="174"/>
      <c r="U104" s="174"/>
    </row>
    <row r="105" spans="1:21" x14ac:dyDescent="0.2">
      <c r="A105" s="137">
        <f t="shared" si="4"/>
        <v>95</v>
      </c>
      <c r="B105" s="181" t="s">
        <v>267</v>
      </c>
      <c r="C105" s="163">
        <v>97882</v>
      </c>
      <c r="D105" s="163">
        <v>110140.17513922267</v>
      </c>
      <c r="E105" s="163">
        <v>112072.21513394637</v>
      </c>
      <c r="F105" s="174"/>
      <c r="G105" s="224">
        <f>'Exh CTM-6 (Tariff)'!D41</f>
        <v>5.79</v>
      </c>
      <c r="H105" s="42">
        <f>H88-H110</f>
        <v>8.7444500000000005</v>
      </c>
      <c r="I105" s="42">
        <f>I88-I110</f>
        <v>11.367785</v>
      </c>
      <c r="J105" s="174"/>
      <c r="K105" s="174">
        <f>G105*C105</f>
        <v>566736.78</v>
      </c>
      <c r="L105" s="174">
        <f>G105*D105</f>
        <v>637711.61405609932</v>
      </c>
      <c r="M105" s="174">
        <f>G105*E105</f>
        <v>648898.12562554947</v>
      </c>
      <c r="N105" s="174"/>
      <c r="O105" s="174">
        <f>H105*D105</f>
        <v>963115.2544961758</v>
      </c>
      <c r="P105" s="174">
        <f>I105*E105</f>
        <v>1274012.8461164485</v>
      </c>
      <c r="Q105" s="174"/>
      <c r="R105" s="3"/>
      <c r="S105" s="3"/>
      <c r="T105" s="174"/>
      <c r="U105" s="174"/>
    </row>
    <row r="106" spans="1:21" x14ac:dyDescent="0.2">
      <c r="A106" s="137">
        <f t="shared" si="4"/>
        <v>96</v>
      </c>
      <c r="B106" s="181" t="s">
        <v>266</v>
      </c>
      <c r="C106" s="163">
        <v>97918</v>
      </c>
      <c r="D106" s="163">
        <v>111217.80136788196</v>
      </c>
      <c r="E106" s="163">
        <v>113218.30028184659</v>
      </c>
      <c r="F106" s="174"/>
      <c r="G106" s="224">
        <f>'Exh CTM-6 (Tariff)'!D44</f>
        <v>3.86</v>
      </c>
      <c r="H106" s="42">
        <f>H89-H111</f>
        <v>5.8272500000000003</v>
      </c>
      <c r="I106" s="42">
        <f>I89-I111</f>
        <v>7.575425000000001</v>
      </c>
      <c r="J106" s="174"/>
      <c r="K106" s="174">
        <f>G106*C106</f>
        <v>377963.48</v>
      </c>
      <c r="L106" s="174">
        <f>G106*D106</f>
        <v>429300.71328002436</v>
      </c>
      <c r="M106" s="174">
        <f>G106*E106</f>
        <v>437022.63908792782</v>
      </c>
      <c r="N106" s="174"/>
      <c r="O106" s="174">
        <f>H106*D106</f>
        <v>648093.93302099011</v>
      </c>
      <c r="P106" s="174">
        <f>I106*E106</f>
        <v>857676.74241260777</v>
      </c>
      <c r="Q106" s="174"/>
      <c r="R106" s="3"/>
      <c r="S106" s="3"/>
      <c r="T106" s="174"/>
      <c r="U106" s="174"/>
    </row>
    <row r="107" spans="1:21" x14ac:dyDescent="0.2">
      <c r="A107" s="137">
        <f t="shared" si="4"/>
        <v>97</v>
      </c>
      <c r="B107" s="175" t="s">
        <v>226</v>
      </c>
      <c r="C107" s="193">
        <f>SUM(C105:C106)</f>
        <v>195800</v>
      </c>
      <c r="D107" s="193">
        <f>SUM(D105:D106)</f>
        <v>221357.97650710464</v>
      </c>
      <c r="E107" s="193">
        <f>SUM(E105:E106)</f>
        <v>225290.51541579296</v>
      </c>
      <c r="F107" s="174"/>
      <c r="G107" s="179"/>
      <c r="H107" s="174"/>
      <c r="I107" s="174"/>
      <c r="J107" s="174"/>
      <c r="K107" s="196">
        <f>SUM(K105:K106)</f>
        <v>944700.26</v>
      </c>
      <c r="L107" s="196">
        <f>SUM(L105:L106)</f>
        <v>1067012.3273361237</v>
      </c>
      <c r="M107" s="196">
        <f>SUM(M105:M106)</f>
        <v>1085920.7647134773</v>
      </c>
      <c r="N107" s="196"/>
      <c r="O107" s="196">
        <f>SUM(O105:O106)</f>
        <v>1611209.1875171659</v>
      </c>
      <c r="P107" s="196">
        <f>SUM(P105:P106)</f>
        <v>2131689.5885290564</v>
      </c>
      <c r="Q107" s="174"/>
      <c r="R107" s="3"/>
      <c r="S107" s="3"/>
      <c r="T107" s="174"/>
      <c r="U107" s="174"/>
    </row>
    <row r="108" spans="1:21" x14ac:dyDescent="0.2">
      <c r="A108" s="137">
        <f t="shared" si="4"/>
        <v>98</v>
      </c>
      <c r="B108" s="175"/>
      <c r="C108" s="163"/>
      <c r="D108" s="163"/>
      <c r="E108" s="163"/>
      <c r="F108" s="174"/>
      <c r="G108" s="179"/>
      <c r="H108" s="174"/>
      <c r="I108" s="174"/>
      <c r="J108" s="174"/>
      <c r="K108" s="189"/>
      <c r="L108" s="189"/>
      <c r="M108" s="189"/>
      <c r="N108" s="189"/>
      <c r="O108" s="189"/>
      <c r="P108" s="189"/>
      <c r="Q108" s="174"/>
      <c r="R108" s="3"/>
      <c r="S108" s="3"/>
      <c r="T108" s="174"/>
      <c r="U108" s="174"/>
    </row>
    <row r="109" spans="1:21" x14ac:dyDescent="0.2">
      <c r="A109" s="137">
        <f t="shared" si="4"/>
        <v>99</v>
      </c>
      <c r="B109" s="117" t="s">
        <v>275</v>
      </c>
      <c r="C109" s="163"/>
      <c r="D109" s="163"/>
      <c r="E109" s="163"/>
      <c r="F109" s="174"/>
      <c r="G109" s="179"/>
      <c r="H109" s="174"/>
      <c r="I109" s="174"/>
      <c r="J109" s="174"/>
      <c r="K109" s="189"/>
      <c r="L109" s="189"/>
      <c r="M109" s="189"/>
      <c r="N109" s="189"/>
      <c r="O109" s="189"/>
      <c r="P109" s="189"/>
      <c r="Q109" s="174"/>
      <c r="R109" s="3"/>
      <c r="S109" s="3"/>
      <c r="T109" s="174"/>
      <c r="U109" s="174"/>
    </row>
    <row r="110" spans="1:21" x14ac:dyDescent="0.2">
      <c r="A110" s="137">
        <f t="shared" si="4"/>
        <v>100</v>
      </c>
      <c r="B110" s="181" t="s">
        <v>267</v>
      </c>
      <c r="C110" s="163">
        <v>73992</v>
      </c>
      <c r="D110" s="163">
        <v>83258.329814484416</v>
      </c>
      <c r="E110" s="163">
        <v>84718.817986871538</v>
      </c>
      <c r="F110" s="174"/>
      <c r="G110" s="224">
        <f>'Exh CTM-6 (Tariff)'!D42</f>
        <v>6.44</v>
      </c>
      <c r="H110" s="42">
        <f>IF(SUM(L118:L119)&gt;45%,$H$88*R110,$H$88*SUM(L118:L119))</f>
        <v>7.1545500000000004</v>
      </c>
      <c r="I110" s="42">
        <f>IF(SUM(M118:M119)&gt;45%,$I$88*S110,$I$88*SUM(M118:M119))</f>
        <v>9.3009150000000016</v>
      </c>
      <c r="J110" s="174"/>
      <c r="K110" s="174">
        <f>G110*C110</f>
        <v>476508.48000000004</v>
      </c>
      <c r="L110" s="174">
        <f>G110*D110</f>
        <v>536183.64400527964</v>
      </c>
      <c r="M110" s="174">
        <f>G110*E110</f>
        <v>545589.18783545273</v>
      </c>
      <c r="N110" s="174"/>
      <c r="O110" s="174">
        <f>H110*D110</f>
        <v>595675.88357421954</v>
      </c>
      <c r="P110" s="174">
        <f>I110*E110</f>
        <v>787962.52499636344</v>
      </c>
      <c r="Q110" s="174"/>
      <c r="R110" s="23">
        <v>0.45</v>
      </c>
      <c r="S110" s="23">
        <f>R110</f>
        <v>0.45</v>
      </c>
      <c r="T110" s="174"/>
      <c r="U110" s="117" t="s">
        <v>274</v>
      </c>
    </row>
    <row r="111" spans="1:21" x14ac:dyDescent="0.2">
      <c r="A111" s="137">
        <f t="shared" si="4"/>
        <v>101</v>
      </c>
      <c r="B111" s="181" t="s">
        <v>266</v>
      </c>
      <c r="C111" s="163">
        <v>84471</v>
      </c>
      <c r="D111" s="163">
        <v>95944.350368127998</v>
      </c>
      <c r="E111" s="163">
        <v>97670.122379009597</v>
      </c>
      <c r="F111" s="174"/>
      <c r="G111" s="224">
        <f>'Exh CTM-6 (Tariff)'!D45</f>
        <v>4.29</v>
      </c>
      <c r="H111" s="42">
        <f>IF(SUM(L118:L119)&gt;45%,$H$89*R111,$H$89*SUM(L118:L119))</f>
        <v>4.7677500000000004</v>
      </c>
      <c r="I111" s="42">
        <f>IF(SUM(M118:M119)&gt;45%,$I$89*S111,$I$89*SUM(M118:M119))</f>
        <v>6.1980750000000011</v>
      </c>
      <c r="J111" s="174"/>
      <c r="K111" s="174">
        <f>G111*C111</f>
        <v>362380.59</v>
      </c>
      <c r="L111" s="174">
        <f>G111*D111</f>
        <v>411601.26307926909</v>
      </c>
      <c r="M111" s="174">
        <f>G111*E111</f>
        <v>419004.82500595116</v>
      </c>
      <c r="N111" s="174"/>
      <c r="O111" s="174">
        <f>H111*D111</f>
        <v>457438.6764676423</v>
      </c>
      <c r="P111" s="174">
        <f>I111*E111</f>
        <v>605366.74376427999</v>
      </c>
      <c r="Q111" s="174"/>
      <c r="R111" s="23">
        <f>R110</f>
        <v>0.45</v>
      </c>
      <c r="S111" s="23">
        <f>S110</f>
        <v>0.45</v>
      </c>
      <c r="T111" s="174"/>
      <c r="U111" s="117" t="s">
        <v>274</v>
      </c>
    </row>
    <row r="112" spans="1:21" x14ac:dyDescent="0.2">
      <c r="A112" s="137">
        <f t="shared" si="4"/>
        <v>102</v>
      </c>
      <c r="B112" s="175" t="s">
        <v>226</v>
      </c>
      <c r="C112" s="193">
        <f>SUM(C110:C111)</f>
        <v>158463</v>
      </c>
      <c r="D112" s="193">
        <f>SUM(D110:D111)</f>
        <v>179202.68018261241</v>
      </c>
      <c r="E112" s="193">
        <f>SUM(E110:E111)</f>
        <v>182388.94036588114</v>
      </c>
      <c r="F112" s="174"/>
      <c r="G112" s="179"/>
      <c r="H112" s="174"/>
      <c r="I112" s="174"/>
      <c r="J112" s="174"/>
      <c r="K112" s="196">
        <f>SUM(K110:K111)</f>
        <v>838889.07000000007</v>
      </c>
      <c r="L112" s="196">
        <f>SUM(L110:L111)</f>
        <v>947784.90708454873</v>
      </c>
      <c r="M112" s="196">
        <f>SUM(M110:M111)</f>
        <v>964594.01284140395</v>
      </c>
      <c r="N112" s="196"/>
      <c r="O112" s="196">
        <f>SUM(O110:O111)</f>
        <v>1053114.5600418618</v>
      </c>
      <c r="P112" s="196">
        <f>SUM(P110:P111)</f>
        <v>1393329.2687606434</v>
      </c>
    </row>
    <row r="113" spans="1:21" x14ac:dyDescent="0.2">
      <c r="A113" s="137">
        <f t="shared" si="4"/>
        <v>103</v>
      </c>
      <c r="B113" s="175"/>
      <c r="C113" s="163"/>
      <c r="D113" s="163"/>
      <c r="E113" s="163"/>
      <c r="F113" s="174"/>
      <c r="G113" s="179"/>
      <c r="H113" s="174"/>
      <c r="I113" s="174"/>
      <c r="J113" s="174"/>
      <c r="K113" s="189"/>
      <c r="L113" s="189"/>
      <c r="M113" s="189"/>
      <c r="N113" s="189"/>
      <c r="O113" s="189"/>
      <c r="P113" s="189"/>
    </row>
    <row r="114" spans="1:21" ht="12" thickBot="1" x14ac:dyDescent="0.25">
      <c r="A114" s="137">
        <f t="shared" si="4"/>
        <v>104</v>
      </c>
      <c r="B114" s="117" t="s">
        <v>225</v>
      </c>
      <c r="C114" s="163"/>
      <c r="D114" s="163"/>
      <c r="E114" s="163"/>
      <c r="G114" s="163"/>
      <c r="K114" s="197">
        <f>SUM(K107,K112)</f>
        <v>1783589.33</v>
      </c>
      <c r="L114" s="197">
        <f>SUM(L107,L112)</f>
        <v>2014797.2344206725</v>
      </c>
      <c r="M114" s="197">
        <f>SUM(M107,M112)</f>
        <v>2050514.7775548813</v>
      </c>
      <c r="N114" s="197"/>
      <c r="O114" s="197">
        <f>SUM(O107,O112)</f>
        <v>2664323.7475590277</v>
      </c>
      <c r="P114" s="197">
        <f>SUM(P107,P112)</f>
        <v>3525018.8572896998</v>
      </c>
    </row>
    <row r="115" spans="1:21" ht="12.75" thickTop="1" thickBot="1" x14ac:dyDescent="0.25">
      <c r="A115" s="137">
        <f t="shared" si="4"/>
        <v>105</v>
      </c>
      <c r="B115" s="288" t="s">
        <v>160</v>
      </c>
      <c r="C115" s="163"/>
      <c r="D115" s="163"/>
      <c r="E115" s="163"/>
      <c r="G115" s="291">
        <f t="shared" ref="G115:I116" si="5">G88-SUM(G105,G110)</f>
        <v>0</v>
      </c>
      <c r="H115" s="291">
        <f t="shared" si="5"/>
        <v>0</v>
      </c>
      <c r="I115" s="291">
        <f t="shared" si="5"/>
        <v>0</v>
      </c>
      <c r="K115" s="189"/>
      <c r="L115" s="189"/>
      <c r="M115" s="189"/>
      <c r="N115" s="189"/>
      <c r="O115" s="189"/>
      <c r="P115" s="189"/>
    </row>
    <row r="116" spans="1:21" ht="12" thickBot="1" x14ac:dyDescent="0.25">
      <c r="A116" s="137">
        <f t="shared" si="4"/>
        <v>106</v>
      </c>
      <c r="B116" s="175"/>
      <c r="C116" s="163"/>
      <c r="D116" s="163"/>
      <c r="E116" s="163"/>
      <c r="F116" s="174"/>
      <c r="G116" s="291">
        <f t="shared" si="5"/>
        <v>0</v>
      </c>
      <c r="H116" s="291">
        <f t="shared" si="5"/>
        <v>0</v>
      </c>
      <c r="I116" s="291">
        <f t="shared" si="5"/>
        <v>0</v>
      </c>
      <c r="J116" s="174"/>
      <c r="K116" s="189"/>
      <c r="L116" s="189"/>
      <c r="M116" s="189"/>
      <c r="N116" s="189"/>
      <c r="O116" s="204" t="s">
        <v>164</v>
      </c>
      <c r="P116" s="204" t="s">
        <v>163</v>
      </c>
    </row>
    <row r="117" spans="1:21" x14ac:dyDescent="0.2">
      <c r="A117" s="137">
        <f t="shared" si="4"/>
        <v>107</v>
      </c>
      <c r="B117" s="175"/>
      <c r="C117" s="205"/>
      <c r="D117" s="205"/>
      <c r="E117" s="205"/>
      <c r="F117" s="206"/>
      <c r="G117" s="207"/>
      <c r="H117" s="206"/>
      <c r="I117" s="206"/>
      <c r="J117" s="206"/>
      <c r="K117" s="208"/>
      <c r="L117" s="208"/>
      <c r="M117" s="208"/>
      <c r="N117" s="208"/>
      <c r="O117" s="209"/>
      <c r="P117" s="209"/>
    </row>
    <row r="118" spans="1:21" x14ac:dyDescent="0.2">
      <c r="A118" s="137">
        <f t="shared" si="4"/>
        <v>108</v>
      </c>
      <c r="B118" s="184" t="s">
        <v>273</v>
      </c>
      <c r="C118" s="163"/>
      <c r="D118" s="163"/>
      <c r="E118" s="163"/>
      <c r="F118" s="174"/>
      <c r="G118" s="179"/>
      <c r="H118" s="210"/>
      <c r="I118" s="174"/>
      <c r="J118" s="174"/>
      <c r="K118" s="189"/>
      <c r="L118" s="2">
        <f>O118/O121</f>
        <v>0.35325383733556631</v>
      </c>
      <c r="M118" s="2">
        <f>P118/P121</f>
        <v>0.35325383733556631</v>
      </c>
      <c r="N118" s="2"/>
      <c r="O118" s="292">
        <v>27379202.857083168</v>
      </c>
      <c r="P118" s="292">
        <f>O118</f>
        <v>27379202.857083168</v>
      </c>
    </row>
    <row r="119" spans="1:21" x14ac:dyDescent="0.2">
      <c r="A119" s="137">
        <f t="shared" si="4"/>
        <v>109</v>
      </c>
      <c r="B119" s="175" t="s">
        <v>272</v>
      </c>
      <c r="C119" s="163"/>
      <c r="D119" s="163"/>
      <c r="E119" s="163"/>
      <c r="F119" s="174"/>
      <c r="G119" s="179"/>
      <c r="H119" s="210"/>
      <c r="I119" s="4"/>
      <c r="J119" s="174"/>
      <c r="K119" s="189"/>
      <c r="L119" s="2">
        <f>O119/O121</f>
        <v>0.17641672137128397</v>
      </c>
      <c r="M119" s="2">
        <f>P119/P121</f>
        <v>0.17641672137128397</v>
      </c>
      <c r="N119" s="2"/>
      <c r="O119" s="292">
        <v>13673309.92987233</v>
      </c>
      <c r="P119" s="292">
        <f>O119</f>
        <v>13673309.92987233</v>
      </c>
    </row>
    <row r="120" spans="1:21" x14ac:dyDescent="0.2">
      <c r="A120" s="137">
        <f t="shared" si="4"/>
        <v>110</v>
      </c>
      <c r="B120" s="175" t="s">
        <v>271</v>
      </c>
      <c r="C120" s="163"/>
      <c r="D120" s="163"/>
      <c r="E120" s="163"/>
      <c r="F120" s="174"/>
      <c r="G120" s="179"/>
      <c r="H120" s="4"/>
      <c r="I120" s="4"/>
      <c r="J120" s="174"/>
      <c r="K120" s="189"/>
      <c r="L120" s="2">
        <f>O120/O121</f>
        <v>0.47032944129314963</v>
      </c>
      <c r="M120" s="2">
        <f>P120/P121</f>
        <v>0.47032944129314963</v>
      </c>
      <c r="N120" s="2"/>
      <c r="O120" s="292">
        <v>36453235.101282865</v>
      </c>
      <c r="P120" s="292">
        <f>O120</f>
        <v>36453235.101282865</v>
      </c>
    </row>
    <row r="121" spans="1:21" ht="12" thickBot="1" x14ac:dyDescent="0.25">
      <c r="A121" s="137">
        <f t="shared" si="4"/>
        <v>111</v>
      </c>
      <c r="B121" s="175" t="s">
        <v>270</v>
      </c>
      <c r="C121" s="163"/>
      <c r="D121" s="163"/>
      <c r="E121" s="163"/>
      <c r="F121" s="174"/>
      <c r="G121" s="179"/>
      <c r="H121" s="174"/>
      <c r="I121" s="174"/>
      <c r="J121" s="174"/>
      <c r="K121" s="189"/>
      <c r="L121" s="211">
        <f>SUM(L118:L120)</f>
        <v>1</v>
      </c>
      <c r="M121" s="211">
        <f>SUM(M118:M120)</f>
        <v>1</v>
      </c>
      <c r="N121" s="212"/>
      <c r="O121" s="213">
        <f>SUM(O118:O120)</f>
        <v>77505747.88823837</v>
      </c>
      <c r="P121" s="213">
        <f>SUM(P118:P120)</f>
        <v>77505747.88823837</v>
      </c>
      <c r="R121" s="214"/>
      <c r="S121" s="214"/>
    </row>
    <row r="122" spans="1:21" ht="12.75" thickTop="1" thickBot="1" x14ac:dyDescent="0.25">
      <c r="A122" s="137">
        <f t="shared" si="4"/>
        <v>112</v>
      </c>
      <c r="B122" s="215" t="s">
        <v>269</v>
      </c>
      <c r="C122" s="216"/>
      <c r="D122" s="216"/>
      <c r="E122" s="216"/>
      <c r="F122" s="217"/>
      <c r="G122" s="218"/>
      <c r="H122" s="217"/>
      <c r="I122" s="217"/>
      <c r="J122" s="217"/>
      <c r="K122" s="219"/>
      <c r="L122" s="219"/>
      <c r="M122" s="219"/>
      <c r="N122" s="219"/>
      <c r="O122" s="220"/>
      <c r="P122" s="220"/>
      <c r="R122" s="214"/>
      <c r="S122" s="214"/>
    </row>
    <row r="123" spans="1:21" x14ac:dyDescent="0.2">
      <c r="A123" s="137">
        <f t="shared" si="4"/>
        <v>113</v>
      </c>
      <c r="B123" s="190"/>
      <c r="C123" s="191"/>
      <c r="D123" s="191"/>
      <c r="E123" s="191"/>
      <c r="F123" s="191"/>
      <c r="G123" s="192"/>
      <c r="H123" s="192"/>
      <c r="I123" s="192"/>
      <c r="J123" s="191"/>
      <c r="K123" s="191"/>
      <c r="L123" s="191"/>
      <c r="M123" s="191"/>
      <c r="N123" s="191"/>
      <c r="O123" s="191"/>
      <c r="P123" s="191"/>
      <c r="Q123" s="191"/>
      <c r="R123" s="221"/>
      <c r="S123" s="221"/>
      <c r="T123" s="191"/>
      <c r="U123" s="191"/>
    </row>
    <row r="124" spans="1:21" x14ac:dyDescent="0.2">
      <c r="A124" s="137">
        <f t="shared" si="4"/>
        <v>114</v>
      </c>
      <c r="B124" s="175"/>
      <c r="C124" s="163"/>
      <c r="D124" s="163"/>
      <c r="E124" s="163"/>
      <c r="F124" s="174"/>
      <c r="G124" s="179"/>
      <c r="H124" s="174"/>
      <c r="I124" s="174"/>
      <c r="J124" s="174"/>
      <c r="K124" s="189"/>
      <c r="L124" s="189"/>
      <c r="M124" s="189"/>
      <c r="N124" s="189"/>
      <c r="O124" s="189"/>
      <c r="P124" s="189"/>
    </row>
    <row r="125" spans="1:21" x14ac:dyDescent="0.2">
      <c r="A125" s="137">
        <f t="shared" si="4"/>
        <v>115</v>
      </c>
      <c r="B125" s="248" t="s">
        <v>299</v>
      </c>
    </row>
    <row r="126" spans="1:21" x14ac:dyDescent="0.2">
      <c r="A126" s="137">
        <f t="shared" si="4"/>
        <v>116</v>
      </c>
      <c r="B126" s="141" t="s">
        <v>277</v>
      </c>
    </row>
    <row r="127" spans="1:21" x14ac:dyDescent="0.2">
      <c r="A127" s="137">
        <f t="shared" si="4"/>
        <v>117</v>
      </c>
      <c r="B127" s="117" t="s">
        <v>55</v>
      </c>
      <c r="C127" s="163">
        <v>23</v>
      </c>
      <c r="D127" s="163">
        <v>28.326089865918249</v>
      </c>
      <c r="E127" s="163">
        <v>32.915270004111242</v>
      </c>
      <c r="G127" s="224">
        <f>'Exh CTM-6 (Tariff)'!D36</f>
        <v>109.08</v>
      </c>
      <c r="H127" s="42">
        <f>G127*(1+R127)</f>
        <v>141.804</v>
      </c>
      <c r="I127" s="42">
        <f>H127*(1+S127)</f>
        <v>184.34520000000001</v>
      </c>
      <c r="K127" s="174">
        <f>G127*C127</f>
        <v>2508.84</v>
      </c>
      <c r="L127" s="174">
        <f>G127*D127</f>
        <v>3089.8098825743627</v>
      </c>
      <c r="M127" s="174">
        <f>G127*E127</f>
        <v>3590.3976520484543</v>
      </c>
      <c r="N127" s="174"/>
      <c r="O127" s="174">
        <f>H127*D127</f>
        <v>4016.7528473466714</v>
      </c>
      <c r="P127" s="174">
        <f>I127*E127</f>
        <v>6067.7720319618884</v>
      </c>
      <c r="R127" s="3">
        <f>R80</f>
        <v>0.3</v>
      </c>
      <c r="S127" s="3">
        <f>S80</f>
        <v>0.3</v>
      </c>
      <c r="U127" s="117" t="s">
        <v>264</v>
      </c>
    </row>
    <row r="128" spans="1:21" x14ac:dyDescent="0.2">
      <c r="A128" s="137">
        <f t="shared" si="4"/>
        <v>118</v>
      </c>
      <c r="B128" s="184" t="s">
        <v>298</v>
      </c>
      <c r="C128" s="222">
        <f>C127</f>
        <v>23</v>
      </c>
      <c r="D128" s="222">
        <f>D127</f>
        <v>28.326089865918249</v>
      </c>
      <c r="E128" s="222">
        <f>E127</f>
        <v>32.915270004111242</v>
      </c>
      <c r="G128" s="224">
        <f>'Exh CTM-6 (Tariff)'!D50</f>
        <v>249.03000000000003</v>
      </c>
      <c r="H128" s="42">
        <f>G128*(1+R128)</f>
        <v>323.73900000000003</v>
      </c>
      <c r="I128" s="42">
        <f>H128*(1+S128)</f>
        <v>420.86070000000007</v>
      </c>
      <c r="K128" s="174">
        <f>G128*C128</f>
        <v>5727.6900000000005</v>
      </c>
      <c r="L128" s="174">
        <f>G128*D128</f>
        <v>7054.0461593096225</v>
      </c>
      <c r="M128" s="174">
        <f>G128*E128</f>
        <v>8196.8896891238237</v>
      </c>
      <c r="N128" s="174"/>
      <c r="O128" s="174">
        <f>H128*D128</f>
        <v>9170.2600071025081</v>
      </c>
      <c r="P128" s="174">
        <f>I128*E128</f>
        <v>13852.743574619262</v>
      </c>
      <c r="R128" s="3">
        <f>R127</f>
        <v>0.3</v>
      </c>
      <c r="S128" s="3">
        <f>S127</f>
        <v>0.3</v>
      </c>
      <c r="U128" s="117" t="s">
        <v>264</v>
      </c>
    </row>
    <row r="129" spans="1:21" x14ac:dyDescent="0.2">
      <c r="A129" s="137">
        <f t="shared" si="4"/>
        <v>119</v>
      </c>
      <c r="B129" s="175" t="s">
        <v>226</v>
      </c>
      <c r="C129" s="163"/>
      <c r="D129" s="163"/>
      <c r="E129" s="163"/>
      <c r="G129" s="223">
        <f>SUM(G127:G128)</f>
        <v>358.11</v>
      </c>
      <c r="H129" s="223">
        <f>SUM(H127:H128)</f>
        <v>465.54300000000001</v>
      </c>
      <c r="I129" s="223">
        <f>SUM(I127:I128)</f>
        <v>605.20590000000004</v>
      </c>
      <c r="K129" s="196">
        <f>SUM(K127:K128)</f>
        <v>8236.5300000000007</v>
      </c>
      <c r="L129" s="196">
        <f>SUM(L127:L128)</f>
        <v>10143.856041883984</v>
      </c>
      <c r="M129" s="196">
        <f>SUM(M127:M128)</f>
        <v>11787.287341172278</v>
      </c>
      <c r="N129" s="196"/>
      <c r="O129" s="196">
        <f>SUM(O127:O128)</f>
        <v>13187.01285444918</v>
      </c>
      <c r="P129" s="196">
        <f>SUM(P127:P128)</f>
        <v>19920.51560658115</v>
      </c>
      <c r="R129" s="224"/>
      <c r="S129" s="224"/>
      <c r="U129" s="174"/>
    </row>
    <row r="130" spans="1:21" x14ac:dyDescent="0.2">
      <c r="A130" s="137">
        <f t="shared" si="4"/>
        <v>120</v>
      </c>
      <c r="B130" s="117" t="s">
        <v>263</v>
      </c>
      <c r="C130" s="163"/>
      <c r="D130" s="163"/>
      <c r="E130" s="163"/>
      <c r="G130" s="195"/>
      <c r="K130" s="189"/>
      <c r="L130" s="189"/>
      <c r="M130" s="189"/>
      <c r="N130" s="189"/>
      <c r="O130" s="189"/>
      <c r="P130" s="189"/>
      <c r="R130" s="195"/>
      <c r="S130" s="195"/>
      <c r="U130" s="174"/>
    </row>
    <row r="131" spans="1:21" x14ac:dyDescent="0.2">
      <c r="A131" s="137">
        <f t="shared" si="4"/>
        <v>121</v>
      </c>
      <c r="B131" s="181" t="s">
        <v>231</v>
      </c>
      <c r="C131" s="163">
        <v>11143500</v>
      </c>
      <c r="D131" s="163">
        <v>12472961.92827482</v>
      </c>
      <c r="E131" s="163">
        <v>12738660.410763964</v>
      </c>
      <c r="G131" s="182">
        <f>'Exh CTM-6 (Tariff)'!D56</f>
        <v>5.6055000000000001E-2</v>
      </c>
      <c r="H131" s="182">
        <f>G131+R131</f>
        <v>7.0919288221106005E-2</v>
      </c>
      <c r="I131" s="182">
        <f>H131+S131</f>
        <v>7.0770529847459185E-2</v>
      </c>
      <c r="J131" s="174"/>
      <c r="K131" s="174">
        <f>G131*C131</f>
        <v>624648.89249999996</v>
      </c>
      <c r="L131" s="174">
        <f>G131*D131</f>
        <v>699171.88088944508</v>
      </c>
      <c r="M131" s="174">
        <f>G131*E131</f>
        <v>714065.60932537401</v>
      </c>
      <c r="N131" s="174"/>
      <c r="O131" s="174">
        <f>H131*D131</f>
        <v>884573.58196220407</v>
      </c>
      <c r="P131" s="174">
        <f>I131*E131</f>
        <v>901521.74681661779</v>
      </c>
      <c r="Q131" s="174"/>
      <c r="R131" s="182">
        <f>R82</f>
        <v>1.4864288221106001E-2</v>
      </c>
      <c r="S131" s="182">
        <f>S82</f>
        <v>-1.4875837364682239E-4</v>
      </c>
      <c r="U131" s="141" t="s">
        <v>230</v>
      </c>
    </row>
    <row r="132" spans="1:21" x14ac:dyDescent="0.2">
      <c r="A132" s="137">
        <f t="shared" si="4"/>
        <v>122</v>
      </c>
      <c r="B132" s="175" t="s">
        <v>226</v>
      </c>
      <c r="C132" s="193">
        <f>SUM(C131)</f>
        <v>11143500</v>
      </c>
      <c r="D132" s="193">
        <f>SUM(D131)</f>
        <v>12472961.92827482</v>
      </c>
      <c r="E132" s="193">
        <f>SUM(E131)</f>
        <v>12738660.410763964</v>
      </c>
      <c r="G132" s="199">
        <f>SUM(G131:G131)</f>
        <v>5.6055000000000001E-2</v>
      </c>
      <c r="H132" s="199">
        <f>SUM(H131:H131)</f>
        <v>7.0919288221106005E-2</v>
      </c>
      <c r="I132" s="199">
        <f>SUM(I131:I131)</f>
        <v>7.0770529847459185E-2</v>
      </c>
      <c r="K132" s="196">
        <f>SUM(K131:K131)</f>
        <v>624648.89249999996</v>
      </c>
      <c r="L132" s="196">
        <f>SUM(L131:L131)</f>
        <v>699171.88088944508</v>
      </c>
      <c r="M132" s="196">
        <f>SUM(M131:M131)</f>
        <v>714065.60932537401</v>
      </c>
      <c r="N132" s="196"/>
      <c r="O132" s="196">
        <f>SUM(O131:O131)</f>
        <v>884573.58196220407</v>
      </c>
      <c r="P132" s="196">
        <f>SUM(P131:P131)</f>
        <v>901521.74681661779</v>
      </c>
      <c r="R132" s="225"/>
      <c r="S132" s="203"/>
      <c r="U132" s="174"/>
    </row>
    <row r="133" spans="1:21" x14ac:dyDescent="0.2">
      <c r="A133" s="137">
        <f t="shared" si="4"/>
        <v>123</v>
      </c>
      <c r="B133" s="181" t="s">
        <v>229</v>
      </c>
      <c r="C133" s="163">
        <v>0</v>
      </c>
      <c r="D133" s="163">
        <v>0</v>
      </c>
      <c r="E133" s="163">
        <v>0</v>
      </c>
      <c r="G133" s="194"/>
      <c r="K133" s="174">
        <f>G133*C133</f>
        <v>0</v>
      </c>
      <c r="L133" s="174">
        <f>G133*D133</f>
        <v>0</v>
      </c>
      <c r="M133" s="174">
        <f>G133*E133</f>
        <v>0</v>
      </c>
      <c r="N133" s="174"/>
      <c r="O133" s="174">
        <f>H133*D133</f>
        <v>0</v>
      </c>
      <c r="P133" s="174">
        <f>I133*E133</f>
        <v>0</v>
      </c>
      <c r="R133" s="182"/>
      <c r="S133" s="182"/>
      <c r="U133" s="174"/>
    </row>
    <row r="134" spans="1:21" x14ac:dyDescent="0.2">
      <c r="A134" s="137">
        <f t="shared" si="4"/>
        <v>124</v>
      </c>
      <c r="B134" s="184" t="s">
        <v>228</v>
      </c>
      <c r="C134" s="163">
        <v>0</v>
      </c>
      <c r="D134" s="163">
        <v>0</v>
      </c>
      <c r="E134" s="163">
        <v>0</v>
      </c>
      <c r="G134" s="194"/>
      <c r="K134" s="174">
        <f>G134*C134</f>
        <v>0</v>
      </c>
      <c r="L134" s="174">
        <f>G134*D134</f>
        <v>0</v>
      </c>
      <c r="M134" s="174">
        <f>G134*E134</f>
        <v>0</v>
      </c>
      <c r="N134" s="174"/>
      <c r="O134" s="174">
        <f>H134*D134</f>
        <v>0</v>
      </c>
      <c r="P134" s="174">
        <f>I134*E134</f>
        <v>0</v>
      </c>
      <c r="R134" s="182"/>
      <c r="S134" s="182"/>
      <c r="U134" s="174"/>
    </row>
    <row r="135" spans="1:21" x14ac:dyDescent="0.2">
      <c r="A135" s="137">
        <f t="shared" si="4"/>
        <v>125</v>
      </c>
      <c r="B135" s="175" t="s">
        <v>226</v>
      </c>
      <c r="C135" s="193">
        <f>SUM(C132:C134)</f>
        <v>11143500</v>
      </c>
      <c r="D135" s="193">
        <f>SUM(D132:D134)</f>
        <v>12472961.92827482</v>
      </c>
      <c r="E135" s="193">
        <f>SUM(E132:E134)</f>
        <v>12738660.410763964</v>
      </c>
      <c r="K135" s="196">
        <f>SUM(K132:K134)</f>
        <v>624648.89249999996</v>
      </c>
      <c r="L135" s="196">
        <f>SUM(L132:L134)</f>
        <v>699171.88088944508</v>
      </c>
      <c r="M135" s="196">
        <f>SUM(M132:M134)</f>
        <v>714065.60932537401</v>
      </c>
      <c r="N135" s="196"/>
      <c r="O135" s="196">
        <f>SUM(O132:O134)</f>
        <v>884573.58196220407</v>
      </c>
      <c r="P135" s="196">
        <f>SUM(P132:P134)</f>
        <v>901521.74681661779</v>
      </c>
      <c r="U135" s="174"/>
    </row>
    <row r="136" spans="1:21" x14ac:dyDescent="0.2">
      <c r="A136" s="137">
        <f t="shared" si="4"/>
        <v>126</v>
      </c>
      <c r="B136" s="117" t="s">
        <v>262</v>
      </c>
      <c r="C136" s="163"/>
      <c r="D136" s="163"/>
      <c r="E136" s="163"/>
      <c r="G136" s="179"/>
      <c r="K136" s="189"/>
      <c r="L136" s="189"/>
      <c r="M136" s="189"/>
      <c r="N136" s="189"/>
      <c r="O136" s="189"/>
      <c r="P136" s="189"/>
      <c r="R136" s="179"/>
      <c r="S136" s="179"/>
      <c r="U136" s="174"/>
    </row>
    <row r="137" spans="1:21" x14ac:dyDescent="0.2">
      <c r="A137" s="137">
        <f t="shared" si="4"/>
        <v>127</v>
      </c>
      <c r="B137" s="181" t="s">
        <v>267</v>
      </c>
      <c r="C137" s="163">
        <v>14873</v>
      </c>
      <c r="D137" s="163">
        <v>16735.608435112266</v>
      </c>
      <c r="E137" s="163">
        <v>17029.178558746087</v>
      </c>
      <c r="G137" s="224">
        <f>'Exh CTM-6 (Tariff)'!D54</f>
        <v>11.98</v>
      </c>
      <c r="H137" s="42">
        <f>G137*(1+R137)</f>
        <v>15.574000000000002</v>
      </c>
      <c r="I137" s="42">
        <f>H137*(1+S137)</f>
        <v>20.246200000000002</v>
      </c>
      <c r="K137" s="174">
        <f>G137*C137</f>
        <v>178178.54</v>
      </c>
      <c r="L137" s="174">
        <f>G137*D137</f>
        <v>200492.58905264497</v>
      </c>
      <c r="M137" s="174">
        <f>G137*E137</f>
        <v>204009.55913377812</v>
      </c>
      <c r="N137" s="174"/>
      <c r="O137" s="174">
        <f>H137*D137</f>
        <v>260640.36576843847</v>
      </c>
      <c r="P137" s="174">
        <f>I137*E137</f>
        <v>344776.15493608505</v>
      </c>
      <c r="R137" s="3">
        <f>R88</f>
        <v>0.3</v>
      </c>
      <c r="S137" s="3">
        <f>S88</f>
        <v>0.3</v>
      </c>
      <c r="U137" s="141" t="s">
        <v>297</v>
      </c>
    </row>
    <row r="138" spans="1:21" x14ac:dyDescent="0.2">
      <c r="A138" s="137">
        <f t="shared" si="4"/>
        <v>128</v>
      </c>
      <c r="B138" s="181" t="s">
        <v>266</v>
      </c>
      <c r="C138" s="163">
        <v>10732</v>
      </c>
      <c r="D138" s="163">
        <v>12189.683656530047</v>
      </c>
      <c r="E138" s="163">
        <v>12408.942162061903</v>
      </c>
      <c r="G138" s="224">
        <f>'Exh CTM-6 (Tariff)'!D55</f>
        <v>7.9</v>
      </c>
      <c r="H138" s="42">
        <f>G138*(1+R138)</f>
        <v>10.270000000000001</v>
      </c>
      <c r="I138" s="42">
        <f>H138*(1+S138)</f>
        <v>13.351000000000003</v>
      </c>
      <c r="K138" s="174">
        <f>G138*C138</f>
        <v>84782.8</v>
      </c>
      <c r="L138" s="174">
        <f>G138*D138</f>
        <v>96298.500886587382</v>
      </c>
      <c r="M138" s="174">
        <f>G138*E138</f>
        <v>98030.643080289039</v>
      </c>
      <c r="N138" s="174"/>
      <c r="O138" s="174">
        <f>H138*D138</f>
        <v>125188.0511525636</v>
      </c>
      <c r="P138" s="174">
        <f>I138*E138</f>
        <v>165671.78680568849</v>
      </c>
      <c r="R138" s="3">
        <f>R137</f>
        <v>0.3</v>
      </c>
      <c r="S138" s="3">
        <f>S137</f>
        <v>0.3</v>
      </c>
      <c r="U138" s="141" t="s">
        <v>297</v>
      </c>
    </row>
    <row r="139" spans="1:21" x14ac:dyDescent="0.2">
      <c r="A139" s="137">
        <f t="shared" si="4"/>
        <v>129</v>
      </c>
      <c r="B139" s="175" t="s">
        <v>226</v>
      </c>
      <c r="C139" s="193">
        <f>SUM(C137:C138)</f>
        <v>25605</v>
      </c>
      <c r="D139" s="193">
        <f>SUM(D137:D138)</f>
        <v>28925.292091642314</v>
      </c>
      <c r="E139" s="193">
        <f>SUM(E137:E138)</f>
        <v>29438.12072080799</v>
      </c>
      <c r="G139" s="210"/>
      <c r="H139" s="210"/>
      <c r="I139" s="210"/>
      <c r="K139" s="196">
        <f>SUM(K137:K138)</f>
        <v>262961.34000000003</v>
      </c>
      <c r="L139" s="196">
        <f>SUM(L137:L138)</f>
        <v>296791.08993923233</v>
      </c>
      <c r="M139" s="196">
        <f>SUM(M137:M138)</f>
        <v>302040.20221406716</v>
      </c>
      <c r="N139" s="196"/>
      <c r="O139" s="196">
        <f>SUM(O137:O138)</f>
        <v>385828.41692100209</v>
      </c>
      <c r="P139" s="196">
        <f>SUM(P137:P138)</f>
        <v>510447.94174177351</v>
      </c>
      <c r="R139" s="179"/>
      <c r="S139" s="179"/>
      <c r="U139" s="178"/>
    </row>
    <row r="140" spans="1:21" x14ac:dyDescent="0.2">
      <c r="A140" s="137">
        <f t="shared" ref="A140:A203" si="6">A139+1</f>
        <v>130</v>
      </c>
      <c r="B140" s="175"/>
      <c r="C140" s="163"/>
      <c r="D140" s="163"/>
      <c r="E140" s="163"/>
      <c r="G140" s="210"/>
      <c r="H140" s="210"/>
      <c r="I140" s="210"/>
      <c r="K140" s="189"/>
      <c r="L140" s="189"/>
      <c r="M140" s="189"/>
      <c r="N140" s="189"/>
      <c r="O140" s="189"/>
      <c r="P140" s="189"/>
      <c r="R140" s="163"/>
      <c r="S140" s="163"/>
      <c r="U140" s="178"/>
    </row>
    <row r="141" spans="1:21" x14ac:dyDescent="0.2">
      <c r="A141" s="137">
        <f t="shared" si="6"/>
        <v>131</v>
      </c>
      <c r="C141" s="163"/>
      <c r="D141" s="163"/>
      <c r="E141" s="163"/>
      <c r="G141" s="210"/>
      <c r="H141" s="210"/>
      <c r="I141" s="210"/>
      <c r="K141" s="189"/>
      <c r="L141" s="189"/>
      <c r="M141" s="189"/>
      <c r="N141" s="189"/>
      <c r="O141" s="189"/>
      <c r="P141" s="189"/>
      <c r="R141" s="163"/>
      <c r="S141" s="163"/>
      <c r="U141" s="178"/>
    </row>
    <row r="142" spans="1:21" x14ac:dyDescent="0.2">
      <c r="A142" s="137">
        <f t="shared" si="6"/>
        <v>132</v>
      </c>
      <c r="B142" s="117" t="s">
        <v>258</v>
      </c>
      <c r="C142" s="289">
        <v>3222826</v>
      </c>
      <c r="D142" s="289">
        <v>3608811.6183828413</v>
      </c>
      <c r="E142" s="289">
        <v>3679893.8600294953</v>
      </c>
      <c r="G142" s="290">
        <f>'Exh CTM-6 (Tariff)'!D57</f>
        <v>1.2699999999999999E-3</v>
      </c>
      <c r="H142" s="47">
        <f>G142*(1+R142)</f>
        <v>1.6509999999999999E-3</v>
      </c>
      <c r="I142" s="47">
        <f>H142*(1+S142)</f>
        <v>2.1462999999999999E-3</v>
      </c>
      <c r="K142" s="174">
        <f>G142*C142</f>
        <v>4092.9890199999995</v>
      </c>
      <c r="L142" s="174">
        <f>G142*D142</f>
        <v>4583.1907553462079</v>
      </c>
      <c r="M142" s="174">
        <f>G142*E142</f>
        <v>4673.4652022374585</v>
      </c>
      <c r="N142" s="174"/>
      <c r="O142" s="174">
        <f>H142*D142</f>
        <v>5958.147981950071</v>
      </c>
      <c r="P142" s="174">
        <f>I142*E142</f>
        <v>7898.1561917813051</v>
      </c>
      <c r="R142" s="3">
        <f>R92</f>
        <v>0.3</v>
      </c>
      <c r="S142" s="3">
        <f>S92</f>
        <v>0.3</v>
      </c>
      <c r="U142" s="141" t="s">
        <v>237</v>
      </c>
    </row>
    <row r="143" spans="1:21" x14ac:dyDescent="0.2">
      <c r="A143" s="137">
        <f t="shared" si="6"/>
        <v>133</v>
      </c>
      <c r="B143" s="175" t="s">
        <v>226</v>
      </c>
      <c r="G143" s="226">
        <f>SUM(G142:G142)</f>
        <v>1.2699999999999999E-3</v>
      </c>
      <c r="H143" s="226">
        <f>SUM(H142:H142)</f>
        <v>1.6509999999999999E-3</v>
      </c>
      <c r="I143" s="226">
        <f>SUM(I142:I142)</f>
        <v>2.1462999999999999E-3</v>
      </c>
      <c r="K143" s="196">
        <f>SUM(K140:K142)</f>
        <v>4092.9890199999995</v>
      </c>
      <c r="L143" s="196">
        <f>SUM(L140:L142)</f>
        <v>4583.1907553462079</v>
      </c>
      <c r="M143" s="196">
        <f>SUM(M140:M142)</f>
        <v>4673.4652022374585</v>
      </c>
      <c r="N143" s="196"/>
      <c r="O143" s="196">
        <f>SUM(O140:O142)</f>
        <v>5958.147981950071</v>
      </c>
      <c r="P143" s="196">
        <f>SUM(P140:P142)</f>
        <v>7898.1561917813051</v>
      </c>
    </row>
    <row r="144" spans="1:21" x14ac:dyDescent="0.2">
      <c r="A144" s="137">
        <f t="shared" si="6"/>
        <v>134</v>
      </c>
      <c r="K144" s="189"/>
      <c r="L144" s="189"/>
      <c r="M144" s="189"/>
      <c r="N144" s="189"/>
      <c r="O144" s="189"/>
      <c r="P144" s="189"/>
    </row>
    <row r="145" spans="1:21" ht="12" thickBot="1" x14ac:dyDescent="0.25">
      <c r="A145" s="137">
        <f t="shared" si="6"/>
        <v>135</v>
      </c>
      <c r="B145" s="117" t="s">
        <v>225</v>
      </c>
      <c r="K145" s="227">
        <f>SUM(K143,K139,K135,K129)</f>
        <v>899939.75151999993</v>
      </c>
      <c r="L145" s="227">
        <f>SUM(L143,L139,L135,L129)</f>
        <v>1010690.0176259076</v>
      </c>
      <c r="M145" s="227">
        <f>SUM(M143,M139,M135,M129)</f>
        <v>1032566.5640828508</v>
      </c>
      <c r="N145" s="227"/>
      <c r="O145" s="227">
        <f>SUM(O143,O139,O135,O129)</f>
        <v>1289547.1597196055</v>
      </c>
      <c r="P145" s="227">
        <f>SUM(P143,P139,P135,P129)</f>
        <v>1439788.3603567537</v>
      </c>
    </row>
    <row r="146" spans="1:21" ht="12" thickTop="1" x14ac:dyDescent="0.2">
      <c r="A146" s="137">
        <f t="shared" si="6"/>
        <v>136</v>
      </c>
      <c r="B146" s="288" t="s">
        <v>160</v>
      </c>
      <c r="C146" s="163">
        <v>0</v>
      </c>
      <c r="K146" s="163">
        <v>1.2484800000675023</v>
      </c>
      <c r="L146" s="163">
        <v>0</v>
      </c>
      <c r="M146" s="163">
        <v>0</v>
      </c>
      <c r="N146" s="137"/>
      <c r="O146" s="189"/>
      <c r="P146" s="189"/>
    </row>
    <row r="147" spans="1:21" ht="12" thickBot="1" x14ac:dyDescent="0.25">
      <c r="A147" s="137">
        <f t="shared" si="6"/>
        <v>137</v>
      </c>
      <c r="K147" s="189"/>
      <c r="L147" s="189"/>
      <c r="M147" s="189"/>
      <c r="N147" s="137"/>
      <c r="O147" s="189"/>
      <c r="P147" s="189"/>
    </row>
    <row r="148" spans="1:21" ht="15.75" x14ac:dyDescent="0.25">
      <c r="A148" s="137">
        <f t="shared" si="6"/>
        <v>138</v>
      </c>
      <c r="B148" s="228" t="s">
        <v>296</v>
      </c>
      <c r="C148" s="229"/>
      <c r="D148" s="229"/>
      <c r="E148" s="229"/>
      <c r="F148" s="229"/>
      <c r="G148" s="230" t="s">
        <v>295</v>
      </c>
      <c r="H148" s="231" t="s">
        <v>164</v>
      </c>
      <c r="I148" s="232" t="s">
        <v>163</v>
      </c>
      <c r="K148" s="377"/>
      <c r="L148" s="380"/>
      <c r="M148" s="380"/>
      <c r="N148" s="380"/>
      <c r="O148" s="380"/>
      <c r="P148" s="380"/>
    </row>
    <row r="149" spans="1:21" ht="12" thickBot="1" x14ac:dyDescent="0.25">
      <c r="A149" s="137">
        <f t="shared" si="6"/>
        <v>139</v>
      </c>
      <c r="B149" s="233"/>
      <c r="G149" s="237"/>
      <c r="H149" s="238"/>
      <c r="I149" s="239"/>
      <c r="K149" s="173"/>
      <c r="L149" s="173"/>
      <c r="M149" s="173"/>
      <c r="N149" s="165"/>
      <c r="O149" s="173"/>
      <c r="P149" s="173"/>
    </row>
    <row r="150" spans="1:21" x14ac:dyDescent="0.2">
      <c r="A150" s="137">
        <f t="shared" si="6"/>
        <v>140</v>
      </c>
      <c r="B150" s="233" t="s">
        <v>294</v>
      </c>
      <c r="G150" s="235">
        <f>'Exh CTM-6 (Tariff)'!D52</f>
        <v>2.4400000000000002E-2</v>
      </c>
      <c r="H150" s="178">
        <f>G150</f>
        <v>2.4400000000000002E-2</v>
      </c>
      <c r="I150" s="234">
        <f>G150</f>
        <v>2.4400000000000002E-2</v>
      </c>
      <c r="K150" s="189"/>
      <c r="L150" s="189"/>
      <c r="M150" s="189"/>
      <c r="O150" s="189"/>
      <c r="P150" s="189"/>
    </row>
    <row r="151" spans="1:21" x14ac:dyDescent="0.2">
      <c r="A151" s="137">
        <f t="shared" si="6"/>
        <v>141</v>
      </c>
      <c r="B151" s="233" t="s">
        <v>293</v>
      </c>
      <c r="G151" s="235">
        <f t="shared" ref="G151:I152" si="7">+G150</f>
        <v>2.4400000000000002E-2</v>
      </c>
      <c r="H151" s="178">
        <f t="shared" si="7"/>
        <v>2.4400000000000002E-2</v>
      </c>
      <c r="I151" s="234">
        <f t="shared" si="7"/>
        <v>2.4400000000000002E-2</v>
      </c>
      <c r="K151" s="189"/>
      <c r="L151" s="189"/>
      <c r="M151" s="189"/>
      <c r="O151" s="189"/>
      <c r="P151" s="189"/>
    </row>
    <row r="152" spans="1:21" x14ac:dyDescent="0.2">
      <c r="A152" s="137">
        <f t="shared" si="6"/>
        <v>142</v>
      </c>
      <c r="B152" s="233" t="s">
        <v>292</v>
      </c>
      <c r="G152" s="235">
        <f t="shared" si="7"/>
        <v>2.4400000000000002E-2</v>
      </c>
      <c r="H152" s="178">
        <f t="shared" si="7"/>
        <v>2.4400000000000002E-2</v>
      </c>
      <c r="I152" s="234">
        <f t="shared" si="7"/>
        <v>2.4400000000000002E-2</v>
      </c>
      <c r="K152" s="189"/>
      <c r="L152" s="189"/>
      <c r="M152" s="189"/>
      <c r="O152" s="189"/>
      <c r="P152" s="189"/>
      <c r="R152" s="137"/>
      <c r="S152" s="137"/>
      <c r="T152" s="137"/>
      <c r="U152" s="137"/>
    </row>
    <row r="153" spans="1:21" ht="12" thickBot="1" x14ac:dyDescent="0.25">
      <c r="A153" s="137">
        <f t="shared" si="6"/>
        <v>143</v>
      </c>
      <c r="B153" s="236"/>
      <c r="C153" s="123"/>
      <c r="D153" s="123"/>
      <c r="E153" s="123"/>
      <c r="F153" s="123"/>
      <c r="G153" s="237"/>
      <c r="H153" s="238"/>
      <c r="I153" s="239"/>
      <c r="J153" s="191"/>
      <c r="K153" s="191"/>
      <c r="L153" s="191"/>
      <c r="M153" s="191"/>
      <c r="N153" s="191"/>
      <c r="O153" s="191"/>
      <c r="P153" s="191"/>
      <c r="Q153" s="191"/>
      <c r="R153" s="191"/>
      <c r="S153" s="191"/>
      <c r="T153" s="191"/>
      <c r="U153" s="191"/>
    </row>
    <row r="154" spans="1:21" x14ac:dyDescent="0.2">
      <c r="A154" s="137">
        <f t="shared" si="6"/>
        <v>144</v>
      </c>
      <c r="L154" s="189"/>
      <c r="M154" s="189"/>
    </row>
    <row r="155" spans="1:21" x14ac:dyDescent="0.2">
      <c r="A155" s="137">
        <f t="shared" si="6"/>
        <v>145</v>
      </c>
      <c r="B155" s="248" t="str">
        <f>CONCATENATE("SCHEDULE"," ", 'Exh CTM-6 (Tariff)'!B59)</f>
        <v>SCHEDULE 29</v>
      </c>
    </row>
    <row r="156" spans="1:21" x14ac:dyDescent="0.2">
      <c r="A156" s="137">
        <f t="shared" si="6"/>
        <v>146</v>
      </c>
      <c r="B156" s="141" t="s">
        <v>291</v>
      </c>
    </row>
    <row r="157" spans="1:21" x14ac:dyDescent="0.2">
      <c r="A157" s="137">
        <f t="shared" si="6"/>
        <v>147</v>
      </c>
    </row>
    <row r="158" spans="1:21" x14ac:dyDescent="0.2">
      <c r="A158" s="137">
        <f t="shared" si="6"/>
        <v>148</v>
      </c>
      <c r="B158" s="117" t="s">
        <v>55</v>
      </c>
    </row>
    <row r="159" spans="1:21" x14ac:dyDescent="0.2">
      <c r="A159" s="137">
        <f t="shared" si="6"/>
        <v>149</v>
      </c>
      <c r="B159" s="117" t="s">
        <v>290</v>
      </c>
      <c r="C159" s="163">
        <v>2408</v>
      </c>
      <c r="D159" s="163">
        <v>2371</v>
      </c>
      <c r="E159" s="163">
        <v>2374</v>
      </c>
      <c r="G159" s="210">
        <f>'Exh CTM-6 (Tariff)'!D60</f>
        <v>9.99</v>
      </c>
      <c r="H159" s="42">
        <f>G159*(1+R159)</f>
        <v>12.987</v>
      </c>
      <c r="I159" s="42">
        <f>H159*(1+S159)</f>
        <v>16.883100000000002</v>
      </c>
      <c r="K159" s="174">
        <f>G159*C159</f>
        <v>24055.920000000002</v>
      </c>
      <c r="L159" s="174">
        <f>G159*D159</f>
        <v>23686.29</v>
      </c>
      <c r="M159" s="174">
        <f>G159*E159</f>
        <v>23716.260000000002</v>
      </c>
      <c r="N159" s="174"/>
      <c r="O159" s="174">
        <f>H159*D159</f>
        <v>30792.177</v>
      </c>
      <c r="P159" s="174">
        <f>I159*E159</f>
        <v>40080.479400000004</v>
      </c>
      <c r="R159" s="3">
        <v>0.3</v>
      </c>
      <c r="S159" s="3">
        <f>R159</f>
        <v>0.3</v>
      </c>
      <c r="U159" s="117" t="s">
        <v>264</v>
      </c>
    </row>
    <row r="160" spans="1:21" x14ac:dyDescent="0.2">
      <c r="A160" s="137">
        <f t="shared" si="6"/>
        <v>150</v>
      </c>
      <c r="B160" s="117" t="s">
        <v>289</v>
      </c>
      <c r="C160" s="163">
        <v>5641</v>
      </c>
      <c r="D160" s="163">
        <v>5554</v>
      </c>
      <c r="E160" s="163">
        <v>5560</v>
      </c>
      <c r="G160" s="210">
        <f>'Exh CTM-6 (Tariff)'!D61</f>
        <v>25.36</v>
      </c>
      <c r="H160" s="42">
        <f>G160*(1+R160)</f>
        <v>32.968000000000004</v>
      </c>
      <c r="I160" s="42">
        <f>H160*(1+S160)</f>
        <v>42.858400000000003</v>
      </c>
      <c r="K160" s="174">
        <f>G160*C160</f>
        <v>143055.76</v>
      </c>
      <c r="L160" s="174">
        <f>G160*D160</f>
        <v>140849.44</v>
      </c>
      <c r="M160" s="174">
        <f>G160*E160</f>
        <v>141001.60000000001</v>
      </c>
      <c r="N160" s="174"/>
      <c r="O160" s="174">
        <f>H160*D160</f>
        <v>183104.27200000003</v>
      </c>
      <c r="P160" s="174">
        <f>I160*E160</f>
        <v>238292.70400000003</v>
      </c>
      <c r="R160" s="49">
        <f>R159</f>
        <v>0.3</v>
      </c>
      <c r="S160" s="49">
        <f>S159</f>
        <v>0.3</v>
      </c>
      <c r="U160" s="117" t="s">
        <v>264</v>
      </c>
    </row>
    <row r="161" spans="1:21" x14ac:dyDescent="0.2">
      <c r="A161" s="137">
        <f t="shared" si="6"/>
        <v>151</v>
      </c>
      <c r="B161" s="175" t="s">
        <v>226</v>
      </c>
      <c r="C161" s="193">
        <f>SUM(C159:C160)</f>
        <v>8049</v>
      </c>
      <c r="D161" s="193">
        <f>SUM(D159:D160)</f>
        <v>7925</v>
      </c>
      <c r="E161" s="193">
        <f>SUM(E159:E160)</f>
        <v>7934</v>
      </c>
      <c r="H161" s="42"/>
      <c r="I161" s="42"/>
      <c r="K161" s="177">
        <f>SUM(K159:K160)</f>
        <v>167111.68000000002</v>
      </c>
      <c r="L161" s="177">
        <f>SUM(L159:L160)</f>
        <v>164535.73000000001</v>
      </c>
      <c r="M161" s="177">
        <f>SUM(M159:M160)</f>
        <v>164717.86000000002</v>
      </c>
      <c r="N161" s="177"/>
      <c r="O161" s="177">
        <f>SUM(O159:O160)</f>
        <v>213896.44900000002</v>
      </c>
      <c r="P161" s="177">
        <f>SUM(P159:P160)</f>
        <v>278373.18340000004</v>
      </c>
      <c r="R161" s="178"/>
      <c r="S161" s="178"/>
      <c r="T161" s="163"/>
    </row>
    <row r="162" spans="1:21" x14ac:dyDescent="0.2">
      <c r="A162" s="137">
        <f t="shared" si="6"/>
        <v>152</v>
      </c>
      <c r="B162" s="117" t="s">
        <v>263</v>
      </c>
      <c r="C162" s="163"/>
      <c r="D162" s="163"/>
      <c r="E162" s="163"/>
    </row>
    <row r="163" spans="1:21" x14ac:dyDescent="0.2">
      <c r="A163" s="137">
        <f t="shared" si="6"/>
        <v>153</v>
      </c>
      <c r="B163" s="181" t="s">
        <v>288</v>
      </c>
      <c r="C163" s="163">
        <v>2226431</v>
      </c>
      <c r="D163" s="163">
        <v>2661144.0277310261</v>
      </c>
      <c r="E163" s="163">
        <v>2648258.454874211</v>
      </c>
      <c r="G163" s="182">
        <f>'Exh CTM-6 (Tariff)'!D63</f>
        <v>9.1401999999999997E-2</v>
      </c>
      <c r="H163" s="182">
        <f t="shared" ref="H163:I166" si="8">G163+R163</f>
        <v>0.11094529924015289</v>
      </c>
      <c r="I163" s="182">
        <f t="shared" si="8"/>
        <v>0.11564261362040162</v>
      </c>
      <c r="J163" s="174"/>
      <c r="K163" s="174">
        <f>G163*C163</f>
        <v>203500.246262</v>
      </c>
      <c r="L163" s="174">
        <f>G163*D163</f>
        <v>243233.88642267123</v>
      </c>
      <c r="M163" s="174">
        <f>G163*E163</f>
        <v>242056.11929241262</v>
      </c>
      <c r="N163" s="174"/>
      <c r="O163" s="174">
        <f t="shared" ref="O163:P166" si="9">H163*D163</f>
        <v>295241.42047776445</v>
      </c>
      <c r="P163" s="174">
        <f t="shared" si="9"/>
        <v>306251.52926398022</v>
      </c>
      <c r="Q163" s="174"/>
      <c r="R163" s="182">
        <f>(R180-(O161-L161)-(O175-L175)-(O177-L177))/D171</f>
        <v>1.9543299240152898E-2</v>
      </c>
      <c r="S163" s="182">
        <f>((S180+R180)-(P161-M161)-(P175-M175)-(P177-M177))/E171-R163</f>
        <v>4.6973143802487363E-3</v>
      </c>
      <c r="U163" s="141" t="s">
        <v>230</v>
      </c>
    </row>
    <row r="164" spans="1:21" x14ac:dyDescent="0.2">
      <c r="A164" s="137">
        <f t="shared" si="6"/>
        <v>154</v>
      </c>
      <c r="B164" s="181" t="s">
        <v>287</v>
      </c>
      <c r="C164" s="163">
        <v>138829</v>
      </c>
      <c r="D164" s="163">
        <v>116141.4176140801</v>
      </c>
      <c r="E164" s="163">
        <v>115560.92791562511</v>
      </c>
      <c r="G164" s="182">
        <f>'Exh CTM-6 (Tariff)'!D64</f>
        <v>6.9417000000000006E-2</v>
      </c>
      <c r="H164" s="182">
        <f t="shared" si="8"/>
        <v>8.8960299240152904E-2</v>
      </c>
      <c r="I164" s="182">
        <f t="shared" si="8"/>
        <v>9.3657613620401647E-2</v>
      </c>
      <c r="J164" s="174"/>
      <c r="K164" s="174">
        <f>G164*C164</f>
        <v>9637.0926930000005</v>
      </c>
      <c r="L164" s="174">
        <f>G164*D164</f>
        <v>8062.1887865165991</v>
      </c>
      <c r="M164" s="174">
        <f>G164*E164</f>
        <v>8021.8929331189493</v>
      </c>
      <c r="N164" s="174"/>
      <c r="O164" s="174">
        <f t="shared" si="9"/>
        <v>10331.975265124131</v>
      </c>
      <c r="P164" s="174">
        <f t="shared" si="9"/>
        <v>10823.160736336704</v>
      </c>
      <c r="Q164" s="174"/>
      <c r="R164" s="182">
        <f>R163</f>
        <v>1.9543299240152898E-2</v>
      </c>
      <c r="S164" s="182">
        <f>S163</f>
        <v>4.6973143802487363E-3</v>
      </c>
      <c r="T164" s="174"/>
      <c r="U164" s="141" t="s">
        <v>230</v>
      </c>
    </row>
    <row r="165" spans="1:21" x14ac:dyDescent="0.2">
      <c r="A165" s="137">
        <f t="shared" si="6"/>
        <v>155</v>
      </c>
      <c r="B165" s="181" t="s">
        <v>286</v>
      </c>
      <c r="C165" s="163">
        <v>11632056</v>
      </c>
      <c r="D165" s="163">
        <v>11466316.070467897</v>
      </c>
      <c r="E165" s="163">
        <v>11396563.38221856</v>
      </c>
      <c r="G165" s="182">
        <f>'Exh CTM-6 (Tariff)'!D65</f>
        <v>6.3336000000000003E-2</v>
      </c>
      <c r="H165" s="182">
        <f t="shared" si="8"/>
        <v>8.2879299240152901E-2</v>
      </c>
      <c r="I165" s="182">
        <f t="shared" si="8"/>
        <v>8.7576613620401644E-2</v>
      </c>
      <c r="J165" s="174"/>
      <c r="K165" s="174">
        <f>G165*C165</f>
        <v>736727.89881600009</v>
      </c>
      <c r="L165" s="174">
        <f>G165*D165</f>
        <v>726230.59463915473</v>
      </c>
      <c r="M165" s="174">
        <f>G165*E165</f>
        <v>721812.73837619473</v>
      </c>
      <c r="N165" s="174"/>
      <c r="O165" s="174">
        <f t="shared" si="9"/>
        <v>950320.24078648293</v>
      </c>
      <c r="P165" s="174">
        <f t="shared" si="9"/>
        <v>998072.42792497261</v>
      </c>
      <c r="Q165" s="174"/>
      <c r="R165" s="182">
        <f>R164</f>
        <v>1.9543299240152898E-2</v>
      </c>
      <c r="S165" s="182">
        <f>S163</f>
        <v>4.6973143802487363E-3</v>
      </c>
      <c r="T165" s="174"/>
      <c r="U165" s="141" t="s">
        <v>230</v>
      </c>
    </row>
    <row r="166" spans="1:21" x14ac:dyDescent="0.2">
      <c r="A166" s="137">
        <f t="shared" si="6"/>
        <v>156</v>
      </c>
      <c r="B166" s="181" t="s">
        <v>285</v>
      </c>
      <c r="C166" s="163">
        <v>813796</v>
      </c>
      <c r="D166" s="163">
        <v>686458.11507446249</v>
      </c>
      <c r="E166" s="163">
        <v>682643.59650109964</v>
      </c>
      <c r="G166" s="182">
        <f>'Exh CTM-6 (Tariff)'!D66</f>
        <v>5.4267999999999997E-2</v>
      </c>
      <c r="H166" s="182">
        <f t="shared" si="8"/>
        <v>7.3811299240152894E-2</v>
      </c>
      <c r="I166" s="182">
        <f t="shared" si="8"/>
        <v>7.8508613620401624E-2</v>
      </c>
      <c r="J166" s="174"/>
      <c r="K166" s="174">
        <f>G166*C166</f>
        <v>44163.081328</v>
      </c>
      <c r="L166" s="174">
        <f>G166*D166</f>
        <v>37252.708988860926</v>
      </c>
      <c r="M166" s="174">
        <f>G166*E166</f>
        <v>37045.702694921674</v>
      </c>
      <c r="N166" s="174"/>
      <c r="O166" s="174">
        <f t="shared" si="9"/>
        <v>50668.365347592458</v>
      </c>
      <c r="P166" s="174">
        <f t="shared" si="9"/>
        <v>53593.402358146181</v>
      </c>
      <c r="Q166" s="174"/>
      <c r="R166" s="240">
        <f>R165</f>
        <v>1.9543299240152898E-2</v>
      </c>
      <c r="S166" s="240">
        <f>S165</f>
        <v>4.6973143802487363E-3</v>
      </c>
      <c r="T166" s="174"/>
      <c r="U166" s="141" t="s">
        <v>230</v>
      </c>
    </row>
    <row r="167" spans="1:21" x14ac:dyDescent="0.2">
      <c r="A167" s="137">
        <f t="shared" si="6"/>
        <v>157</v>
      </c>
      <c r="B167" s="175" t="s">
        <v>226</v>
      </c>
      <c r="C167" s="193">
        <f>SUM(C163:C166)</f>
        <v>14811112</v>
      </c>
      <c r="D167" s="193">
        <f>SUM(D163:D166)</f>
        <v>14930059.630887466</v>
      </c>
      <c r="E167" s="193">
        <f>SUM(E163:E166)</f>
        <v>14843026.361509496</v>
      </c>
      <c r="G167" s="182"/>
      <c r="H167" s="174"/>
      <c r="I167" s="174"/>
      <c r="J167" s="174"/>
      <c r="K167" s="196">
        <f>SUM(K163:K166)</f>
        <v>994028.31909900019</v>
      </c>
      <c r="L167" s="196">
        <f>SUM(L163:L166)</f>
        <v>1014779.3788372035</v>
      </c>
      <c r="M167" s="196">
        <f>SUM(M163:M166)</f>
        <v>1008936.453296648</v>
      </c>
      <c r="N167" s="196"/>
      <c r="O167" s="196">
        <f>SUM(O163:O166)</f>
        <v>1306562.001876964</v>
      </c>
      <c r="P167" s="196">
        <f>SUM(P163:P166)</f>
        <v>1368740.5202834357</v>
      </c>
      <c r="Q167" s="174"/>
      <c r="R167" s="174"/>
      <c r="S167" s="174"/>
      <c r="T167" s="174"/>
    </row>
    <row r="168" spans="1:21" x14ac:dyDescent="0.2">
      <c r="A168" s="137">
        <f t="shared" si="6"/>
        <v>158</v>
      </c>
      <c r="B168" s="181" t="s">
        <v>284</v>
      </c>
      <c r="C168" s="163">
        <v>0</v>
      </c>
      <c r="D168" s="163">
        <v>0</v>
      </c>
      <c r="E168" s="163">
        <v>0</v>
      </c>
      <c r="K168" s="174">
        <f>G168*C168</f>
        <v>0</v>
      </c>
      <c r="L168" s="174">
        <f>G168*D168</f>
        <v>0</v>
      </c>
      <c r="M168" s="174">
        <f>G168*E168</f>
        <v>0</v>
      </c>
      <c r="N168" s="174"/>
      <c r="O168" s="174">
        <f t="shared" ref="O168:P170" si="10">H168*D168</f>
        <v>0</v>
      </c>
      <c r="P168" s="174">
        <f t="shared" si="10"/>
        <v>0</v>
      </c>
    </row>
    <row r="169" spans="1:21" x14ac:dyDescent="0.2">
      <c r="A169" s="137">
        <f t="shared" si="6"/>
        <v>159</v>
      </c>
      <c r="B169" s="181" t="s">
        <v>283</v>
      </c>
      <c r="C169" s="163">
        <v>0</v>
      </c>
      <c r="D169" s="163">
        <v>0</v>
      </c>
      <c r="E169" s="163">
        <v>0</v>
      </c>
      <c r="K169" s="174">
        <f>G169*C169</f>
        <v>0</v>
      </c>
      <c r="L169" s="174">
        <f>G169*D169</f>
        <v>0</v>
      </c>
      <c r="M169" s="174">
        <f>G169*E169</f>
        <v>0</v>
      </c>
      <c r="N169" s="174"/>
      <c r="O169" s="174">
        <f t="shared" si="10"/>
        <v>0</v>
      </c>
      <c r="P169" s="174">
        <f t="shared" si="10"/>
        <v>0</v>
      </c>
    </row>
    <row r="170" spans="1:21" ht="12" customHeight="1" x14ac:dyDescent="0.2">
      <c r="A170" s="137">
        <f t="shared" si="6"/>
        <v>160</v>
      </c>
      <c r="B170" s="184" t="s">
        <v>228</v>
      </c>
      <c r="C170" s="163">
        <v>-1239256</v>
      </c>
      <c r="D170" s="163">
        <v>0</v>
      </c>
      <c r="E170" s="163">
        <v>0</v>
      </c>
      <c r="K170" s="163">
        <v>-85854</v>
      </c>
      <c r="L170" s="174">
        <f>G170*D170</f>
        <v>0</v>
      </c>
      <c r="M170" s="174">
        <f>G170*E170</f>
        <v>0</v>
      </c>
      <c r="N170" s="174"/>
      <c r="O170" s="174">
        <f t="shared" si="10"/>
        <v>0</v>
      </c>
      <c r="P170" s="174">
        <f t="shared" si="10"/>
        <v>0</v>
      </c>
    </row>
    <row r="171" spans="1:21" x14ac:dyDescent="0.2">
      <c r="A171" s="137">
        <f t="shared" si="6"/>
        <v>161</v>
      </c>
      <c r="B171" s="175" t="s">
        <v>226</v>
      </c>
      <c r="C171" s="193">
        <f>SUM(C167:C170)</f>
        <v>13571856</v>
      </c>
      <c r="D171" s="193">
        <f>SUM(D167:D170)</f>
        <v>14930059.630887466</v>
      </c>
      <c r="E171" s="193">
        <f>SUM(E167:E170)</f>
        <v>14843026.361509496</v>
      </c>
      <c r="K171" s="196">
        <f>SUM(K167:K170)</f>
        <v>908174.31909900019</v>
      </c>
      <c r="L171" s="196">
        <f>SUM(L167:L170)</f>
        <v>1014779.3788372035</v>
      </c>
      <c r="M171" s="196">
        <f>SUM(M167:M170)</f>
        <v>1008936.453296648</v>
      </c>
      <c r="N171" s="196"/>
      <c r="O171" s="196">
        <f>SUM(O167:O170)</f>
        <v>1306562.001876964</v>
      </c>
      <c r="P171" s="196">
        <f>SUM(P167:P170)</f>
        <v>1368740.5202834357</v>
      </c>
    </row>
    <row r="172" spans="1:21" x14ac:dyDescent="0.2">
      <c r="A172" s="137">
        <f t="shared" si="6"/>
        <v>162</v>
      </c>
      <c r="B172" s="117" t="s">
        <v>262</v>
      </c>
      <c r="C172" s="163"/>
      <c r="D172" s="163"/>
      <c r="E172" s="163"/>
    </row>
    <row r="173" spans="1:21" x14ac:dyDescent="0.2">
      <c r="A173" s="137">
        <f t="shared" si="6"/>
        <v>163</v>
      </c>
      <c r="B173" s="181" t="s">
        <v>282</v>
      </c>
      <c r="C173" s="163">
        <v>7084</v>
      </c>
      <c r="D173" s="163">
        <v>1907.5395419748068</v>
      </c>
      <c r="E173" s="163">
        <v>1887.5913638261097</v>
      </c>
      <c r="G173" s="224">
        <f>'Exh CTM-6 (Tariff)'!D69</f>
        <v>9.2200000000000006</v>
      </c>
      <c r="H173" s="42">
        <f>G173*(1+R173)</f>
        <v>11.986000000000001</v>
      </c>
      <c r="I173" s="42">
        <f>H173*(1+S173)</f>
        <v>15.581800000000001</v>
      </c>
      <c r="J173" s="174"/>
      <c r="K173" s="174">
        <f>G173*C173</f>
        <v>65314.48</v>
      </c>
      <c r="L173" s="174">
        <f>G173*D173</f>
        <v>17587.514577007718</v>
      </c>
      <c r="M173" s="174">
        <f>G173*E173</f>
        <v>17403.592374476731</v>
      </c>
      <c r="N173" s="174"/>
      <c r="O173" s="174">
        <f>H173*D173</f>
        <v>22863.768950110036</v>
      </c>
      <c r="P173" s="174">
        <f>I173*E173</f>
        <v>29412.07111286568</v>
      </c>
      <c r="Q173" s="174"/>
      <c r="R173" s="3">
        <v>0.3</v>
      </c>
      <c r="S173" s="3">
        <f>R173</f>
        <v>0.3</v>
      </c>
      <c r="T173" s="174"/>
      <c r="U173" s="141" t="s">
        <v>239</v>
      </c>
    </row>
    <row r="174" spans="1:21" x14ac:dyDescent="0.2">
      <c r="A174" s="137">
        <f t="shared" si="6"/>
        <v>164</v>
      </c>
      <c r="B174" s="181" t="s">
        <v>281</v>
      </c>
      <c r="C174" s="163">
        <v>954</v>
      </c>
      <c r="D174" s="163">
        <v>4451.6088366532149</v>
      </c>
      <c r="E174" s="163">
        <v>4425.0311555397293</v>
      </c>
      <c r="G174" s="224">
        <f>'Exh CTM-6 (Tariff)'!D70</f>
        <v>4.54</v>
      </c>
      <c r="H174" s="42">
        <f>G174*(1+R174)</f>
        <v>5.9020000000000001</v>
      </c>
      <c r="I174" s="42">
        <f>H174*(1+S174)</f>
        <v>7.6726000000000001</v>
      </c>
      <c r="J174" s="174"/>
      <c r="K174" s="174">
        <f>G174*C174</f>
        <v>4331.16</v>
      </c>
      <c r="L174" s="174">
        <f>G174*D174</f>
        <v>20210.304118405595</v>
      </c>
      <c r="M174" s="174">
        <f>G174*E174</f>
        <v>20089.64144615037</v>
      </c>
      <c r="N174" s="174"/>
      <c r="O174" s="174">
        <f>H174*D174</f>
        <v>26273.395353927273</v>
      </c>
      <c r="P174" s="174">
        <f>I174*E174</f>
        <v>33951.494043994127</v>
      </c>
      <c r="Q174" s="174"/>
      <c r="R174" s="49">
        <f>R173</f>
        <v>0.3</v>
      </c>
      <c r="S174" s="49">
        <f>S173</f>
        <v>0.3</v>
      </c>
      <c r="T174" s="174"/>
      <c r="U174" s="141" t="s">
        <v>239</v>
      </c>
    </row>
    <row r="175" spans="1:21" x14ac:dyDescent="0.2">
      <c r="A175" s="137">
        <f t="shared" si="6"/>
        <v>165</v>
      </c>
      <c r="B175" s="175" t="s">
        <v>226</v>
      </c>
      <c r="C175" s="193">
        <f>SUM(C173:C174)</f>
        <v>8038</v>
      </c>
      <c r="D175" s="193">
        <f>SUM(D173:D174)</f>
        <v>6359.1483786280214</v>
      </c>
      <c r="E175" s="193">
        <f>SUM(E173:E174)</f>
        <v>6312.6225193658393</v>
      </c>
      <c r="G175" s="179"/>
      <c r="K175" s="196">
        <f>SUM(K173:K174)</f>
        <v>69645.64</v>
      </c>
      <c r="L175" s="196">
        <f>SUM(L173:L174)</f>
        <v>37797.818695413313</v>
      </c>
      <c r="M175" s="196">
        <f>SUM(M173:M174)</f>
        <v>37493.233820627102</v>
      </c>
      <c r="N175" s="196"/>
      <c r="O175" s="196">
        <f>SUM(O173:O174)</f>
        <v>49137.164304037309</v>
      </c>
      <c r="P175" s="196">
        <f>SUM(P173:P174)</f>
        <v>63363.565156859811</v>
      </c>
    </row>
    <row r="176" spans="1:21" x14ac:dyDescent="0.2">
      <c r="A176" s="137">
        <f t="shared" si="6"/>
        <v>166</v>
      </c>
      <c r="C176" s="163"/>
      <c r="D176" s="163"/>
      <c r="E176" s="163"/>
    </row>
    <row r="177" spans="1:21" x14ac:dyDescent="0.2">
      <c r="A177" s="137">
        <f t="shared" si="6"/>
        <v>167</v>
      </c>
      <c r="B177" s="117" t="s">
        <v>258</v>
      </c>
      <c r="C177" s="163">
        <v>402195</v>
      </c>
      <c r="D177" s="163">
        <v>367759.22697090555</v>
      </c>
      <c r="E177" s="163">
        <v>365655.5514869201</v>
      </c>
      <c r="G177" s="290">
        <f>'Exh CTM-6 (Tariff)'!D72</f>
        <v>2.9299999999999999E-3</v>
      </c>
      <c r="H177" s="47">
        <f>G177*(1+R177)</f>
        <v>3.8089999999999999E-3</v>
      </c>
      <c r="I177" s="47">
        <f>H177*(1+S177)</f>
        <v>4.9516999999999999E-3</v>
      </c>
      <c r="J177" s="174"/>
      <c r="K177" s="174">
        <f>G177*C177</f>
        <v>1178.4313499999998</v>
      </c>
      <c r="L177" s="174">
        <f>G177*D177</f>
        <v>1077.5345350247533</v>
      </c>
      <c r="M177" s="174">
        <f>G177*E177</f>
        <v>1071.3707658566759</v>
      </c>
      <c r="N177" s="174"/>
      <c r="O177" s="174">
        <f>H177*D177</f>
        <v>1400.7948955321792</v>
      </c>
      <c r="P177" s="174">
        <f>I177*E177</f>
        <v>1810.6165942977823</v>
      </c>
      <c r="Q177" s="174"/>
      <c r="R177" s="3">
        <v>0.3</v>
      </c>
      <c r="S177" s="3">
        <f>R177</f>
        <v>0.3</v>
      </c>
      <c r="T177" s="174"/>
      <c r="U177" s="141" t="s">
        <v>237</v>
      </c>
    </row>
    <row r="178" spans="1:21" x14ac:dyDescent="0.2">
      <c r="A178" s="137">
        <f t="shared" si="6"/>
        <v>168</v>
      </c>
      <c r="C178" s="163"/>
      <c r="D178" s="163"/>
      <c r="E178" s="163"/>
      <c r="G178" s="163"/>
    </row>
    <row r="179" spans="1:21" ht="12" thickBot="1" x14ac:dyDescent="0.25">
      <c r="A179" s="137">
        <f t="shared" si="6"/>
        <v>169</v>
      </c>
      <c r="B179" s="117" t="s">
        <v>225</v>
      </c>
      <c r="C179" s="163"/>
      <c r="D179" s="163"/>
      <c r="E179" s="241" t="s">
        <v>280</v>
      </c>
      <c r="G179" s="199">
        <f>ROUND(SUM(K163,K165)/SUM($C$163,$C$165),6)</f>
        <v>6.7845000000000003E-2</v>
      </c>
      <c r="H179" s="199">
        <f>ROUND(SUM(O163,O165)/SUM($D$163,$D$165),6)</f>
        <v>8.8165999999999994E-2</v>
      </c>
      <c r="I179" s="199">
        <f>ROUND(SUM(P163,P165)/SUM($E$163,$E$165),6)</f>
        <v>9.2868999999999993E-2</v>
      </c>
      <c r="K179" s="188">
        <f>SUM(K161,K171,K175,K177)</f>
        <v>1146110.070449</v>
      </c>
      <c r="L179" s="188">
        <f>SUM(L161,L171,L175,L177)</f>
        <v>1218190.4620676418</v>
      </c>
      <c r="M179" s="188">
        <f>SUM(M161,M171,M175,M177)</f>
        <v>1212218.9178831319</v>
      </c>
      <c r="N179" s="188"/>
      <c r="O179" s="188">
        <f>SUM(O161,O171,O175,O177)</f>
        <v>1570996.4100765334</v>
      </c>
      <c r="P179" s="188">
        <f>SUM(P161,P171,P175,P177)</f>
        <v>1712287.8854345933</v>
      </c>
      <c r="R179" s="188">
        <f>'Exh CTM-6 (Rate Spread)'!U15</f>
        <v>1570996.4100765337</v>
      </c>
      <c r="S179" s="188">
        <f>'Exh CTM-6 (Rate Spread)'!AB15</f>
        <v>1712287.8854345933</v>
      </c>
    </row>
    <row r="180" spans="1:21" ht="12" thickTop="1" x14ac:dyDescent="0.2">
      <c r="A180" s="137">
        <f t="shared" si="6"/>
        <v>170</v>
      </c>
      <c r="B180" s="141" t="s">
        <v>224</v>
      </c>
      <c r="C180" s="163"/>
      <c r="D180" s="163"/>
      <c r="E180" s="241" t="s">
        <v>279</v>
      </c>
      <c r="G180" s="199">
        <f>ROUND(SUM(K164,K166)/SUM($C$164,$C$166),6)</f>
        <v>5.6475999999999998E-2</v>
      </c>
      <c r="H180" s="199">
        <f>ROUND(SUM(O164,O166)/SUM($D$164,$D$166),6)</f>
        <v>7.6003000000000001E-2</v>
      </c>
      <c r="I180" s="199">
        <f>ROUND(SUM(P164,P166)/SUM($E$164,$E$166),6)</f>
        <v>8.0701999999999996E-2</v>
      </c>
      <c r="K180" s="12">
        <f>K179/(K179+K69)</f>
        <v>4.1833156930418339E-3</v>
      </c>
      <c r="L180" s="12"/>
      <c r="M180" s="12"/>
      <c r="N180" s="174"/>
      <c r="O180" s="174"/>
      <c r="P180" s="174"/>
      <c r="R180" s="174">
        <f>R179-L179</f>
        <v>352805.94800889189</v>
      </c>
      <c r="S180" s="174">
        <f>S179-M179-R180</f>
        <v>147263.01954256953</v>
      </c>
    </row>
    <row r="181" spans="1:21" ht="12" thickBot="1" x14ac:dyDescent="0.25">
      <c r="A181" s="137">
        <f t="shared" si="6"/>
        <v>171</v>
      </c>
      <c r="B181" s="141" t="s">
        <v>223</v>
      </c>
      <c r="C181" s="163"/>
      <c r="D181" s="163"/>
      <c r="E181" s="241" t="s">
        <v>257</v>
      </c>
      <c r="G181" s="201">
        <f>ROUND(SUM(K175)/SUM($C$175),2)</f>
        <v>8.66</v>
      </c>
      <c r="H181" s="201">
        <f>ROUND(SUM(O175)/SUM($D$175),2)</f>
        <v>7.73</v>
      </c>
      <c r="I181" s="201">
        <f>ROUND(SUM(P175)/SUM($E$175),2)</f>
        <v>10.039999999999999</v>
      </c>
      <c r="K181" s="174"/>
      <c r="L181" s="174"/>
      <c r="M181" s="174"/>
      <c r="N181" s="174"/>
      <c r="O181" s="174"/>
      <c r="P181" s="174"/>
      <c r="R181" s="23">
        <f>R180/L179</f>
        <v>0.28961476796499647</v>
      </c>
      <c r="S181" s="23">
        <f>S180/M179</f>
        <v>0.12148219877621719</v>
      </c>
    </row>
    <row r="182" spans="1:21" ht="12" thickTop="1" x14ac:dyDescent="0.2">
      <c r="A182" s="137">
        <f t="shared" si="6"/>
        <v>172</v>
      </c>
      <c r="B182" s="288" t="s">
        <v>160</v>
      </c>
      <c r="C182" s="163">
        <v>0.67600000090897083</v>
      </c>
      <c r="D182" s="163"/>
      <c r="E182" s="163"/>
      <c r="K182" s="163">
        <v>3.9295510000083596</v>
      </c>
      <c r="L182" s="174">
        <v>0</v>
      </c>
      <c r="M182" s="174">
        <v>0</v>
      </c>
      <c r="N182" s="174"/>
      <c r="O182" s="189"/>
      <c r="P182" s="189"/>
      <c r="R182" s="174">
        <f>R179-O179</f>
        <v>0</v>
      </c>
      <c r="S182" s="174">
        <f>S179-P179</f>
        <v>0</v>
      </c>
    </row>
    <row r="183" spans="1:21" x14ac:dyDescent="0.2">
      <c r="A183" s="137">
        <f t="shared" si="6"/>
        <v>173</v>
      </c>
      <c r="B183" s="190"/>
      <c r="C183" s="191"/>
      <c r="D183" s="191"/>
      <c r="E183" s="191"/>
      <c r="F183" s="191"/>
      <c r="G183" s="192"/>
      <c r="H183" s="192"/>
      <c r="I183" s="192"/>
      <c r="J183" s="191"/>
      <c r="K183" s="191"/>
      <c r="L183" s="191"/>
      <c r="M183" s="191"/>
      <c r="N183" s="191"/>
      <c r="O183" s="191"/>
      <c r="P183" s="191"/>
      <c r="Q183" s="191"/>
      <c r="R183" s="191"/>
      <c r="S183" s="191"/>
      <c r="T183" s="191"/>
      <c r="U183" s="191"/>
    </row>
    <row r="184" spans="1:21" x14ac:dyDescent="0.2">
      <c r="A184" s="137">
        <f t="shared" si="6"/>
        <v>174</v>
      </c>
    </row>
    <row r="185" spans="1:21" x14ac:dyDescent="0.2">
      <c r="A185" s="137">
        <f t="shared" si="6"/>
        <v>175</v>
      </c>
      <c r="B185" s="248" t="str">
        <f>CONCATENATE("SCHEDULE"," ", 'Exh CTM-6 (Tariff)'!B74)</f>
        <v>SCHEDULE 10 (31)</v>
      </c>
    </row>
    <row r="186" spans="1:21" x14ac:dyDescent="0.2">
      <c r="A186" s="137">
        <f t="shared" si="6"/>
        <v>176</v>
      </c>
      <c r="B186" s="141" t="s">
        <v>268</v>
      </c>
    </row>
    <row r="187" spans="1:21" x14ac:dyDescent="0.2">
      <c r="A187" s="137">
        <f t="shared" si="6"/>
        <v>177</v>
      </c>
    </row>
    <row r="188" spans="1:21" x14ac:dyDescent="0.2">
      <c r="A188" s="137">
        <f t="shared" si="6"/>
        <v>178</v>
      </c>
      <c r="B188" s="117" t="s">
        <v>55</v>
      </c>
      <c r="C188" s="163">
        <v>6078</v>
      </c>
      <c r="D188" s="163">
        <v>6204.1686709805881</v>
      </c>
      <c r="E188" s="163">
        <v>6205.388909905425</v>
      </c>
      <c r="F188" s="174"/>
      <c r="G188" s="224">
        <f>'Exh CTM-6 (Tariff)'!D75</f>
        <v>358.11</v>
      </c>
      <c r="H188" s="42">
        <f>G188*(1+R188)</f>
        <v>465.54300000000001</v>
      </c>
      <c r="I188" s="42">
        <f>H188*(1+S188)</f>
        <v>605.20590000000004</v>
      </c>
      <c r="J188" s="174"/>
      <c r="K188" s="174">
        <f>G188*C188</f>
        <v>2176592.58</v>
      </c>
      <c r="L188" s="174">
        <f>G188*D188</f>
        <v>2221774.8427648586</v>
      </c>
      <c r="M188" s="174">
        <f>G188*E188</f>
        <v>2222211.8225262319</v>
      </c>
      <c r="N188" s="174"/>
      <c r="O188" s="174">
        <f>H188*D188</f>
        <v>2888307.295594316</v>
      </c>
      <c r="P188" s="174">
        <f>I188*E188</f>
        <v>3755537.9800693318</v>
      </c>
      <c r="Q188" s="174"/>
      <c r="R188" s="3">
        <v>0.3</v>
      </c>
      <c r="S188" s="3">
        <f>R188</f>
        <v>0.3</v>
      </c>
      <c r="U188" s="117" t="s">
        <v>264</v>
      </c>
    </row>
    <row r="189" spans="1:21" x14ac:dyDescent="0.2">
      <c r="A189" s="137">
        <f t="shared" si="6"/>
        <v>179</v>
      </c>
      <c r="B189" s="117" t="s">
        <v>263</v>
      </c>
      <c r="C189" s="163"/>
      <c r="D189" s="163"/>
      <c r="E189" s="163"/>
      <c r="F189" s="174"/>
      <c r="G189" s="195"/>
      <c r="H189" s="174"/>
      <c r="I189" s="174"/>
      <c r="J189" s="174"/>
      <c r="K189" s="189"/>
      <c r="L189" s="189"/>
      <c r="M189" s="189"/>
      <c r="N189" s="189"/>
      <c r="O189" s="189"/>
      <c r="P189" s="189"/>
      <c r="Q189" s="174"/>
      <c r="R189" s="174"/>
      <c r="S189" s="174"/>
      <c r="T189" s="174"/>
      <c r="U189" s="174"/>
    </row>
    <row r="190" spans="1:21" x14ac:dyDescent="0.2">
      <c r="A190" s="137">
        <f t="shared" si="6"/>
        <v>180</v>
      </c>
      <c r="B190" s="181" t="s">
        <v>231</v>
      </c>
      <c r="C190" s="163">
        <v>1375421569</v>
      </c>
      <c r="D190" s="163">
        <v>1423586019.4788036</v>
      </c>
      <c r="E190" s="163">
        <v>1411297972.0883911</v>
      </c>
      <c r="F190" s="174"/>
      <c r="G190" s="182">
        <f>'Exh CTM-6 (Tariff)'!D77</f>
        <v>5.5718999999999998E-2</v>
      </c>
      <c r="H190" s="182">
        <f>G190+R190</f>
        <v>7.0126392896561127E-2</v>
      </c>
      <c r="I190" s="182">
        <f>H190+S190</f>
        <v>7.0437006057910284E-2</v>
      </c>
      <c r="J190" s="174"/>
      <c r="K190" s="174">
        <f>G190*C190</f>
        <v>76637114.403110996</v>
      </c>
      <c r="L190" s="174">
        <f>G190*D190</f>
        <v>79320789.419339463</v>
      </c>
      <c r="M190" s="174">
        <f>G190*E190</f>
        <v>78636111.706793055</v>
      </c>
      <c r="N190" s="174"/>
      <c r="O190" s="174">
        <f>H190*D190</f>
        <v>99830952.524022102</v>
      </c>
      <c r="P190" s="174">
        <f>I190*E190</f>
        <v>99407603.809506506</v>
      </c>
      <c r="Q190" s="174"/>
      <c r="R190" s="182">
        <f>(R204-(O188-L188)-(O199-L199)-(O201-L201)-(O223-L223))/D195</f>
        <v>1.4407392896561125E-2</v>
      </c>
      <c r="S190" s="182">
        <f>((S204+R204)-(P188-M188)-(P199-M199)-(P201-M201)-(P223-M223))/E195-R190</f>
        <v>3.1061316134915924E-4</v>
      </c>
      <c r="U190" s="141" t="s">
        <v>230</v>
      </c>
    </row>
    <row r="191" spans="1:21" x14ac:dyDescent="0.2">
      <c r="A191" s="137">
        <f t="shared" si="6"/>
        <v>181</v>
      </c>
      <c r="B191" s="175" t="s">
        <v>226</v>
      </c>
      <c r="C191" s="193">
        <f>SUM(C190:C190)</f>
        <v>1375421569</v>
      </c>
      <c r="D191" s="193">
        <f>SUM(D190:D190)</f>
        <v>1423586019.4788036</v>
      </c>
      <c r="E191" s="193">
        <f>SUM(E190:E190)</f>
        <v>1411297972.0883911</v>
      </c>
      <c r="F191" s="174"/>
      <c r="G191" s="203"/>
      <c r="H191" s="174"/>
      <c r="I191" s="174"/>
      <c r="J191" s="174"/>
      <c r="K191" s="196">
        <f>SUM(K190:K190)</f>
        <v>76637114.403110996</v>
      </c>
      <c r="L191" s="196">
        <f>SUM(L190:L190)</f>
        <v>79320789.419339463</v>
      </c>
      <c r="M191" s="196">
        <f>SUM(M190:M190)</f>
        <v>78636111.706793055</v>
      </c>
      <c r="N191" s="196"/>
      <c r="O191" s="196">
        <f>SUM(O190:O190)</f>
        <v>99830952.524022102</v>
      </c>
      <c r="P191" s="196">
        <f>SUM(P190:P190)</f>
        <v>99407603.809506506</v>
      </c>
      <c r="Q191" s="174"/>
      <c r="R191" s="174"/>
      <c r="S191" s="174"/>
      <c r="T191" s="174"/>
      <c r="U191" s="174"/>
    </row>
    <row r="192" spans="1:21" x14ac:dyDescent="0.2">
      <c r="A192" s="137">
        <f t="shared" si="6"/>
        <v>182</v>
      </c>
      <c r="B192" s="181" t="s">
        <v>229</v>
      </c>
      <c r="C192" s="163">
        <v>-9027450.7772835791</v>
      </c>
      <c r="D192" s="185" t="s">
        <v>227</v>
      </c>
      <c r="E192" s="185"/>
      <c r="F192" s="174"/>
      <c r="G192" s="194">
        <f>K192/C192</f>
        <v>8.3088683450645615E-2</v>
      </c>
      <c r="H192" s="174"/>
      <c r="I192" s="174"/>
      <c r="J192" s="174"/>
      <c r="K192" s="189">
        <v>-750079</v>
      </c>
      <c r="L192" s="174">
        <f>G192*D192</f>
        <v>0</v>
      </c>
      <c r="M192" s="174">
        <f>G192*E192</f>
        <v>0</v>
      </c>
      <c r="N192" s="174"/>
      <c r="O192" s="174">
        <f t="shared" ref="O192:P194" si="11">H192*D192</f>
        <v>0</v>
      </c>
      <c r="P192" s="174">
        <f t="shared" si="11"/>
        <v>0</v>
      </c>
      <c r="Q192" s="174"/>
      <c r="R192" s="174"/>
      <c r="S192" s="174"/>
      <c r="T192" s="174"/>
      <c r="U192" s="174"/>
    </row>
    <row r="193" spans="1:21" x14ac:dyDescent="0.2">
      <c r="A193" s="137">
        <f t="shared" si="6"/>
        <v>183</v>
      </c>
      <c r="B193" s="181" t="s">
        <v>250</v>
      </c>
      <c r="C193" s="163">
        <v>4078452.1120000002</v>
      </c>
      <c r="D193" s="185" t="s">
        <v>227</v>
      </c>
      <c r="E193" s="185"/>
      <c r="F193" s="174"/>
      <c r="G193" s="194">
        <f>K193/C193</f>
        <v>8.3088554625965358E-2</v>
      </c>
      <c r="H193" s="174"/>
      <c r="I193" s="174"/>
      <c r="J193" s="174"/>
      <c r="K193" s="189">
        <v>338872.69109729578</v>
      </c>
      <c r="L193" s="174">
        <f>G193*D193</f>
        <v>0</v>
      </c>
      <c r="M193" s="174">
        <f>G193*E193</f>
        <v>0</v>
      </c>
      <c r="N193" s="174"/>
      <c r="O193" s="174">
        <f t="shared" si="11"/>
        <v>0</v>
      </c>
      <c r="P193" s="174">
        <f t="shared" si="11"/>
        <v>0</v>
      </c>
      <c r="Q193" s="174"/>
      <c r="R193" s="174"/>
      <c r="S193" s="174"/>
      <c r="T193" s="174"/>
      <c r="U193" s="174"/>
    </row>
    <row r="194" spans="1:21" x14ac:dyDescent="0.2">
      <c r="A194" s="137">
        <f t="shared" si="6"/>
        <v>184</v>
      </c>
      <c r="B194" s="184" t="s">
        <v>228</v>
      </c>
      <c r="C194" s="163">
        <v>13971021</v>
      </c>
      <c r="D194" s="185" t="s">
        <v>227</v>
      </c>
      <c r="E194" s="185"/>
      <c r="F194" s="174"/>
      <c r="G194" s="194">
        <f>K194/C194</f>
        <v>8.0966165608082619E-2</v>
      </c>
      <c r="H194" s="174"/>
      <c r="I194" s="174"/>
      <c r="J194" s="174"/>
      <c r="K194" s="189">
        <v>1131180</v>
      </c>
      <c r="L194" s="174">
        <f>G194*D194</f>
        <v>0</v>
      </c>
      <c r="M194" s="174">
        <f>G194*E194</f>
        <v>0</v>
      </c>
      <c r="N194" s="174"/>
      <c r="O194" s="174">
        <f t="shared" si="11"/>
        <v>0</v>
      </c>
      <c r="P194" s="174">
        <f t="shared" si="11"/>
        <v>0</v>
      </c>
      <c r="Q194" s="174"/>
      <c r="R194" s="174"/>
      <c r="S194" s="174"/>
      <c r="T194" s="174"/>
      <c r="U194" s="174"/>
    </row>
    <row r="195" spans="1:21" x14ac:dyDescent="0.2">
      <c r="A195" s="137">
        <f t="shared" si="6"/>
        <v>185</v>
      </c>
      <c r="B195" s="175" t="s">
        <v>226</v>
      </c>
      <c r="C195" s="193">
        <f>SUM(C191:C194)</f>
        <v>1384443591.3347163</v>
      </c>
      <c r="D195" s="193">
        <f>SUM(D191:D194)</f>
        <v>1423586019.4788036</v>
      </c>
      <c r="E195" s="193">
        <f>SUM(E191:E194)</f>
        <v>1411297972.0883911</v>
      </c>
      <c r="F195" s="174"/>
      <c r="G195" s="194"/>
      <c r="H195" s="174"/>
      <c r="I195" s="174"/>
      <c r="J195" s="174"/>
      <c r="K195" s="196">
        <f>SUM(K191:K194)</f>
        <v>77357088.094208285</v>
      </c>
      <c r="L195" s="196">
        <f>SUM(L191:L194)</f>
        <v>79320789.419339463</v>
      </c>
      <c r="M195" s="196">
        <f>SUM(M191:M194)</f>
        <v>78636111.706793055</v>
      </c>
      <c r="N195" s="196"/>
      <c r="O195" s="196">
        <f>SUM(O191:O194)</f>
        <v>99830952.524022102</v>
      </c>
      <c r="P195" s="196">
        <f>SUM(P191:P194)</f>
        <v>99407603.809506506</v>
      </c>
      <c r="Q195" s="174"/>
      <c r="R195" s="174"/>
      <c r="S195" s="174"/>
      <c r="T195" s="174"/>
      <c r="U195" s="174"/>
    </row>
    <row r="196" spans="1:21" x14ac:dyDescent="0.2">
      <c r="A196" s="137">
        <f t="shared" si="6"/>
        <v>186</v>
      </c>
      <c r="B196" s="117" t="s">
        <v>262</v>
      </c>
      <c r="C196" s="163"/>
      <c r="D196" s="163"/>
      <c r="E196" s="163"/>
      <c r="F196" s="174"/>
      <c r="G196" s="179"/>
      <c r="H196" s="174"/>
      <c r="I196" s="174"/>
      <c r="J196" s="174"/>
      <c r="K196" s="189"/>
      <c r="L196" s="189"/>
      <c r="M196" s="189"/>
      <c r="N196" s="189"/>
      <c r="O196" s="189"/>
      <c r="P196" s="189"/>
      <c r="Q196" s="174"/>
      <c r="R196" s="174"/>
      <c r="S196" s="174"/>
      <c r="T196" s="174"/>
      <c r="U196" s="174"/>
    </row>
    <row r="197" spans="1:21" x14ac:dyDescent="0.2">
      <c r="A197" s="137">
        <f t="shared" si="6"/>
        <v>187</v>
      </c>
      <c r="B197" s="181" t="s">
        <v>267</v>
      </c>
      <c r="C197" s="163">
        <v>1663661</v>
      </c>
      <c r="D197" s="163">
        <v>1599001.2982320762</v>
      </c>
      <c r="E197" s="163">
        <v>1576780.1645697793</v>
      </c>
      <c r="F197" s="174"/>
      <c r="G197" s="224">
        <f>'Exh CTM-6 (Tariff)'!D79</f>
        <v>11.94</v>
      </c>
      <c r="H197" s="42">
        <f>G197*(1+R197)</f>
        <v>15.522</v>
      </c>
      <c r="I197" s="42">
        <f>H197*(1+S197)</f>
        <v>20.178599999999999</v>
      </c>
      <c r="J197" s="174"/>
      <c r="K197" s="174">
        <f>G197*C197</f>
        <v>19864112.34</v>
      </c>
      <c r="L197" s="174">
        <f>G197*D197</f>
        <v>19092075.500890989</v>
      </c>
      <c r="M197" s="174">
        <f>G197*E197</f>
        <v>18826755.164963163</v>
      </c>
      <c r="N197" s="174"/>
      <c r="O197" s="174">
        <f>H197*D197</f>
        <v>24819698.151158288</v>
      </c>
      <c r="P197" s="174">
        <f>I197*E197</f>
        <v>31817216.228787746</v>
      </c>
      <c r="Q197" s="174"/>
      <c r="R197" s="3">
        <v>0.3</v>
      </c>
      <c r="S197" s="3">
        <f>R197</f>
        <v>0.3</v>
      </c>
      <c r="T197" s="174"/>
      <c r="U197" s="141" t="s">
        <v>239</v>
      </c>
    </row>
    <row r="198" spans="1:21" x14ac:dyDescent="0.2">
      <c r="A198" s="137">
        <f t="shared" si="6"/>
        <v>188</v>
      </c>
      <c r="B198" s="181" t="s">
        <v>266</v>
      </c>
      <c r="C198" s="163">
        <v>1689213</v>
      </c>
      <c r="D198" s="163">
        <v>1669750.9286160013</v>
      </c>
      <c r="E198" s="163">
        <v>1654054.4578699945</v>
      </c>
      <c r="F198" s="174"/>
      <c r="G198" s="224">
        <f>'Exh CTM-6 (Tariff)'!D82</f>
        <v>7.96</v>
      </c>
      <c r="H198" s="42">
        <f>G198*(1+R198)</f>
        <v>10.348000000000001</v>
      </c>
      <c r="I198" s="42">
        <f>H198*(1+S198)</f>
        <v>13.452400000000001</v>
      </c>
      <c r="J198" s="174"/>
      <c r="K198" s="174">
        <f>G198*C198</f>
        <v>13446135.48</v>
      </c>
      <c r="L198" s="174">
        <f>G198*D198</f>
        <v>13291217.39178337</v>
      </c>
      <c r="M198" s="174">
        <f>G198*E198</f>
        <v>13166273.484645156</v>
      </c>
      <c r="N198" s="174"/>
      <c r="O198" s="174">
        <f>H198*D198</f>
        <v>17278582.609318383</v>
      </c>
      <c r="P198" s="174">
        <f>I198*E198</f>
        <v>22251002.189050313</v>
      </c>
      <c r="Q198" s="174"/>
      <c r="R198" s="49">
        <f>R197</f>
        <v>0.3</v>
      </c>
      <c r="S198" s="49">
        <f>S197</f>
        <v>0.3</v>
      </c>
      <c r="T198" s="174"/>
      <c r="U198" s="141" t="s">
        <v>239</v>
      </c>
    </row>
    <row r="199" spans="1:21" x14ac:dyDescent="0.2">
      <c r="A199" s="137">
        <f t="shared" si="6"/>
        <v>189</v>
      </c>
      <c r="B199" s="175" t="s">
        <v>226</v>
      </c>
      <c r="C199" s="193">
        <f>SUM(C197:C198)</f>
        <v>3352874</v>
      </c>
      <c r="D199" s="193">
        <f>SUM(D197:D198)</f>
        <v>3268752.2268480775</v>
      </c>
      <c r="E199" s="193">
        <f>SUM(E197:E198)</f>
        <v>3230834.6224397738</v>
      </c>
      <c r="F199" s="174"/>
      <c r="G199" s="179"/>
      <c r="K199" s="196">
        <f>SUM(K197:K198)</f>
        <v>33310247.82</v>
      </c>
      <c r="L199" s="196">
        <f>SUM(L197:L198)</f>
        <v>32383292.892674357</v>
      </c>
      <c r="M199" s="196">
        <f>SUM(M197:M198)</f>
        <v>31993028.649608321</v>
      </c>
      <c r="N199" s="196"/>
      <c r="O199" s="196">
        <f>SUM(O197:O198)</f>
        <v>42098280.760476671</v>
      </c>
      <c r="P199" s="196">
        <f>SUM(P197:P198)</f>
        <v>54068218.417838059</v>
      </c>
    </row>
    <row r="200" spans="1:21" x14ac:dyDescent="0.2">
      <c r="A200" s="137">
        <f t="shared" si="6"/>
        <v>190</v>
      </c>
      <c r="C200" s="163"/>
      <c r="D200" s="163"/>
      <c r="E200" s="163"/>
      <c r="F200" s="174"/>
      <c r="G200" s="163"/>
      <c r="K200" s="189"/>
      <c r="L200" s="189"/>
      <c r="M200" s="189"/>
      <c r="N200" s="189"/>
      <c r="O200" s="189"/>
      <c r="P200" s="189"/>
      <c r="U200" s="178"/>
    </row>
    <row r="201" spans="1:21" x14ac:dyDescent="0.2">
      <c r="A201" s="137">
        <f t="shared" si="6"/>
        <v>191</v>
      </c>
      <c r="B201" s="117" t="s">
        <v>258</v>
      </c>
      <c r="C201" s="163">
        <v>651308116</v>
      </c>
      <c r="D201" s="163">
        <v>674772184.38809776</v>
      </c>
      <c r="E201" s="163">
        <v>668722379.85534632</v>
      </c>
      <c r="F201" s="174"/>
      <c r="G201" s="290">
        <f>'Exh CTM-6 (Tariff)'!D86</f>
        <v>1.1199999999999999E-3</v>
      </c>
      <c r="H201" s="47">
        <f>G201*(1+R201)</f>
        <v>1.4559999999999998E-3</v>
      </c>
      <c r="I201" s="47">
        <f>H201*(1+S201)</f>
        <v>1.8927999999999998E-3</v>
      </c>
      <c r="J201" s="174"/>
      <c r="K201" s="174">
        <f>G201*C201</f>
        <v>729465.08991999994</v>
      </c>
      <c r="L201" s="174">
        <f>G201*D201</f>
        <v>755744.84651466948</v>
      </c>
      <c r="M201" s="174">
        <f>G201*E201</f>
        <v>748969.0654379878</v>
      </c>
      <c r="N201" s="174"/>
      <c r="O201" s="174">
        <f>H201*D201</f>
        <v>982468.30046907021</v>
      </c>
      <c r="P201" s="174">
        <f>I201*E201</f>
        <v>1265757.7205901993</v>
      </c>
      <c r="Q201" s="174"/>
      <c r="R201" s="3">
        <v>0.3</v>
      </c>
      <c r="S201" s="3">
        <f>R201</f>
        <v>0.3</v>
      </c>
      <c r="T201" s="174"/>
      <c r="U201" s="141" t="s">
        <v>237</v>
      </c>
    </row>
    <row r="202" spans="1:21" x14ac:dyDescent="0.2">
      <c r="A202" s="137">
        <f t="shared" si="6"/>
        <v>192</v>
      </c>
      <c r="C202" s="163"/>
      <c r="D202" s="163"/>
      <c r="E202" s="163"/>
      <c r="G202" s="163"/>
      <c r="K202" s="189"/>
      <c r="L202" s="189"/>
      <c r="M202" s="189"/>
      <c r="N202" s="189"/>
      <c r="O202" s="189"/>
      <c r="P202" s="189"/>
    </row>
    <row r="203" spans="1:21" ht="12" thickBot="1" x14ac:dyDescent="0.25">
      <c r="A203" s="137">
        <f t="shared" si="6"/>
        <v>193</v>
      </c>
      <c r="B203" s="117" t="s">
        <v>225</v>
      </c>
      <c r="C203" s="163"/>
      <c r="D203" s="163"/>
      <c r="E203" s="163"/>
      <c r="G203" s="163"/>
      <c r="K203" s="197">
        <f>SUM(K188,K195,K199,K201)</f>
        <v>113573393.58412828</v>
      </c>
      <c r="L203" s="197">
        <f>SUM(L188,L195,L199,L201)</f>
        <v>114681602.00129335</v>
      </c>
      <c r="M203" s="197">
        <f>SUM(M188,M195,M199,M201)</f>
        <v>113600321.24436559</v>
      </c>
      <c r="N203" s="197"/>
      <c r="O203" s="197">
        <f>SUM(O188,O195,O199,O201)</f>
        <v>145800008.88056216</v>
      </c>
      <c r="P203" s="197">
        <f>SUM(P188,P195,P199,P201)</f>
        <v>158497117.92800412</v>
      </c>
      <c r="R203" s="188">
        <f>'Exh CTM-6 (Rate Spread)'!U19</f>
        <v>146543996.67945495</v>
      </c>
      <c r="S203" s="188">
        <f>'Exh CTM-6 (Rate Spread)'!AB19</f>
        <v>159452791.90695757</v>
      </c>
    </row>
    <row r="204" spans="1:21" ht="12" thickTop="1" x14ac:dyDescent="0.2">
      <c r="A204" s="137">
        <f t="shared" ref="A204:A267" si="12">A203+1</f>
        <v>194</v>
      </c>
      <c r="B204" s="141" t="s">
        <v>224</v>
      </c>
      <c r="C204" s="163"/>
      <c r="D204" s="163"/>
      <c r="E204" s="163"/>
      <c r="G204" s="163"/>
      <c r="K204" s="189"/>
      <c r="L204" s="189"/>
      <c r="M204" s="189"/>
      <c r="N204" s="189"/>
      <c r="O204" s="189"/>
      <c r="P204" s="189"/>
      <c r="R204" s="174">
        <f>R203-L203-L223</f>
        <v>31301839.61355117</v>
      </c>
      <c r="S204" s="174">
        <f>S203-M203-M223-R204</f>
        <v>13996740.487509876</v>
      </c>
      <c r="T204" s="174"/>
    </row>
    <row r="205" spans="1:21" x14ac:dyDescent="0.2">
      <c r="A205" s="137">
        <f t="shared" si="12"/>
        <v>195</v>
      </c>
      <c r="B205" s="141" t="s">
        <v>223</v>
      </c>
      <c r="C205" s="163"/>
      <c r="D205" s="163"/>
      <c r="E205" s="163"/>
      <c r="K205" s="189"/>
      <c r="L205" s="189"/>
      <c r="M205" s="189"/>
      <c r="N205" s="189"/>
      <c r="O205" s="189"/>
      <c r="P205" s="189"/>
      <c r="R205" s="23">
        <f>R204/L203</f>
        <v>0.27294560825195097</v>
      </c>
      <c r="S205" s="23">
        <f>S204/M203</f>
        <v>0.12321039530690671</v>
      </c>
      <c r="T205" s="174"/>
    </row>
    <row r="206" spans="1:21" x14ac:dyDescent="0.2">
      <c r="A206" s="137">
        <f t="shared" si="12"/>
        <v>196</v>
      </c>
      <c r="B206" s="288" t="s">
        <v>160</v>
      </c>
      <c r="C206" s="163">
        <v>1.062000036239624</v>
      </c>
      <c r="D206" s="163"/>
      <c r="E206" s="163"/>
      <c r="K206" s="163">
        <v>-0.89303098386153579</v>
      </c>
      <c r="L206" s="163">
        <v>9.3132257461547852E-10</v>
      </c>
      <c r="M206" s="163">
        <v>0</v>
      </c>
      <c r="N206" s="189"/>
      <c r="O206" s="189"/>
      <c r="P206" s="189"/>
      <c r="R206" s="174">
        <f>R203-O203-O223</f>
        <v>1.0011717677116394E-8</v>
      </c>
      <c r="S206" s="174">
        <f>S203-P203-P223</f>
        <v>-3.7252902984619141E-8</v>
      </c>
      <c r="T206" s="189"/>
    </row>
    <row r="207" spans="1:21" ht="12" thickBot="1" x14ac:dyDescent="0.25">
      <c r="A207" s="137">
        <f t="shared" si="12"/>
        <v>197</v>
      </c>
      <c r="B207" s="198" t="s">
        <v>257</v>
      </c>
      <c r="D207" s="163"/>
      <c r="E207" s="163"/>
      <c r="G207" s="201">
        <f>ROUND(SUM(K199)/SUM(C199),2)</f>
        <v>9.93</v>
      </c>
      <c r="H207" s="201">
        <f>ROUND(SUM(O199)/SUM(D199),2)</f>
        <v>12.88</v>
      </c>
      <c r="I207" s="201">
        <f>ROUND(SUM(P199)/SUM(E199),2)</f>
        <v>16.739999999999998</v>
      </c>
      <c r="N207" s="189"/>
    </row>
    <row r="208" spans="1:21" ht="12" thickTop="1" x14ac:dyDescent="0.2">
      <c r="A208" s="137">
        <f t="shared" si="12"/>
        <v>198</v>
      </c>
      <c r="B208" s="190"/>
      <c r="C208" s="191"/>
      <c r="D208" s="191"/>
      <c r="E208" s="191"/>
      <c r="F208" s="191"/>
      <c r="G208" s="192"/>
      <c r="H208" s="192"/>
      <c r="I208" s="192"/>
      <c r="J208" s="191"/>
      <c r="K208" s="191"/>
      <c r="L208" s="191"/>
      <c r="M208" s="191"/>
      <c r="N208" s="189"/>
      <c r="O208" s="191"/>
      <c r="P208" s="191"/>
      <c r="Q208" s="191"/>
      <c r="R208" s="191"/>
      <c r="S208" s="191"/>
      <c r="T208" s="191"/>
      <c r="U208" s="191"/>
    </row>
    <row r="209" spans="1:21" x14ac:dyDescent="0.2">
      <c r="A209" s="137">
        <f t="shared" si="12"/>
        <v>199</v>
      </c>
      <c r="B209" s="141"/>
      <c r="N209" s="189"/>
    </row>
    <row r="210" spans="1:21" x14ac:dyDescent="0.2">
      <c r="A210" s="137">
        <f t="shared" si="12"/>
        <v>200</v>
      </c>
      <c r="B210" s="248" t="s">
        <v>278</v>
      </c>
    </row>
    <row r="211" spans="1:21" x14ac:dyDescent="0.2">
      <c r="A211" s="137">
        <f t="shared" si="12"/>
        <v>201</v>
      </c>
      <c r="B211" s="141" t="s">
        <v>277</v>
      </c>
    </row>
    <row r="212" spans="1:21" x14ac:dyDescent="0.2">
      <c r="A212" s="137">
        <f t="shared" si="12"/>
        <v>202</v>
      </c>
    </row>
    <row r="213" spans="1:21" x14ac:dyDescent="0.2">
      <c r="A213" s="137">
        <f t="shared" si="12"/>
        <v>203</v>
      </c>
      <c r="B213" s="117" t="s">
        <v>276</v>
      </c>
      <c r="C213" s="163"/>
      <c r="F213" s="174"/>
      <c r="G213" s="179"/>
      <c r="H213" s="174"/>
      <c r="I213" s="174"/>
      <c r="J213" s="174"/>
      <c r="K213" s="189"/>
      <c r="L213" s="189"/>
      <c r="M213" s="189"/>
      <c r="N213" s="189"/>
      <c r="O213" s="189"/>
      <c r="P213" s="189"/>
      <c r="Q213" s="174"/>
      <c r="R213" s="174"/>
      <c r="S213" s="174"/>
      <c r="T213" s="174"/>
      <c r="U213" s="174"/>
    </row>
    <row r="214" spans="1:21" x14ac:dyDescent="0.2">
      <c r="A214" s="137">
        <f t="shared" si="12"/>
        <v>204</v>
      </c>
      <c r="B214" s="181" t="s">
        <v>267</v>
      </c>
      <c r="C214" s="163">
        <v>31895</v>
      </c>
      <c r="D214" s="163">
        <v>31655.972817598231</v>
      </c>
      <c r="E214" s="163">
        <v>31216.053472962532</v>
      </c>
      <c r="F214" s="174"/>
      <c r="G214" s="224">
        <f>'Exh CTM-6 (Tariff)'!D80</f>
        <v>5.85</v>
      </c>
      <c r="H214" s="42">
        <f>H197-H219</f>
        <v>8.5370999999999988</v>
      </c>
      <c r="I214" s="42">
        <f>I197-I219</f>
        <v>11.098229999999999</v>
      </c>
      <c r="J214" s="174"/>
      <c r="K214" s="174">
        <f>G214*C214</f>
        <v>186585.75</v>
      </c>
      <c r="L214" s="174">
        <f>G214*D214</f>
        <v>185187.44098294963</v>
      </c>
      <c r="M214" s="174">
        <f>G214*E214</f>
        <v>182613.91281683079</v>
      </c>
      <c r="N214" s="174"/>
      <c r="O214" s="174">
        <f>H214*D214</f>
        <v>270250.20554111782</v>
      </c>
      <c r="P214" s="174">
        <f>I214*E214</f>
        <v>346442.94113523694</v>
      </c>
      <c r="Q214" s="174"/>
    </row>
    <row r="215" spans="1:21" x14ac:dyDescent="0.2">
      <c r="A215" s="137">
        <f t="shared" si="12"/>
        <v>205</v>
      </c>
      <c r="B215" s="181" t="s">
        <v>266</v>
      </c>
      <c r="C215" s="163">
        <v>34576</v>
      </c>
      <c r="D215" s="163">
        <v>35468.166553725612</v>
      </c>
      <c r="E215" s="163">
        <v>35134.748539587112</v>
      </c>
      <c r="F215" s="174"/>
      <c r="G215" s="224">
        <f>'Exh CTM-6 (Tariff)'!D83</f>
        <v>3.9</v>
      </c>
      <c r="H215" s="42">
        <f>H198-H220</f>
        <v>5.6914000000000007</v>
      </c>
      <c r="I215" s="42">
        <f>I198-I220</f>
        <v>7.3988200000000006</v>
      </c>
      <c r="J215" s="174"/>
      <c r="K215" s="174">
        <f>G215*C215</f>
        <v>134846.39999999999</v>
      </c>
      <c r="L215" s="174">
        <f>G215*D215</f>
        <v>138325.84955952989</v>
      </c>
      <c r="M215" s="174">
        <f>G215*E215</f>
        <v>137025.51930438975</v>
      </c>
      <c r="N215" s="174"/>
      <c r="O215" s="174">
        <f>H215*D215</f>
        <v>201863.52312387398</v>
      </c>
      <c r="P215" s="174">
        <f>I215*E215</f>
        <v>259955.68018966794</v>
      </c>
      <c r="Q215" s="174"/>
    </row>
    <row r="216" spans="1:21" x14ac:dyDescent="0.2">
      <c r="A216" s="137">
        <f t="shared" si="12"/>
        <v>206</v>
      </c>
      <c r="B216" s="175" t="s">
        <v>226</v>
      </c>
      <c r="C216" s="193">
        <f>SUM(C214:C215)</f>
        <v>66471</v>
      </c>
      <c r="D216" s="193">
        <f>SUM(D214:D215)</f>
        <v>67124.139371323836</v>
      </c>
      <c r="E216" s="193">
        <f>SUM(E214:E215)</f>
        <v>66350.80201254964</v>
      </c>
      <c r="F216" s="174"/>
      <c r="G216" s="179"/>
      <c r="H216" s="174"/>
      <c r="I216" s="174"/>
      <c r="J216" s="174"/>
      <c r="K216" s="196">
        <f>SUM(K214:K215)</f>
        <v>321432.15000000002</v>
      </c>
      <c r="L216" s="196">
        <f>SUM(L214:L215)</f>
        <v>323513.29054247949</v>
      </c>
      <c r="M216" s="196">
        <f>SUM(M214:M215)</f>
        <v>319639.43212122051</v>
      </c>
      <c r="N216" s="196"/>
      <c r="O216" s="196">
        <f>SUM(O214:O215)</f>
        <v>472113.7286649918</v>
      </c>
      <c r="P216" s="196">
        <f>SUM(P214:P215)</f>
        <v>606398.62132490485</v>
      </c>
      <c r="Q216" s="174"/>
      <c r="R216" s="3"/>
      <c r="S216" s="3"/>
      <c r="T216" s="174"/>
      <c r="U216" s="174"/>
    </row>
    <row r="217" spans="1:21" x14ac:dyDescent="0.2">
      <c r="A217" s="137">
        <f t="shared" si="12"/>
        <v>207</v>
      </c>
      <c r="B217" s="175"/>
      <c r="C217" s="163"/>
      <c r="D217" s="163"/>
      <c r="E217" s="163"/>
      <c r="F217" s="174"/>
      <c r="G217" s="179"/>
      <c r="H217" s="174"/>
      <c r="I217" s="174"/>
      <c r="J217" s="174"/>
      <c r="K217" s="189"/>
      <c r="L217" s="189"/>
      <c r="M217" s="189"/>
      <c r="N217" s="189"/>
      <c r="O217" s="189"/>
      <c r="P217" s="189"/>
      <c r="Q217" s="174"/>
      <c r="R217" s="3"/>
      <c r="S217" s="3"/>
      <c r="T217" s="174"/>
      <c r="U217" s="174"/>
    </row>
    <row r="218" spans="1:21" x14ac:dyDescent="0.2">
      <c r="A218" s="137">
        <f t="shared" si="12"/>
        <v>208</v>
      </c>
      <c r="B218" s="117" t="s">
        <v>275</v>
      </c>
      <c r="C218" s="163"/>
      <c r="D218" s="163"/>
      <c r="E218" s="163"/>
      <c r="F218" s="174"/>
      <c r="G218" s="179"/>
      <c r="H218" s="174"/>
      <c r="I218" s="174"/>
      <c r="J218" s="174"/>
      <c r="K218" s="189"/>
      <c r="L218" s="189"/>
      <c r="M218" s="189"/>
      <c r="N218" s="189"/>
      <c r="O218" s="189"/>
      <c r="P218" s="189"/>
      <c r="Q218" s="174"/>
      <c r="R218" s="3"/>
      <c r="S218" s="3"/>
      <c r="T218" s="174"/>
      <c r="U218" s="174"/>
    </row>
    <row r="219" spans="1:21" x14ac:dyDescent="0.2">
      <c r="A219" s="137">
        <f t="shared" si="12"/>
        <v>209</v>
      </c>
      <c r="B219" s="181" t="s">
        <v>267</v>
      </c>
      <c r="C219" s="163">
        <v>20691</v>
      </c>
      <c r="D219" s="163">
        <v>20535.937719671576</v>
      </c>
      <c r="E219" s="163">
        <v>20250.552199688595</v>
      </c>
      <c r="F219" s="174"/>
      <c r="G219" s="224">
        <f>'Exh CTM-6 (Tariff)'!D81</f>
        <v>6.09</v>
      </c>
      <c r="H219" s="42">
        <f>IF(SUM(L227:L228)&gt;45%,$H$197*R219,$H$197*SUM(L227:L228))</f>
        <v>6.9849000000000006</v>
      </c>
      <c r="I219" s="42">
        <f>IF(SUM(M227:M228)&gt;45%,$I$197*S219,$I$197*SUM(M227:M228))</f>
        <v>9.0803700000000003</v>
      </c>
      <c r="J219" s="174"/>
      <c r="K219" s="174">
        <f>G219*C219</f>
        <v>126008.19</v>
      </c>
      <c r="L219" s="174">
        <f>G219*D219</f>
        <v>125063.8607127999</v>
      </c>
      <c r="M219" s="174">
        <f>G219*E219</f>
        <v>123325.86289610354</v>
      </c>
      <c r="N219" s="174"/>
      <c r="O219" s="174">
        <f>H219*D219</f>
        <v>143441.47137813401</v>
      </c>
      <c r="P219" s="174">
        <f>I219*E219</f>
        <v>183882.50667748632</v>
      </c>
      <c r="Q219" s="174"/>
      <c r="R219" s="23">
        <f>R110</f>
        <v>0.45</v>
      </c>
      <c r="S219" s="23">
        <f>R219</f>
        <v>0.45</v>
      </c>
      <c r="T219" s="174"/>
      <c r="U219" s="117" t="s">
        <v>274</v>
      </c>
    </row>
    <row r="220" spans="1:21" x14ac:dyDescent="0.2">
      <c r="A220" s="137">
        <f t="shared" si="12"/>
        <v>210</v>
      </c>
      <c r="B220" s="181" t="s">
        <v>266</v>
      </c>
      <c r="C220" s="163">
        <v>26887</v>
      </c>
      <c r="D220" s="163">
        <v>27580.766836245388</v>
      </c>
      <c r="E220" s="163">
        <v>27321.494215174651</v>
      </c>
      <c r="F220" s="174"/>
      <c r="G220" s="224">
        <f>'Exh CTM-6 (Tariff)'!D84</f>
        <v>4.0599999999999996</v>
      </c>
      <c r="H220" s="42">
        <f>IF(SUM(L227:L228)&gt;45%,$H$198*R220,$H$198*SUM(L227:L228))</f>
        <v>4.6566000000000001</v>
      </c>
      <c r="I220" s="42">
        <f>IF(SUM(M227:M228)&gt;45%,$I$198*S220,$I$198*SUM(M227:M228))</f>
        <v>6.0535800000000002</v>
      </c>
      <c r="J220" s="174"/>
      <c r="K220" s="174">
        <f>G220*C220</f>
        <v>109161.21999999999</v>
      </c>
      <c r="L220" s="174">
        <f>G220*D220</f>
        <v>111977.91335515627</v>
      </c>
      <c r="M220" s="174">
        <f>G220*E220</f>
        <v>110925.26651360907</v>
      </c>
      <c r="N220" s="174"/>
      <c r="O220" s="174">
        <f>H220*D220</f>
        <v>128432.59884966028</v>
      </c>
      <c r="P220" s="174">
        <f>I220*E220</f>
        <v>165392.85095109697</v>
      </c>
      <c r="Q220" s="174"/>
      <c r="R220" s="23">
        <f>R219</f>
        <v>0.45</v>
      </c>
      <c r="S220" s="23">
        <f>S219</f>
        <v>0.45</v>
      </c>
      <c r="T220" s="174"/>
      <c r="U220" s="117" t="s">
        <v>274</v>
      </c>
    </row>
    <row r="221" spans="1:21" x14ac:dyDescent="0.2">
      <c r="A221" s="137">
        <f t="shared" si="12"/>
        <v>211</v>
      </c>
      <c r="B221" s="175" t="s">
        <v>226</v>
      </c>
      <c r="C221" s="193">
        <f>SUM(C219:C220)</f>
        <v>47578</v>
      </c>
      <c r="D221" s="193">
        <f>SUM(D219:D220)</f>
        <v>48116.704555916964</v>
      </c>
      <c r="E221" s="193">
        <f>SUM(E219:E220)</f>
        <v>47572.046414863245</v>
      </c>
      <c r="F221" s="174"/>
      <c r="G221" s="179"/>
      <c r="H221" s="174"/>
      <c r="I221" s="174"/>
      <c r="J221" s="174"/>
      <c r="K221" s="196">
        <f>SUM(K219:K220)</f>
        <v>235169.40999999997</v>
      </c>
      <c r="L221" s="196">
        <f>SUM(L219:L220)</f>
        <v>237041.77406795617</v>
      </c>
      <c r="M221" s="196">
        <f>SUM(M219:M220)</f>
        <v>234251.12940971262</v>
      </c>
      <c r="N221" s="196"/>
      <c r="O221" s="196">
        <f>SUM(O219:O220)</f>
        <v>271874.07022779429</v>
      </c>
      <c r="P221" s="196">
        <f>SUM(P219:P220)</f>
        <v>349275.35762858333</v>
      </c>
    </row>
    <row r="222" spans="1:21" x14ac:dyDescent="0.2">
      <c r="A222" s="137">
        <f t="shared" si="12"/>
        <v>212</v>
      </c>
      <c r="B222" s="175"/>
      <c r="C222" s="163"/>
      <c r="D222" s="163"/>
      <c r="E222" s="163"/>
      <c r="F222" s="174"/>
      <c r="G222" s="179"/>
      <c r="H222" s="174"/>
      <c r="I222" s="174"/>
      <c r="J222" s="174"/>
      <c r="K222" s="189"/>
      <c r="L222" s="189"/>
      <c r="M222" s="189"/>
      <c r="N222" s="189"/>
      <c r="O222" s="189"/>
      <c r="P222" s="189"/>
    </row>
    <row r="223" spans="1:21" ht="12" thickBot="1" x14ac:dyDescent="0.25">
      <c r="A223" s="137">
        <f t="shared" si="12"/>
        <v>213</v>
      </c>
      <c r="B223" s="117" t="s">
        <v>225</v>
      </c>
      <c r="C223" s="163"/>
      <c r="D223" s="163"/>
      <c r="E223" s="163"/>
      <c r="G223" s="163"/>
      <c r="K223" s="197">
        <f>SUM(K216,K221)</f>
        <v>556601.56000000006</v>
      </c>
      <c r="L223" s="197">
        <f>SUM(L216,L221)</f>
        <v>560555.06461043563</v>
      </c>
      <c r="M223" s="197">
        <f>SUM(M216,M221)</f>
        <v>553890.56153093313</v>
      </c>
      <c r="N223" s="197"/>
      <c r="O223" s="197">
        <f>SUM(O216,O221)</f>
        <v>743987.79889278603</v>
      </c>
      <c r="P223" s="197">
        <f>SUM(P216,P221)</f>
        <v>955673.97895348817</v>
      </c>
    </row>
    <row r="224" spans="1:21" ht="12.75" thickTop="1" thickBot="1" x14ac:dyDescent="0.25">
      <c r="A224" s="137">
        <f t="shared" si="12"/>
        <v>214</v>
      </c>
      <c r="B224" s="288" t="s">
        <v>160</v>
      </c>
      <c r="C224" s="163"/>
      <c r="D224" s="163"/>
      <c r="E224" s="163"/>
      <c r="G224" s="291">
        <f t="shared" ref="G224:I225" si="13">G197-SUM(G214,G219)</f>
        <v>0</v>
      </c>
      <c r="H224" s="291">
        <f t="shared" si="13"/>
        <v>0</v>
      </c>
      <c r="I224" s="291">
        <f t="shared" si="13"/>
        <v>0</v>
      </c>
      <c r="K224" s="189"/>
      <c r="L224" s="189"/>
      <c r="M224" s="189"/>
      <c r="N224" s="189"/>
      <c r="O224" s="189"/>
      <c r="P224" s="189"/>
    </row>
    <row r="225" spans="1:21" ht="12" thickBot="1" x14ac:dyDescent="0.25">
      <c r="A225" s="137">
        <f t="shared" si="12"/>
        <v>215</v>
      </c>
      <c r="B225" s="288" t="s">
        <v>160</v>
      </c>
      <c r="C225" s="163"/>
      <c r="D225" s="163"/>
      <c r="E225" s="163"/>
      <c r="F225" s="174"/>
      <c r="G225" s="291">
        <f t="shared" si="13"/>
        <v>0</v>
      </c>
      <c r="H225" s="291">
        <f t="shared" si="13"/>
        <v>0</v>
      </c>
      <c r="I225" s="291">
        <f t="shared" si="13"/>
        <v>0</v>
      </c>
      <c r="J225" s="174"/>
      <c r="K225" s="189"/>
      <c r="L225" s="189"/>
      <c r="M225" s="189"/>
      <c r="N225" s="189"/>
      <c r="O225" s="204" t="s">
        <v>164</v>
      </c>
      <c r="P225" s="204" t="s">
        <v>163</v>
      </c>
    </row>
    <row r="226" spans="1:21" x14ac:dyDescent="0.2">
      <c r="A226" s="137">
        <f t="shared" si="12"/>
        <v>216</v>
      </c>
      <c r="B226" s="242"/>
      <c r="C226" s="205"/>
      <c r="D226" s="205"/>
      <c r="E226" s="205"/>
      <c r="F226" s="206"/>
      <c r="G226" s="207"/>
      <c r="H226" s="206"/>
      <c r="I226" s="206"/>
      <c r="J226" s="206"/>
      <c r="K226" s="208"/>
      <c r="L226" s="208"/>
      <c r="M226" s="208"/>
      <c r="N226" s="208"/>
      <c r="O226" s="209"/>
      <c r="P226" s="209"/>
    </row>
    <row r="227" spans="1:21" x14ac:dyDescent="0.2">
      <c r="A227" s="137">
        <f t="shared" si="12"/>
        <v>217</v>
      </c>
      <c r="B227" s="243" t="s">
        <v>273</v>
      </c>
      <c r="C227" s="163"/>
      <c r="D227" s="163"/>
      <c r="E227" s="163"/>
      <c r="F227" s="174"/>
      <c r="G227" s="179"/>
      <c r="H227" s="174"/>
      <c r="I227" s="174"/>
      <c r="J227" s="174"/>
      <c r="K227" s="189"/>
      <c r="L227" s="2">
        <f>O227/O230</f>
        <v>0.3473365810274846</v>
      </c>
      <c r="M227" s="2">
        <f>P227/P230</f>
        <v>0.3473365810274846</v>
      </c>
      <c r="N227" s="2"/>
      <c r="O227" s="292">
        <v>18828813.980762526</v>
      </c>
      <c r="P227" s="292">
        <f>O227</f>
        <v>18828813.980762526</v>
      </c>
    </row>
    <row r="228" spans="1:21" x14ac:dyDescent="0.2">
      <c r="A228" s="137">
        <f t="shared" si="12"/>
        <v>218</v>
      </c>
      <c r="B228" s="244" t="s">
        <v>272</v>
      </c>
      <c r="C228" s="163"/>
      <c r="D228" s="163"/>
      <c r="E228" s="163"/>
      <c r="F228" s="174"/>
      <c r="G228" s="179"/>
      <c r="H228" s="174"/>
      <c r="I228" s="174"/>
      <c r="J228" s="174"/>
      <c r="K228" s="189"/>
      <c r="L228" s="2">
        <f>O228/O230</f>
        <v>0.17383298549178347</v>
      </c>
      <c r="M228" s="2">
        <f>P228/P230</f>
        <v>0.17383298549178347</v>
      </c>
      <c r="N228" s="2"/>
      <c r="O228" s="292">
        <v>9423334.9619065467</v>
      </c>
      <c r="P228" s="292">
        <f>O228</f>
        <v>9423334.9619065467</v>
      </c>
    </row>
    <row r="229" spans="1:21" x14ac:dyDescent="0.2">
      <c r="A229" s="137">
        <f t="shared" si="12"/>
        <v>219</v>
      </c>
      <c r="B229" s="244" t="s">
        <v>271</v>
      </c>
      <c r="C229" s="163"/>
      <c r="D229" s="163"/>
      <c r="E229" s="163"/>
      <c r="F229" s="174"/>
      <c r="G229" s="179"/>
      <c r="H229" s="174"/>
      <c r="I229" s="174"/>
      <c r="J229" s="174"/>
      <c r="K229" s="189"/>
      <c r="L229" s="2">
        <f>O229/O230</f>
        <v>0.47883043348073195</v>
      </c>
      <c r="M229" s="2">
        <f>P229/P230</f>
        <v>0.47883043348073195</v>
      </c>
      <c r="N229" s="2"/>
      <c r="O229" s="292">
        <v>25956981.362764001</v>
      </c>
      <c r="P229" s="292">
        <f>O229</f>
        <v>25956981.362764001</v>
      </c>
    </row>
    <row r="230" spans="1:21" ht="12" thickBot="1" x14ac:dyDescent="0.25">
      <c r="A230" s="137">
        <f t="shared" si="12"/>
        <v>220</v>
      </c>
      <c r="B230" s="244" t="s">
        <v>270</v>
      </c>
      <c r="C230" s="163"/>
      <c r="D230" s="163"/>
      <c r="E230" s="163"/>
      <c r="F230" s="174"/>
      <c r="G230" s="179"/>
      <c r="H230" s="174"/>
      <c r="I230" s="174"/>
      <c r="J230" s="174"/>
      <c r="K230" s="189"/>
      <c r="L230" s="211">
        <f>SUM(L227:L229)</f>
        <v>1</v>
      </c>
      <c r="M230" s="211">
        <f>SUM(M227:M229)</f>
        <v>1</v>
      </c>
      <c r="N230" s="212"/>
      <c r="O230" s="213">
        <f>SUM(O227:O229)</f>
        <v>54209130.305433072</v>
      </c>
      <c r="P230" s="213">
        <f>SUM(P227:P229)</f>
        <v>54209130.305433072</v>
      </c>
    </row>
    <row r="231" spans="1:21" ht="12.75" thickTop="1" thickBot="1" x14ac:dyDescent="0.25">
      <c r="A231" s="137">
        <f t="shared" si="12"/>
        <v>221</v>
      </c>
      <c r="B231" s="245" t="s">
        <v>269</v>
      </c>
      <c r="C231" s="216"/>
      <c r="D231" s="216"/>
      <c r="E231" s="216"/>
      <c r="F231" s="217"/>
      <c r="G231" s="218"/>
      <c r="H231" s="217"/>
      <c r="I231" s="217"/>
      <c r="J231" s="217"/>
      <c r="K231" s="219"/>
      <c r="L231" s="219"/>
      <c r="M231" s="219"/>
      <c r="N231" s="219"/>
      <c r="O231" s="220"/>
      <c r="P231" s="220"/>
    </row>
    <row r="232" spans="1:21" x14ac:dyDescent="0.2">
      <c r="A232" s="137">
        <f t="shared" si="12"/>
        <v>222</v>
      </c>
      <c r="B232" s="190"/>
      <c r="C232" s="191"/>
      <c r="D232" s="191"/>
      <c r="E232" s="191"/>
      <c r="F232" s="191"/>
      <c r="G232" s="192"/>
      <c r="H232" s="192"/>
      <c r="I232" s="192"/>
      <c r="J232" s="191"/>
      <c r="K232" s="191"/>
      <c r="L232" s="191"/>
      <c r="M232" s="191"/>
      <c r="N232" s="191"/>
      <c r="O232" s="191"/>
      <c r="P232" s="191"/>
      <c r="Q232" s="191"/>
      <c r="R232" s="191"/>
      <c r="S232" s="191"/>
      <c r="T232" s="191"/>
      <c r="U232" s="191"/>
    </row>
    <row r="233" spans="1:21" x14ac:dyDescent="0.2">
      <c r="A233" s="137">
        <f t="shared" si="12"/>
        <v>223</v>
      </c>
    </row>
    <row r="234" spans="1:21" x14ac:dyDescent="0.2">
      <c r="A234" s="137">
        <f t="shared" si="12"/>
        <v>224</v>
      </c>
      <c r="B234" s="248" t="str">
        <f>CONCATENATE("SCHEDULE"," ", 'Exh CTM-6 (Tariff)'!B88)</f>
        <v>SCHEDULE 35</v>
      </c>
    </row>
    <row r="235" spans="1:21" x14ac:dyDescent="0.2">
      <c r="A235" s="137">
        <f t="shared" si="12"/>
        <v>225</v>
      </c>
      <c r="B235" s="141" t="s">
        <v>268</v>
      </c>
    </row>
    <row r="236" spans="1:21" x14ac:dyDescent="0.2">
      <c r="A236" s="137">
        <f t="shared" si="12"/>
        <v>226</v>
      </c>
    </row>
    <row r="237" spans="1:21" x14ac:dyDescent="0.2">
      <c r="A237" s="137">
        <f t="shared" si="12"/>
        <v>227</v>
      </c>
      <c r="B237" s="117" t="s">
        <v>55</v>
      </c>
      <c r="C237" s="163">
        <v>23</v>
      </c>
      <c r="D237" s="163">
        <v>15.333333333333336</v>
      </c>
      <c r="E237" s="163">
        <v>15.333333333333336</v>
      </c>
      <c r="F237" s="174"/>
      <c r="G237" s="224">
        <f>'Exh CTM-6 (Tariff)'!D89</f>
        <v>358.11</v>
      </c>
      <c r="H237" s="42">
        <f>G237*(1+R237)</f>
        <v>465.54300000000001</v>
      </c>
      <c r="I237" s="42">
        <f>H237*(1+S237)</f>
        <v>605.20590000000004</v>
      </c>
      <c r="J237" s="174"/>
      <c r="K237" s="174">
        <f>G237*C237</f>
        <v>8236.5300000000007</v>
      </c>
      <c r="L237" s="174">
        <f>G237*D237</f>
        <v>5491.0200000000013</v>
      </c>
      <c r="M237" s="174">
        <f>G237*E237</f>
        <v>5491.0200000000013</v>
      </c>
      <c r="N237" s="174"/>
      <c r="O237" s="174">
        <f>H237*D237</f>
        <v>7138.3260000000009</v>
      </c>
      <c r="P237" s="174">
        <f>I237*E237</f>
        <v>9279.8238000000019</v>
      </c>
      <c r="Q237" s="174"/>
      <c r="R237" s="3">
        <v>0.3</v>
      </c>
      <c r="S237" s="3">
        <f>R237</f>
        <v>0.3</v>
      </c>
      <c r="U237" s="117" t="s">
        <v>264</v>
      </c>
    </row>
    <row r="238" spans="1:21" x14ac:dyDescent="0.2">
      <c r="A238" s="137">
        <f t="shared" si="12"/>
        <v>228</v>
      </c>
      <c r="B238" s="117" t="s">
        <v>263</v>
      </c>
      <c r="C238" s="163"/>
      <c r="D238" s="163"/>
      <c r="E238" s="163"/>
      <c r="F238" s="174"/>
      <c r="G238" s="195"/>
      <c r="H238" s="174"/>
      <c r="I238" s="174"/>
      <c r="J238" s="174"/>
      <c r="K238" s="189"/>
      <c r="L238" s="189"/>
      <c r="M238" s="189"/>
      <c r="N238" s="189"/>
      <c r="O238" s="189"/>
      <c r="P238" s="189"/>
      <c r="Q238" s="174"/>
      <c r="R238" s="174"/>
      <c r="S238" s="174"/>
      <c r="T238" s="174"/>
      <c r="U238" s="174"/>
    </row>
    <row r="239" spans="1:21" x14ac:dyDescent="0.2">
      <c r="A239" s="137">
        <f t="shared" si="12"/>
        <v>229</v>
      </c>
      <c r="B239" s="181" t="s">
        <v>231</v>
      </c>
      <c r="C239" s="163">
        <v>4259760</v>
      </c>
      <c r="D239" s="163">
        <v>4407260.1568774413</v>
      </c>
      <c r="E239" s="163">
        <v>4380281.1514552524</v>
      </c>
      <c r="F239" s="174"/>
      <c r="G239" s="182">
        <f>'Exh CTM-6 (Tariff)'!D91</f>
        <v>5.3178000000000003E-2</v>
      </c>
      <c r="H239" s="182">
        <f>G239+R239</f>
        <v>8.0796474616287278E-2</v>
      </c>
      <c r="I239" s="182">
        <f>H239+S239</f>
        <v>8.8636008417079415E-2</v>
      </c>
      <c r="J239" s="174"/>
      <c r="K239" s="174">
        <f>G239*C239</f>
        <v>226525.51728</v>
      </c>
      <c r="L239" s="174">
        <f>G239*D239</f>
        <v>234369.28062242857</v>
      </c>
      <c r="M239" s="174">
        <f>G239*E239</f>
        <v>232934.59107208744</v>
      </c>
      <c r="N239" s="174"/>
      <c r="O239" s="174">
        <f>H239*D239</f>
        <v>356091.08339252247</v>
      </c>
      <c r="P239" s="174">
        <f>I239*E239</f>
        <v>388250.63700956205</v>
      </c>
      <c r="Q239" s="174"/>
      <c r="R239" s="182">
        <f>(R252-(O237-L237)-(O247-L247)-(O249-L249))/D243</f>
        <v>2.7618474616287268E-2</v>
      </c>
      <c r="S239" s="182">
        <f>((S252+R252)-(P237-M237)-(P247-M247)-(P249-M249))/E243-R239</f>
        <v>7.8395338007921436E-3</v>
      </c>
      <c r="U239" s="141" t="s">
        <v>230</v>
      </c>
    </row>
    <row r="240" spans="1:21" x14ac:dyDescent="0.2">
      <c r="A240" s="137">
        <f t="shared" si="12"/>
        <v>230</v>
      </c>
      <c r="B240" s="175" t="s">
        <v>226</v>
      </c>
      <c r="C240" s="193">
        <f>SUM(C239:C239)</f>
        <v>4259760</v>
      </c>
      <c r="D240" s="193">
        <f>SUM(D239:D239)</f>
        <v>4407260.1568774413</v>
      </c>
      <c r="E240" s="193">
        <f>SUM(E239:E239)</f>
        <v>4380281.1514552524</v>
      </c>
      <c r="F240" s="174"/>
      <c r="G240" s="203"/>
      <c r="H240" s="174"/>
      <c r="I240" s="174"/>
      <c r="J240" s="174"/>
      <c r="K240" s="196">
        <f>SUM(K239:K239)</f>
        <v>226525.51728</v>
      </c>
      <c r="L240" s="196">
        <f>SUM(L239:L239)</f>
        <v>234369.28062242857</v>
      </c>
      <c r="M240" s="196">
        <f>SUM(M239:M239)</f>
        <v>232934.59107208744</v>
      </c>
      <c r="N240" s="196"/>
      <c r="O240" s="196">
        <f>SUM(O239:O239)</f>
        <v>356091.08339252247</v>
      </c>
      <c r="P240" s="196">
        <f>SUM(P239:P239)</f>
        <v>388250.63700956205</v>
      </c>
      <c r="Q240" s="174"/>
      <c r="R240" s="174"/>
      <c r="S240" s="174"/>
      <c r="T240" s="174"/>
      <c r="U240" s="174"/>
    </row>
    <row r="241" spans="1:21" x14ac:dyDescent="0.2">
      <c r="A241" s="137">
        <f t="shared" si="12"/>
        <v>231</v>
      </c>
      <c r="B241" s="181" t="s">
        <v>229</v>
      </c>
      <c r="C241" s="163">
        <v>0</v>
      </c>
      <c r="D241" s="185" t="s">
        <v>227</v>
      </c>
      <c r="E241" s="185"/>
      <c r="F241" s="174"/>
      <c r="G241" s="194">
        <f>IFERROR(K241/C241,0)</f>
        <v>0</v>
      </c>
      <c r="H241" s="174"/>
      <c r="I241" s="174"/>
      <c r="J241" s="174"/>
      <c r="K241" s="189">
        <v>0</v>
      </c>
      <c r="L241" s="174">
        <f>G241*D241</f>
        <v>0</v>
      </c>
      <c r="M241" s="174">
        <f>G241*E241</f>
        <v>0</v>
      </c>
      <c r="N241" s="174"/>
      <c r="O241" s="174">
        <f>H241*D241</f>
        <v>0</v>
      </c>
      <c r="P241" s="174">
        <f>I241*E241</f>
        <v>0</v>
      </c>
      <c r="Q241" s="174"/>
      <c r="R241" s="174"/>
      <c r="S241" s="174"/>
      <c r="T241" s="174"/>
      <c r="U241" s="174"/>
    </row>
    <row r="242" spans="1:21" x14ac:dyDescent="0.2">
      <c r="A242" s="137">
        <f t="shared" si="12"/>
        <v>232</v>
      </c>
      <c r="B242" s="184" t="s">
        <v>228</v>
      </c>
      <c r="C242" s="163">
        <v>1013010</v>
      </c>
      <c r="D242" s="185" t="s">
        <v>227</v>
      </c>
      <c r="E242" s="185"/>
      <c r="F242" s="174"/>
      <c r="G242" s="194">
        <f>K242/C242</f>
        <v>9.5761147471397121E-2</v>
      </c>
      <c r="H242" s="174"/>
      <c r="I242" s="174"/>
      <c r="J242" s="174"/>
      <c r="K242" s="189">
        <v>97007</v>
      </c>
      <c r="L242" s="174">
        <f>G242*D242</f>
        <v>0</v>
      </c>
      <c r="M242" s="174">
        <f>G242*E242</f>
        <v>0</v>
      </c>
      <c r="N242" s="174"/>
      <c r="O242" s="174">
        <f>H242*D242</f>
        <v>0</v>
      </c>
      <c r="P242" s="174">
        <f>I242*E242</f>
        <v>0</v>
      </c>
      <c r="Q242" s="174"/>
      <c r="R242" s="174"/>
      <c r="S242" s="174"/>
      <c r="T242" s="174"/>
      <c r="U242" s="174"/>
    </row>
    <row r="243" spans="1:21" x14ac:dyDescent="0.2">
      <c r="A243" s="137">
        <f t="shared" si="12"/>
        <v>233</v>
      </c>
      <c r="B243" s="175" t="s">
        <v>226</v>
      </c>
      <c r="C243" s="193">
        <f>SUM(C240:C242)</f>
        <v>5272770</v>
      </c>
      <c r="D243" s="193">
        <f>SUM(D240:D242)</f>
        <v>4407260.1568774413</v>
      </c>
      <c r="E243" s="193">
        <f>SUM(E240:E242)</f>
        <v>4380281.1514552524</v>
      </c>
      <c r="F243" s="174"/>
      <c r="G243" s="194"/>
      <c r="H243" s="174"/>
      <c r="I243" s="174"/>
      <c r="J243" s="174"/>
      <c r="K243" s="196">
        <f>SUM(K240:K242)</f>
        <v>323532.51728000003</v>
      </c>
      <c r="L243" s="196">
        <f>SUM(L240:L242)</f>
        <v>234369.28062242857</v>
      </c>
      <c r="M243" s="196">
        <f>SUM(M240:M242)</f>
        <v>232934.59107208744</v>
      </c>
      <c r="N243" s="196"/>
      <c r="O243" s="196">
        <f>SUM(O240:O242)</f>
        <v>356091.08339252247</v>
      </c>
      <c r="P243" s="196">
        <f>SUM(P240:P242)</f>
        <v>388250.63700956205</v>
      </c>
      <c r="Q243" s="174"/>
      <c r="R243" s="174"/>
      <c r="S243" s="174"/>
      <c r="T243" s="174"/>
      <c r="U243" s="174"/>
    </row>
    <row r="244" spans="1:21" x14ac:dyDescent="0.2">
      <c r="A244" s="137">
        <f t="shared" si="12"/>
        <v>234</v>
      </c>
      <c r="B244" s="117" t="s">
        <v>262</v>
      </c>
      <c r="C244" s="163"/>
      <c r="D244" s="163"/>
      <c r="E244" s="163"/>
      <c r="F244" s="174"/>
      <c r="G244" s="179"/>
      <c r="H244" s="174"/>
      <c r="I244" s="174"/>
      <c r="J244" s="174"/>
      <c r="K244" s="189"/>
      <c r="L244" s="189"/>
      <c r="M244" s="189"/>
      <c r="N244" s="189"/>
      <c r="O244" s="189"/>
      <c r="P244" s="189"/>
      <c r="Q244" s="174"/>
      <c r="R244" s="174"/>
      <c r="S244" s="174"/>
      <c r="T244" s="174"/>
      <c r="U244" s="174"/>
    </row>
    <row r="245" spans="1:21" x14ac:dyDescent="0.2">
      <c r="A245" s="137">
        <f t="shared" si="12"/>
        <v>235</v>
      </c>
      <c r="B245" s="181" t="s">
        <v>267</v>
      </c>
      <c r="C245" s="163">
        <v>1114</v>
      </c>
      <c r="D245" s="163">
        <v>2128.9361059551925</v>
      </c>
      <c r="E245" s="163">
        <v>2115.8748434374315</v>
      </c>
      <c r="F245" s="174"/>
      <c r="G245" s="224">
        <f>'Exh CTM-6 (Tariff)'!D93</f>
        <v>4.92</v>
      </c>
      <c r="H245" s="42">
        <f>G245*(1+R245)</f>
        <v>6.3959999999999999</v>
      </c>
      <c r="I245" s="42">
        <f>H245*(1+S245)</f>
        <v>8.3148</v>
      </c>
      <c r="J245" s="174"/>
      <c r="K245" s="174">
        <f>G245*C245</f>
        <v>5480.88</v>
      </c>
      <c r="L245" s="174">
        <f>G245*D245</f>
        <v>10474.365641299546</v>
      </c>
      <c r="M245" s="174">
        <f>G245*E245</f>
        <v>10410.104229712162</v>
      </c>
      <c r="N245" s="174"/>
      <c r="O245" s="174">
        <f>H245*D245</f>
        <v>13616.675333689411</v>
      </c>
      <c r="P245" s="174">
        <f>I245*E245</f>
        <v>17593.076148213557</v>
      </c>
      <c r="Q245" s="174"/>
      <c r="R245" s="3">
        <v>0.3</v>
      </c>
      <c r="S245" s="3">
        <f>R245</f>
        <v>0.3</v>
      </c>
      <c r="T245" s="174"/>
      <c r="U245" s="141" t="s">
        <v>239</v>
      </c>
    </row>
    <row r="246" spans="1:21" x14ac:dyDescent="0.2">
      <c r="A246" s="137">
        <f t="shared" si="12"/>
        <v>236</v>
      </c>
      <c r="B246" s="181" t="s">
        <v>266</v>
      </c>
      <c r="C246" s="163">
        <v>6962</v>
      </c>
      <c r="D246" s="163">
        <v>6067.4318320259426</v>
      </c>
      <c r="E246" s="163">
        <v>6030.4348333722037</v>
      </c>
      <c r="F246" s="174"/>
      <c r="G246" s="224">
        <f>'Exh CTM-6 (Tariff)'!D94</f>
        <v>3.28</v>
      </c>
      <c r="H246" s="42">
        <f>G246*(1+R246)</f>
        <v>4.2640000000000002</v>
      </c>
      <c r="I246" s="42">
        <f>H246*(1+S246)</f>
        <v>5.5432000000000006</v>
      </c>
      <c r="J246" s="174"/>
      <c r="K246" s="174">
        <f>G246*C246</f>
        <v>22835.359999999997</v>
      </c>
      <c r="L246" s="174">
        <f>G246*D246</f>
        <v>19901.176409045092</v>
      </c>
      <c r="M246" s="174">
        <f>G246*E246</f>
        <v>19779.826253460826</v>
      </c>
      <c r="N246" s="174"/>
      <c r="O246" s="174">
        <f>H246*D246</f>
        <v>25871.529331758622</v>
      </c>
      <c r="P246" s="174">
        <f>I246*E246</f>
        <v>33427.906368348806</v>
      </c>
      <c r="Q246" s="174"/>
      <c r="R246" s="49">
        <f>R245</f>
        <v>0.3</v>
      </c>
      <c r="S246" s="49">
        <f>S245</f>
        <v>0.3</v>
      </c>
      <c r="T246" s="174"/>
      <c r="U246" s="141" t="s">
        <v>239</v>
      </c>
    </row>
    <row r="247" spans="1:21" x14ac:dyDescent="0.2">
      <c r="A247" s="137">
        <f t="shared" si="12"/>
        <v>237</v>
      </c>
      <c r="B247" s="175" t="s">
        <v>226</v>
      </c>
      <c r="C247" s="193">
        <f>SUM(C245:C246)</f>
        <v>8076</v>
      </c>
      <c r="D247" s="193">
        <f>SUM(D245:D246)</f>
        <v>8196.3679379811347</v>
      </c>
      <c r="E247" s="193">
        <f>SUM(E245:E246)</f>
        <v>8146.3096768096348</v>
      </c>
      <c r="F247" s="174"/>
      <c r="G247" s="179"/>
      <c r="K247" s="196">
        <f>SUM(K245:K246)</f>
        <v>28316.239999999998</v>
      </c>
      <c r="L247" s="196">
        <f>SUM(L245:L246)</f>
        <v>30375.542050344637</v>
      </c>
      <c r="M247" s="196">
        <f>SUM(M245:M246)</f>
        <v>30189.93048317299</v>
      </c>
      <c r="N247" s="196"/>
      <c r="O247" s="196">
        <f>SUM(O245:O246)</f>
        <v>39488.204665448036</v>
      </c>
      <c r="P247" s="196">
        <f>SUM(P245:P246)</f>
        <v>51020.982516562362</v>
      </c>
    </row>
    <row r="248" spans="1:21" x14ac:dyDescent="0.2">
      <c r="A248" s="137">
        <f t="shared" si="12"/>
        <v>238</v>
      </c>
      <c r="C248" s="163"/>
      <c r="D248" s="163"/>
      <c r="E248" s="163"/>
      <c r="F248" s="174"/>
      <c r="G248" s="163"/>
      <c r="K248" s="189"/>
      <c r="L248" s="189"/>
      <c r="M248" s="189"/>
      <c r="N248" s="189"/>
      <c r="O248" s="189"/>
      <c r="P248" s="189"/>
      <c r="U248" s="178"/>
    </row>
    <row r="249" spans="1:21" x14ac:dyDescent="0.2">
      <c r="A249" s="137">
        <f t="shared" si="12"/>
        <v>239</v>
      </c>
      <c r="B249" s="117" t="s">
        <v>258</v>
      </c>
      <c r="C249" s="163">
        <v>2366991</v>
      </c>
      <c r="D249" s="163">
        <v>2377596.2053471482</v>
      </c>
      <c r="E249" s="163">
        <v>2362758.1274313945</v>
      </c>
      <c r="F249" s="174"/>
      <c r="G249" s="290">
        <f>'Exh CTM-6 (Tariff)'!D96</f>
        <v>1.1800000000000001E-3</v>
      </c>
      <c r="H249" s="47">
        <f>G249*(1+R249)</f>
        <v>1.5340000000000002E-3</v>
      </c>
      <c r="I249" s="47">
        <f>H249*(1+S249)</f>
        <v>1.9942000000000002E-3</v>
      </c>
      <c r="J249" s="174"/>
      <c r="K249" s="174">
        <f>G249*C249</f>
        <v>2793.0493799999999</v>
      </c>
      <c r="L249" s="174">
        <f>G249*D249</f>
        <v>2805.5635223096351</v>
      </c>
      <c r="M249" s="174">
        <f>G249*E249</f>
        <v>2788.0545903690459</v>
      </c>
      <c r="N249" s="174"/>
      <c r="O249" s="174">
        <f>H249*D249</f>
        <v>3647.2325790025261</v>
      </c>
      <c r="P249" s="174">
        <f>I249*E249</f>
        <v>4711.8122577236873</v>
      </c>
      <c r="Q249" s="174"/>
      <c r="R249" s="3">
        <v>0.3</v>
      </c>
      <c r="S249" s="3">
        <f>R249</f>
        <v>0.3</v>
      </c>
      <c r="T249" s="174"/>
      <c r="U249" s="141" t="s">
        <v>237</v>
      </c>
    </row>
    <row r="250" spans="1:21" x14ac:dyDescent="0.2">
      <c r="A250" s="137">
        <f t="shared" si="12"/>
        <v>240</v>
      </c>
      <c r="C250" s="163"/>
      <c r="D250" s="163"/>
      <c r="E250" s="163"/>
      <c r="G250" s="163"/>
      <c r="K250" s="189"/>
      <c r="L250" s="189"/>
      <c r="M250" s="189"/>
      <c r="N250" s="189"/>
      <c r="O250" s="189"/>
      <c r="P250" s="189"/>
    </row>
    <row r="251" spans="1:21" ht="12" thickBot="1" x14ac:dyDescent="0.25">
      <c r="A251" s="137">
        <f t="shared" si="12"/>
        <v>241</v>
      </c>
      <c r="B251" s="117" t="s">
        <v>225</v>
      </c>
      <c r="C251" s="163"/>
      <c r="D251" s="163"/>
      <c r="E251" s="163"/>
      <c r="G251" s="163"/>
      <c r="K251" s="197">
        <f>SUM(K237,K243,K247,K249)</f>
        <v>362878.33666000003</v>
      </c>
      <c r="L251" s="197">
        <f>SUM(L237,L243,L247,L249)</f>
        <v>273041.40619508282</v>
      </c>
      <c r="M251" s="197">
        <f>SUM(M237,M243,M247,M249)</f>
        <v>271403.59614562948</v>
      </c>
      <c r="N251" s="197"/>
      <c r="O251" s="197">
        <f>SUM(O237,O243,O247,O249)</f>
        <v>406364.84663697303</v>
      </c>
      <c r="P251" s="197">
        <f>SUM(P237,P243,P247,P249)</f>
        <v>453263.25558384816</v>
      </c>
      <c r="R251" s="188">
        <f>'Exh CTM-6 (Rate Spread)'!U20</f>
        <v>406364.84663697297</v>
      </c>
      <c r="S251" s="188">
        <f>'Exh CTM-6 (Rate Spread)'!AB20</f>
        <v>453263.25558384811</v>
      </c>
    </row>
    <row r="252" spans="1:21" ht="12" thickTop="1" x14ac:dyDescent="0.2">
      <c r="A252" s="137">
        <f t="shared" si="12"/>
        <v>242</v>
      </c>
      <c r="B252" s="141" t="s">
        <v>224</v>
      </c>
      <c r="C252" s="163"/>
      <c r="D252" s="163"/>
      <c r="E252" s="163"/>
      <c r="G252" s="163"/>
      <c r="K252" s="189"/>
      <c r="L252" s="189"/>
      <c r="M252" s="189"/>
      <c r="N252" s="189"/>
      <c r="O252" s="189"/>
      <c r="P252" s="189"/>
      <c r="R252" s="174">
        <f>R251-L251</f>
        <v>133323.44044189015</v>
      </c>
      <c r="S252" s="174">
        <f>S251-M251-R252</f>
        <v>48536.218996328476</v>
      </c>
      <c r="T252" s="174"/>
    </row>
    <row r="253" spans="1:21" x14ac:dyDescent="0.2">
      <c r="A253" s="137">
        <f t="shared" si="12"/>
        <v>243</v>
      </c>
      <c r="B253" s="141" t="s">
        <v>223</v>
      </c>
      <c r="C253" s="163"/>
      <c r="D253" s="163"/>
      <c r="E253" s="163"/>
      <c r="K253" s="189"/>
      <c r="L253" s="189"/>
      <c r="M253" s="189"/>
      <c r="N253" s="189"/>
      <c r="O253" s="189"/>
      <c r="P253" s="189"/>
      <c r="R253" s="23">
        <f>R252/L251</f>
        <v>0.48829019121969042</v>
      </c>
      <c r="S253" s="23">
        <f>S252/M251</f>
        <v>0.17883410421092932</v>
      </c>
      <c r="T253" s="174"/>
    </row>
    <row r="254" spans="1:21" x14ac:dyDescent="0.2">
      <c r="A254" s="137">
        <f t="shared" si="12"/>
        <v>244</v>
      </c>
      <c r="B254" s="288" t="s">
        <v>160</v>
      </c>
      <c r="C254" s="163">
        <v>0</v>
      </c>
      <c r="D254" s="163"/>
      <c r="E254" s="163"/>
      <c r="K254" s="163">
        <v>-0.33666000002995133</v>
      </c>
      <c r="L254" s="174">
        <v>0</v>
      </c>
      <c r="M254" s="174">
        <v>0</v>
      </c>
      <c r="N254" s="174"/>
      <c r="O254" s="189"/>
      <c r="P254" s="189"/>
      <c r="R254" s="174">
        <f>R251-O251</f>
        <v>0</v>
      </c>
      <c r="S254" s="174">
        <f>S251-P251</f>
        <v>0</v>
      </c>
      <c r="T254" s="189"/>
    </row>
    <row r="255" spans="1:21" ht="12" thickBot="1" x14ac:dyDescent="0.25">
      <c r="A255" s="137">
        <f t="shared" si="12"/>
        <v>245</v>
      </c>
      <c r="B255" s="198" t="s">
        <v>257</v>
      </c>
      <c r="G255" s="201">
        <f>ROUND(SUM(K247)/SUM(C247),2)</f>
        <v>3.51</v>
      </c>
      <c r="H255" s="201">
        <f>ROUND(SUM(O247)/SUM(D247),2)</f>
        <v>4.82</v>
      </c>
      <c r="I255" s="201">
        <f>ROUND(SUM(P247)/SUM(E247),2)</f>
        <v>6.26</v>
      </c>
    </row>
    <row r="256" spans="1:21" ht="12" thickTop="1" x14ac:dyDescent="0.2">
      <c r="A256" s="137">
        <f t="shared" si="12"/>
        <v>246</v>
      </c>
      <c r="B256" s="190"/>
      <c r="C256" s="191"/>
      <c r="D256" s="191"/>
      <c r="E256" s="191"/>
      <c r="F256" s="191"/>
      <c r="G256" s="192"/>
      <c r="H256" s="192"/>
      <c r="I256" s="192"/>
      <c r="J256" s="191"/>
      <c r="K256" s="191"/>
      <c r="L256" s="191"/>
      <c r="M256" s="191"/>
      <c r="N256" s="191"/>
      <c r="O256" s="191"/>
      <c r="P256" s="191"/>
      <c r="Q256" s="191"/>
      <c r="R256" s="191"/>
      <c r="S256" s="191"/>
      <c r="T256" s="191"/>
      <c r="U256" s="191"/>
    </row>
    <row r="257" spans="1:21" x14ac:dyDescent="0.2">
      <c r="A257" s="137">
        <f t="shared" si="12"/>
        <v>247</v>
      </c>
    </row>
    <row r="258" spans="1:21" x14ac:dyDescent="0.2">
      <c r="A258" s="137">
        <f t="shared" si="12"/>
        <v>248</v>
      </c>
      <c r="B258" s="248" t="str">
        <f>CONCATENATE("SCHEDULE"," ", 'Exh CTM-6 (Tariff)'!B98)</f>
        <v>SCHEDULE 43</v>
      </c>
    </row>
    <row r="259" spans="1:21" x14ac:dyDescent="0.2">
      <c r="A259" s="137">
        <f t="shared" si="12"/>
        <v>249</v>
      </c>
      <c r="B259" s="141" t="s">
        <v>265</v>
      </c>
    </row>
    <row r="260" spans="1:21" x14ac:dyDescent="0.2">
      <c r="A260" s="137">
        <f t="shared" si="12"/>
        <v>250</v>
      </c>
    </row>
    <row r="261" spans="1:21" x14ac:dyDescent="0.2">
      <c r="A261" s="137">
        <f t="shared" si="12"/>
        <v>251</v>
      </c>
      <c r="B261" s="117" t="s">
        <v>55</v>
      </c>
      <c r="C261" s="163">
        <v>1729</v>
      </c>
      <c r="D261" s="163">
        <v>1722.2989947704825</v>
      </c>
      <c r="E261" s="163">
        <v>1712.9557640906451</v>
      </c>
      <c r="G261" s="224">
        <f>'Exh CTM-6 (Tariff)'!D99</f>
        <v>358.11</v>
      </c>
      <c r="H261" s="42">
        <f>G261*(1+R261)</f>
        <v>465.54300000000001</v>
      </c>
      <c r="I261" s="42">
        <f>H261*(1+S261)</f>
        <v>605.20590000000004</v>
      </c>
      <c r="K261" s="174">
        <f>G261*C261</f>
        <v>619172.19000000006</v>
      </c>
      <c r="L261" s="174">
        <f>G261*D261</f>
        <v>616772.49301725754</v>
      </c>
      <c r="M261" s="174">
        <f>G261*E261</f>
        <v>613426.58867850096</v>
      </c>
      <c r="N261" s="174"/>
      <c r="O261" s="174">
        <f>H261*D261</f>
        <v>801804.24092243472</v>
      </c>
      <c r="P261" s="174">
        <f>I261*E261</f>
        <v>1036690.9348666666</v>
      </c>
      <c r="Q261" s="174"/>
      <c r="R261" s="3">
        <v>0.3</v>
      </c>
      <c r="S261" s="3">
        <f>R261</f>
        <v>0.3</v>
      </c>
      <c r="U261" s="117" t="s">
        <v>264</v>
      </c>
    </row>
    <row r="262" spans="1:21" x14ac:dyDescent="0.2">
      <c r="A262" s="137">
        <f t="shared" si="12"/>
        <v>252</v>
      </c>
      <c r="B262" s="117" t="s">
        <v>263</v>
      </c>
      <c r="C262" s="163"/>
      <c r="G262" s="195"/>
      <c r="H262" s="174"/>
      <c r="I262" s="174"/>
      <c r="K262" s="189"/>
    </row>
    <row r="263" spans="1:21" x14ac:dyDescent="0.2">
      <c r="A263" s="137">
        <f t="shared" si="12"/>
        <v>253</v>
      </c>
      <c r="B263" s="181" t="s">
        <v>231</v>
      </c>
      <c r="C263" s="163">
        <v>127060173</v>
      </c>
      <c r="D263" s="163">
        <v>122267424.6450724</v>
      </c>
      <c r="E263" s="163">
        <v>121633779.10385114</v>
      </c>
      <c r="G263" s="182">
        <f>'Exh CTM-6 (Tariff)'!D101</f>
        <v>5.7393E-2</v>
      </c>
      <c r="H263" s="182">
        <f>G263+R263</f>
        <v>7.22979517695789E-2</v>
      </c>
      <c r="I263" s="182">
        <f>H263+S263</f>
        <v>7.1509425837447085E-2</v>
      </c>
      <c r="K263" s="174">
        <f>G263*C263</f>
        <v>7292364.5089889998</v>
      </c>
      <c r="L263" s="174">
        <f>G263*D263</f>
        <v>7017294.3026546398</v>
      </c>
      <c r="M263" s="174">
        <f>G263*E263</f>
        <v>6980927.4841073286</v>
      </c>
      <c r="N263" s="174"/>
      <c r="O263" s="174">
        <f>H263*D263</f>
        <v>8839684.369980067</v>
      </c>
      <c r="P263" s="174">
        <f>I263*E263</f>
        <v>8697961.7061552648</v>
      </c>
      <c r="Q263" s="174"/>
      <c r="R263" s="182">
        <f>(R277-(O261-L261)-(O270-L270)-(O274-L274))/D267</f>
        <v>1.4904951769578897E-2</v>
      </c>
      <c r="S263" s="182">
        <f>((S277+R277)-(P261-M261)-(P270-M270)-(P274-M274))/E267-R263</f>
        <v>-7.8852593213181443E-4</v>
      </c>
      <c r="U263" s="141" t="s">
        <v>230</v>
      </c>
    </row>
    <row r="264" spans="1:21" x14ac:dyDescent="0.2">
      <c r="A264" s="137">
        <f t="shared" si="12"/>
        <v>254</v>
      </c>
      <c r="B264" s="175" t="s">
        <v>226</v>
      </c>
      <c r="C264" s="193">
        <f>SUM(C263:C263)</f>
        <v>127060173</v>
      </c>
      <c r="D264" s="193">
        <f>SUM(D263:D263)</f>
        <v>122267424.6450724</v>
      </c>
      <c r="E264" s="193">
        <f>SUM(E263:E263)</f>
        <v>121633779.10385114</v>
      </c>
      <c r="G264" s="203"/>
      <c r="K264" s="196">
        <f>SUM(K263:K263)</f>
        <v>7292364.5089889998</v>
      </c>
      <c r="L264" s="196">
        <f>SUM(L263:L263)</f>
        <v>7017294.3026546398</v>
      </c>
      <c r="M264" s="196">
        <f>SUM(M263:M263)</f>
        <v>6980927.4841073286</v>
      </c>
      <c r="N264" s="196"/>
      <c r="O264" s="196">
        <f>SUM(O263:O263)</f>
        <v>8839684.369980067</v>
      </c>
      <c r="P264" s="196">
        <f>SUM(P263:P263)</f>
        <v>8697961.7061552648</v>
      </c>
      <c r="Q264" s="174"/>
      <c r="R264" s="174"/>
      <c r="S264" s="174"/>
      <c r="T264" s="174"/>
      <c r="U264" s="174"/>
    </row>
    <row r="265" spans="1:21" x14ac:dyDescent="0.2">
      <c r="A265" s="137">
        <f t="shared" si="12"/>
        <v>255</v>
      </c>
      <c r="B265" s="181" t="s">
        <v>229</v>
      </c>
      <c r="C265" s="163">
        <v>-4609223.327797167</v>
      </c>
      <c r="D265" s="185" t="s">
        <v>227</v>
      </c>
      <c r="E265" s="185"/>
      <c r="G265" s="194">
        <f>IFERROR(K265/C265,0)</f>
        <v>8.8718851511027305E-2</v>
      </c>
      <c r="K265" s="189">
        <v>-408925</v>
      </c>
      <c r="L265" s="174">
        <f>G265*D265</f>
        <v>0</v>
      </c>
      <c r="M265" s="174">
        <f>G265*E265</f>
        <v>0</v>
      </c>
      <c r="N265" s="174"/>
      <c r="O265" s="174">
        <f>H265*D265</f>
        <v>0</v>
      </c>
      <c r="P265" s="174">
        <f>I265*E265</f>
        <v>0</v>
      </c>
    </row>
    <row r="266" spans="1:21" x14ac:dyDescent="0.2">
      <c r="A266" s="137">
        <f t="shared" si="12"/>
        <v>256</v>
      </c>
      <c r="B266" s="184" t="s">
        <v>228</v>
      </c>
      <c r="C266" s="163">
        <v>-953312</v>
      </c>
      <c r="D266" s="185" t="s">
        <v>227</v>
      </c>
      <c r="E266" s="185"/>
      <c r="G266" s="194">
        <f>K266/C266</f>
        <v>8.231093283206338E-2</v>
      </c>
      <c r="K266" s="189">
        <v>-78468</v>
      </c>
      <c r="L266" s="174">
        <f>G266*D266</f>
        <v>0</v>
      </c>
      <c r="M266" s="174">
        <f>G266*E266</f>
        <v>0</v>
      </c>
      <c r="N266" s="174"/>
      <c r="O266" s="174">
        <f>H266*D266</f>
        <v>0</v>
      </c>
      <c r="P266" s="174">
        <f>I266*E266</f>
        <v>0</v>
      </c>
    </row>
    <row r="267" spans="1:21" x14ac:dyDescent="0.2">
      <c r="A267" s="137">
        <f t="shared" si="12"/>
        <v>257</v>
      </c>
      <c r="B267" s="175" t="s">
        <v>226</v>
      </c>
      <c r="C267" s="193">
        <f>SUM(C264:C266)</f>
        <v>121497637.67220283</v>
      </c>
      <c r="D267" s="193">
        <f>SUM(D264:D266)</f>
        <v>122267424.6450724</v>
      </c>
      <c r="E267" s="193">
        <f>SUM(E264:E266)</f>
        <v>121633779.10385114</v>
      </c>
      <c r="K267" s="196">
        <f>SUM(K264:K266)</f>
        <v>6804971.5089889998</v>
      </c>
      <c r="L267" s="196">
        <f>SUM(L264:L266)</f>
        <v>7017294.3026546398</v>
      </c>
      <c r="M267" s="196">
        <f>SUM(M264:M266)</f>
        <v>6980927.4841073286</v>
      </c>
      <c r="N267" s="196"/>
      <c r="O267" s="196">
        <f>SUM(O264:O266)</f>
        <v>8839684.369980067</v>
      </c>
      <c r="P267" s="196">
        <f>SUM(P264:P266)</f>
        <v>8697961.7061552648</v>
      </c>
    </row>
    <row r="268" spans="1:21" x14ac:dyDescent="0.2">
      <c r="A268" s="137">
        <f t="shared" ref="A268:A331" si="14">A267+1</f>
        <v>258</v>
      </c>
      <c r="B268" s="117" t="s">
        <v>262</v>
      </c>
      <c r="C268" s="163"/>
      <c r="G268" s="179"/>
      <c r="K268" s="189"/>
    </row>
    <row r="269" spans="1:21" x14ac:dyDescent="0.2">
      <c r="A269" s="137">
        <f t="shared" si="14"/>
        <v>259</v>
      </c>
      <c r="B269" s="181" t="s">
        <v>261</v>
      </c>
      <c r="C269" s="163">
        <v>557332</v>
      </c>
      <c r="D269" s="163">
        <v>579230.53698067076</v>
      </c>
      <c r="E269" s="163">
        <v>573967.09159726952</v>
      </c>
      <c r="G269" s="224">
        <f>'Exh CTM-6 (Tariff)'!D103</f>
        <v>5.01</v>
      </c>
      <c r="H269" s="42">
        <f>G269*(1+R269)</f>
        <v>6.5129999999999999</v>
      </c>
      <c r="I269" s="42">
        <f>H269*(1+S269)</f>
        <v>8.4669000000000008</v>
      </c>
      <c r="K269" s="174">
        <f>G269*C269</f>
        <v>2792233.32</v>
      </c>
      <c r="L269" s="174">
        <f>G269*D269</f>
        <v>2901944.9902731604</v>
      </c>
      <c r="M269" s="174">
        <f>G269*E269</f>
        <v>2875575.1289023203</v>
      </c>
      <c r="N269" s="174"/>
      <c r="O269" s="174">
        <f>H269*D269</f>
        <v>3772528.4873551084</v>
      </c>
      <c r="P269" s="174">
        <f>I269*E269</f>
        <v>4859721.9678449221</v>
      </c>
      <c r="Q269" s="174"/>
      <c r="R269" s="3">
        <v>0.3</v>
      </c>
      <c r="S269" s="3">
        <f>R269</f>
        <v>0.3</v>
      </c>
      <c r="T269" s="174"/>
      <c r="U269" s="141" t="s">
        <v>239</v>
      </c>
    </row>
    <row r="270" spans="1:21" x14ac:dyDescent="0.2">
      <c r="A270" s="137">
        <f t="shared" si="14"/>
        <v>260</v>
      </c>
      <c r="B270" s="175" t="s">
        <v>226</v>
      </c>
      <c r="C270" s="193">
        <f>SUM(C269:C269)</f>
        <v>557332</v>
      </c>
      <c r="D270" s="193">
        <f>SUM(D269:D269)</f>
        <v>579230.53698067076</v>
      </c>
      <c r="E270" s="193">
        <f>SUM(E269:E269)</f>
        <v>573967.09159726952</v>
      </c>
      <c r="G270" s="179"/>
      <c r="K270" s="196">
        <f>SUM(K269:K269)</f>
        <v>2792233.32</v>
      </c>
      <c r="L270" s="196">
        <f>SUM(L269:L269)</f>
        <v>2901944.9902731604</v>
      </c>
      <c r="M270" s="196">
        <f>SUM(M269:M269)</f>
        <v>2875575.1289023203</v>
      </c>
      <c r="N270" s="196"/>
      <c r="O270" s="196">
        <f>SUM(O269:O269)</f>
        <v>3772528.4873551084</v>
      </c>
      <c r="P270" s="196">
        <f>SUM(P269:P269)</f>
        <v>4859721.9678449221</v>
      </c>
    </row>
    <row r="271" spans="1:21" x14ac:dyDescent="0.2">
      <c r="A271" s="137">
        <f t="shared" si="14"/>
        <v>261</v>
      </c>
      <c r="C271" s="163"/>
      <c r="G271" s="163"/>
      <c r="K271" s="189"/>
    </row>
    <row r="272" spans="1:21" x14ac:dyDescent="0.2">
      <c r="A272" s="137">
        <f t="shared" si="14"/>
        <v>262</v>
      </c>
      <c r="B272" s="117" t="s">
        <v>260</v>
      </c>
      <c r="C272" s="163"/>
      <c r="G272" s="210">
        <f>'Exh CTM-6 (Tariff)'!D105</f>
        <v>6.93</v>
      </c>
      <c r="H272" s="42">
        <f>G272*(1+R272)</f>
        <v>9.0090000000000003</v>
      </c>
      <c r="I272" s="42">
        <f>H272*(1+S272)</f>
        <v>11.7117</v>
      </c>
      <c r="K272" s="174">
        <f>G272*C272</f>
        <v>0</v>
      </c>
      <c r="L272" s="174">
        <f>G272*D272</f>
        <v>0</v>
      </c>
      <c r="M272" s="174">
        <f>G272*E272</f>
        <v>0</v>
      </c>
      <c r="N272" s="174"/>
      <c r="O272" s="174">
        <f>H272*D272</f>
        <v>0</v>
      </c>
      <c r="P272" s="174">
        <f>I272*E272</f>
        <v>0</v>
      </c>
      <c r="Q272" s="174"/>
      <c r="R272" s="3">
        <v>0.3</v>
      </c>
      <c r="S272" s="3">
        <f>R272</f>
        <v>0.3</v>
      </c>
      <c r="T272" s="174"/>
      <c r="U272" s="141" t="s">
        <v>259</v>
      </c>
    </row>
    <row r="273" spans="1:21" x14ac:dyDescent="0.2">
      <c r="A273" s="137">
        <f t="shared" si="14"/>
        <v>263</v>
      </c>
      <c r="C273" s="163"/>
      <c r="G273" s="163"/>
      <c r="K273" s="189"/>
    </row>
    <row r="274" spans="1:21" x14ac:dyDescent="0.2">
      <c r="A274" s="137">
        <f t="shared" si="14"/>
        <v>264</v>
      </c>
      <c r="B274" s="117" t="s">
        <v>258</v>
      </c>
      <c r="C274" s="163">
        <v>45085351</v>
      </c>
      <c r="D274" s="163">
        <v>43019225.850606829</v>
      </c>
      <c r="E274" s="163">
        <v>42788268.319944575</v>
      </c>
      <c r="G274" s="290">
        <f>'Exh CTM-6 (Tariff)'!D107</f>
        <v>3.1700000000000001E-3</v>
      </c>
      <c r="H274" s="47">
        <f>G274*(1+R274)</f>
        <v>4.1210000000000005E-3</v>
      </c>
      <c r="I274" s="47">
        <f>H274*(1+S274)</f>
        <v>5.3573000000000006E-3</v>
      </c>
      <c r="K274" s="174">
        <f>G274*C274</f>
        <v>142920.56267000001</v>
      </c>
      <c r="L274" s="174">
        <f>G274*D274</f>
        <v>136370.94594642366</v>
      </c>
      <c r="M274" s="174">
        <f>G274*E274</f>
        <v>135638.81057422431</v>
      </c>
      <c r="N274" s="174"/>
      <c r="O274" s="174">
        <f>H274*D274</f>
        <v>177282.22973035075</v>
      </c>
      <c r="P274" s="174">
        <f>I274*E274</f>
        <v>229229.58987043909</v>
      </c>
      <c r="Q274" s="174"/>
      <c r="R274" s="3">
        <v>0.3</v>
      </c>
      <c r="S274" s="3">
        <f>R274</f>
        <v>0.3</v>
      </c>
      <c r="T274" s="174"/>
      <c r="U274" s="141" t="s">
        <v>237</v>
      </c>
    </row>
    <row r="275" spans="1:21" x14ac:dyDescent="0.2">
      <c r="A275" s="137">
        <f t="shared" si="14"/>
        <v>265</v>
      </c>
      <c r="K275" s="189"/>
    </row>
    <row r="276" spans="1:21" ht="12" thickBot="1" x14ac:dyDescent="0.25">
      <c r="A276" s="137">
        <f t="shared" si="14"/>
        <v>266</v>
      </c>
      <c r="B276" s="117" t="s">
        <v>225</v>
      </c>
      <c r="K276" s="197">
        <f>SUM(K261,K267,K270,K274)</f>
        <v>10359297.581659</v>
      </c>
      <c r="L276" s="197">
        <f>SUM(L261,L267,L270,L274)</f>
        <v>10672382.731891481</v>
      </c>
      <c r="M276" s="197">
        <f>SUM(M261,M267,M270,M274)</f>
        <v>10605568.012262374</v>
      </c>
      <c r="N276" s="197"/>
      <c r="O276" s="197">
        <f>SUM(O261,O267,O270,O274)</f>
        <v>13591299.32798796</v>
      </c>
      <c r="P276" s="197">
        <f>SUM(P261,P267,P270,P274)</f>
        <v>14823604.198737293</v>
      </c>
      <c r="R276" s="188">
        <f>'Exh CTM-6 (Rate Spread)'!U21</f>
        <v>13591299.32798796</v>
      </c>
      <c r="S276" s="188">
        <f>'Exh CTM-6 (Rate Spread)'!AB21</f>
        <v>14823604.198737292</v>
      </c>
    </row>
    <row r="277" spans="1:21" ht="12" thickTop="1" x14ac:dyDescent="0.2">
      <c r="A277" s="137">
        <f t="shared" si="14"/>
        <v>267</v>
      </c>
      <c r="B277" s="141" t="s">
        <v>224</v>
      </c>
      <c r="C277" s="163"/>
      <c r="D277" s="163"/>
      <c r="E277" s="163"/>
      <c r="G277" s="163"/>
      <c r="K277" s="189"/>
      <c r="L277" s="189"/>
      <c r="M277" s="189"/>
      <c r="N277" s="189"/>
      <c r="O277" s="189"/>
      <c r="P277" s="189"/>
      <c r="R277" s="174">
        <f>R276-L276</f>
        <v>2918916.5960964784</v>
      </c>
      <c r="S277" s="174">
        <f>S276-M276-R277</f>
        <v>1299119.5903784391</v>
      </c>
      <c r="T277" s="174"/>
    </row>
    <row r="278" spans="1:21" x14ac:dyDescent="0.2">
      <c r="A278" s="137">
        <f t="shared" si="14"/>
        <v>268</v>
      </c>
      <c r="B278" s="141" t="s">
        <v>223</v>
      </c>
      <c r="C278" s="163"/>
      <c r="D278" s="163"/>
      <c r="E278" s="163"/>
      <c r="K278" s="189"/>
      <c r="L278" s="189"/>
      <c r="M278" s="189"/>
      <c r="N278" s="189"/>
      <c r="O278" s="189"/>
      <c r="P278" s="189"/>
      <c r="R278" s="23">
        <f>R277/L276</f>
        <v>0.27350186639897189</v>
      </c>
      <c r="S278" s="23">
        <f>S277/M276</f>
        <v>0.12249410770610028</v>
      </c>
      <c r="T278" s="174"/>
    </row>
    <row r="279" spans="1:21" x14ac:dyDescent="0.2">
      <c r="A279" s="137">
        <f t="shared" si="14"/>
        <v>269</v>
      </c>
      <c r="B279" s="288" t="s">
        <v>160</v>
      </c>
      <c r="C279" s="163">
        <v>0.45499998331069946</v>
      </c>
      <c r="D279" s="163"/>
      <c r="E279" s="163"/>
      <c r="K279" s="163">
        <v>1.4183409996330738</v>
      </c>
      <c r="L279" s="174">
        <v>0</v>
      </c>
      <c r="M279" s="174">
        <v>0</v>
      </c>
      <c r="N279" s="174"/>
      <c r="O279" s="189"/>
      <c r="P279" s="189"/>
      <c r="R279" s="174">
        <f>R276-O276</f>
        <v>0</v>
      </c>
      <c r="S279" s="174">
        <f>S276-P276</f>
        <v>0</v>
      </c>
      <c r="T279" s="189"/>
    </row>
    <row r="280" spans="1:21" ht="12" thickBot="1" x14ac:dyDescent="0.25">
      <c r="A280" s="137">
        <f t="shared" si="14"/>
        <v>270</v>
      </c>
      <c r="B280" s="198" t="s">
        <v>257</v>
      </c>
      <c r="G280" s="201">
        <f>ROUND(SUM(K270)/SUM(C270),2)</f>
        <v>5.01</v>
      </c>
      <c r="H280" s="201">
        <f>ROUND(SUM(O270)/SUM(D270),2)</f>
        <v>6.51</v>
      </c>
      <c r="I280" s="201">
        <f>ROUND(SUM(P270)/SUM(E270),2)</f>
        <v>8.4700000000000006</v>
      </c>
    </row>
    <row r="281" spans="1:21" ht="12" thickTop="1" x14ac:dyDescent="0.2">
      <c r="A281" s="137">
        <f t="shared" si="14"/>
        <v>271</v>
      </c>
      <c r="B281" s="190"/>
      <c r="C281" s="191"/>
      <c r="D281" s="191"/>
      <c r="E281" s="191"/>
      <c r="F281" s="191"/>
      <c r="G281" s="192"/>
      <c r="H281" s="192"/>
      <c r="I281" s="192"/>
      <c r="J281" s="191"/>
      <c r="K281" s="191"/>
      <c r="L281" s="191"/>
      <c r="M281" s="191"/>
      <c r="N281" s="191"/>
      <c r="O281" s="191"/>
      <c r="P281" s="191"/>
      <c r="Q281" s="191"/>
      <c r="R281" s="191"/>
      <c r="S281" s="191"/>
      <c r="T281" s="191"/>
      <c r="U281" s="191"/>
    </row>
    <row r="282" spans="1:21" x14ac:dyDescent="0.2">
      <c r="A282" s="137">
        <f t="shared" si="14"/>
        <v>272</v>
      </c>
    </row>
    <row r="283" spans="1:21" x14ac:dyDescent="0.2">
      <c r="A283" s="137">
        <f t="shared" si="14"/>
        <v>273</v>
      </c>
      <c r="B283" s="248" t="str">
        <f>CONCATENATE("SCHEDULE"," ", 'Exh CTM-6 (Tariff)'!B125)</f>
        <v>SCHEDULE 46</v>
      </c>
    </row>
    <row r="284" spans="1:21" x14ac:dyDescent="0.2">
      <c r="A284" s="137">
        <f t="shared" si="14"/>
        <v>274</v>
      </c>
      <c r="B284" s="141" t="s">
        <v>256</v>
      </c>
    </row>
    <row r="285" spans="1:21" x14ac:dyDescent="0.2">
      <c r="A285" s="137">
        <f t="shared" si="14"/>
        <v>275</v>
      </c>
      <c r="B285" s="141" t="s">
        <v>241</v>
      </c>
      <c r="C285" s="163">
        <v>72</v>
      </c>
    </row>
    <row r="286" spans="1:21" x14ac:dyDescent="0.2">
      <c r="A286" s="137">
        <f t="shared" si="14"/>
        <v>276</v>
      </c>
      <c r="B286" s="117" t="s">
        <v>54</v>
      </c>
      <c r="C286" s="163"/>
    </row>
    <row r="287" spans="1:21" x14ac:dyDescent="0.2">
      <c r="A287" s="137">
        <f t="shared" si="14"/>
        <v>277</v>
      </c>
      <c r="B287" s="181" t="s">
        <v>231</v>
      </c>
      <c r="C287" s="163">
        <v>95445832</v>
      </c>
      <c r="D287" s="163">
        <v>96933187.043131709</v>
      </c>
      <c r="E287" s="163">
        <v>96918964.527943105</v>
      </c>
      <c r="G287" s="182">
        <f>'Exh CTM-6 (Tariff)'!D126</f>
        <v>5.0422000000000002E-2</v>
      </c>
      <c r="H287" s="182">
        <f>G287+R287</f>
        <v>6.1979531534431538E-2</v>
      </c>
      <c r="I287" s="182">
        <f>H287+S287</f>
        <v>6.3571081801607976E-2</v>
      </c>
      <c r="K287" s="174">
        <f>G287*C287</f>
        <v>4812569.7411040002</v>
      </c>
      <c r="L287" s="174">
        <f>G287*D287</f>
        <v>4887565.1570887873</v>
      </c>
      <c r="M287" s="174">
        <f>G287*E287</f>
        <v>4886848.0294279475</v>
      </c>
      <c r="N287" s="174"/>
      <c r="O287" s="174">
        <f>H287*D287</f>
        <v>6007873.5230727326</v>
      </c>
      <c r="P287" s="174">
        <f>I287*E287</f>
        <v>6161243.4221330127</v>
      </c>
      <c r="Q287" s="174"/>
      <c r="R287" s="182">
        <f>(R294-(O291-L291))/D289</f>
        <v>1.1557531534431538E-2</v>
      </c>
      <c r="S287" s="182">
        <f>((S294+R294)-(P291-M291))/E289-R287</f>
        <v>1.5915502671764309E-3</v>
      </c>
      <c r="U287" s="141" t="s">
        <v>230</v>
      </c>
    </row>
    <row r="288" spans="1:21" x14ac:dyDescent="0.2">
      <c r="A288" s="137">
        <f t="shared" si="14"/>
        <v>278</v>
      </c>
      <c r="B288" s="184" t="s">
        <v>228</v>
      </c>
      <c r="C288" s="289">
        <v>913583</v>
      </c>
      <c r="D288" s="293" t="s">
        <v>227</v>
      </c>
      <c r="E288" s="191"/>
      <c r="G288" s="194">
        <f>K288/C288</f>
        <v>0.16866557280509817</v>
      </c>
      <c r="K288" s="189">
        <v>154090</v>
      </c>
      <c r="L288" s="174">
        <f>G288*D288</f>
        <v>0</v>
      </c>
      <c r="M288" s="174">
        <f>G288*E288</f>
        <v>0</v>
      </c>
      <c r="N288" s="174"/>
      <c r="O288" s="174">
        <f>H288*D288</f>
        <v>0</v>
      </c>
      <c r="P288" s="174">
        <f>I288*E288</f>
        <v>0</v>
      </c>
    </row>
    <row r="289" spans="1:21" x14ac:dyDescent="0.2">
      <c r="A289" s="137">
        <f t="shared" si="14"/>
        <v>279</v>
      </c>
      <c r="B289" s="175" t="s">
        <v>226</v>
      </c>
      <c r="C289" s="163">
        <f>SUM(C287:C288)</f>
        <v>96359415</v>
      </c>
      <c r="D289" s="163">
        <f>SUM(D287:D288)</f>
        <v>96933187.043131709</v>
      </c>
      <c r="E289" s="163">
        <f>SUM(E287:E288)</f>
        <v>96918964.527943105</v>
      </c>
      <c r="G289" s="182"/>
      <c r="K289" s="246">
        <f>SUM(K287:K288)</f>
        <v>4966659.7411040002</v>
      </c>
      <c r="L289" s="246">
        <f>SUM(L287:L288)</f>
        <v>4887565.1570887873</v>
      </c>
      <c r="M289" s="246">
        <f>SUM(M287:M288)</f>
        <v>4886848.0294279475</v>
      </c>
      <c r="N289" s="246"/>
      <c r="O289" s="246">
        <f>SUM(O287:O288)</f>
        <v>6007873.5230727326</v>
      </c>
      <c r="P289" s="246">
        <f>SUM(P287:P288)</f>
        <v>6161243.4221330127</v>
      </c>
    </row>
    <row r="290" spans="1:21" x14ac:dyDescent="0.2">
      <c r="A290" s="137">
        <f t="shared" si="14"/>
        <v>280</v>
      </c>
      <c r="B290" s="175"/>
      <c r="C290" s="163"/>
      <c r="G290" s="182"/>
      <c r="K290" s="189"/>
    </row>
    <row r="291" spans="1:21" x14ac:dyDescent="0.2">
      <c r="A291" s="137">
        <f t="shared" si="14"/>
        <v>281</v>
      </c>
      <c r="B291" s="141" t="s">
        <v>252</v>
      </c>
      <c r="C291" s="163">
        <v>484927</v>
      </c>
      <c r="D291" s="163">
        <v>454913.76433003857</v>
      </c>
      <c r="E291" s="163">
        <v>453901.97661419428</v>
      </c>
      <c r="G291" s="224">
        <f>'Exh CTM-6 (Tariff)'!D128</f>
        <v>3.04</v>
      </c>
      <c r="H291" s="42">
        <f>G291*(1+R291)</f>
        <v>3.9520000000000004</v>
      </c>
      <c r="I291" s="42">
        <f>H291*(1+S291)</f>
        <v>5.1376000000000008</v>
      </c>
      <c r="K291" s="174">
        <f>G291*C291</f>
        <v>1474178.08</v>
      </c>
      <c r="L291" s="174">
        <f>G291*D291</f>
        <v>1382937.8435633173</v>
      </c>
      <c r="M291" s="174">
        <f>G291*E291</f>
        <v>1379862.0089071507</v>
      </c>
      <c r="N291" s="174"/>
      <c r="O291" s="174">
        <f>H291*D291</f>
        <v>1797819.1966323126</v>
      </c>
      <c r="P291" s="174">
        <f>I291*E291</f>
        <v>2331966.7950530848</v>
      </c>
      <c r="R291" s="3">
        <v>0.3</v>
      </c>
      <c r="S291" s="3">
        <f>R291</f>
        <v>0.3</v>
      </c>
      <c r="T291" s="174"/>
      <c r="U291" s="141" t="s">
        <v>239</v>
      </c>
    </row>
    <row r="292" spans="1:21" x14ac:dyDescent="0.2">
      <c r="A292" s="137">
        <f t="shared" si="14"/>
        <v>282</v>
      </c>
      <c r="B292" s="184"/>
      <c r="G292" s="182"/>
      <c r="K292" s="189"/>
    </row>
    <row r="293" spans="1:21" ht="12" thickBot="1" x14ac:dyDescent="0.25">
      <c r="A293" s="137">
        <f t="shared" si="14"/>
        <v>283</v>
      </c>
      <c r="B293" s="117" t="s">
        <v>225</v>
      </c>
      <c r="G293" s="118"/>
      <c r="K293" s="197">
        <f>SUM(K291,K289)</f>
        <v>6440837.8211040003</v>
      </c>
      <c r="L293" s="197">
        <f>SUM(L291,L289)</f>
        <v>6270503.0006521046</v>
      </c>
      <c r="M293" s="197">
        <f>SUM(M291,M289)</f>
        <v>6266710.038335098</v>
      </c>
      <c r="N293" s="197"/>
      <c r="O293" s="197">
        <f>SUM(O291,O289)</f>
        <v>7805692.7197050452</v>
      </c>
      <c r="P293" s="197">
        <f>SUM(P291,P289)</f>
        <v>8493210.2171860971</v>
      </c>
      <c r="R293" s="188">
        <f>'Exh CTM-6 (Rate Spread)'!U24*(L293/(L293+L311))</f>
        <v>7805692.7197050452</v>
      </c>
      <c r="S293" s="188">
        <f>'Exh CTM-6 (Rate Spread)'!AB24*(M293/(M293+M311))</f>
        <v>8493210.2171860971</v>
      </c>
    </row>
    <row r="294" spans="1:21" ht="12" thickTop="1" x14ac:dyDescent="0.2">
      <c r="A294" s="137">
        <f t="shared" si="14"/>
        <v>284</v>
      </c>
      <c r="B294" s="141" t="s">
        <v>224</v>
      </c>
      <c r="C294" s="163"/>
      <c r="D294" s="163"/>
      <c r="E294" s="163"/>
      <c r="G294" s="118"/>
      <c r="K294" s="189"/>
      <c r="L294" s="189"/>
      <c r="M294" s="189"/>
      <c r="N294" s="189"/>
      <c r="O294" s="189"/>
      <c r="P294" s="189"/>
      <c r="R294" s="174">
        <f>R293-L293</f>
        <v>1535189.7190529406</v>
      </c>
      <c r="S294" s="174">
        <f>S293-M293-R294</f>
        <v>691310.45979805849</v>
      </c>
      <c r="T294" s="174"/>
    </row>
    <row r="295" spans="1:21" x14ac:dyDescent="0.2">
      <c r="A295" s="137">
        <f t="shared" si="14"/>
        <v>285</v>
      </c>
      <c r="B295" s="141" t="s">
        <v>223</v>
      </c>
      <c r="C295" s="163"/>
      <c r="D295" s="163"/>
      <c r="E295" s="163"/>
      <c r="G295" s="182"/>
      <c r="K295" s="189"/>
      <c r="L295" s="189"/>
      <c r="M295" s="189"/>
      <c r="N295" s="189"/>
      <c r="O295" s="189"/>
      <c r="P295" s="189"/>
      <c r="R295" s="23">
        <f>R294/L293</f>
        <v>0.2448272042758432</v>
      </c>
      <c r="S295" s="23">
        <f>S294/M293</f>
        <v>0.11031473541445708</v>
      </c>
      <c r="T295" s="174"/>
    </row>
    <row r="296" spans="1:21" x14ac:dyDescent="0.2">
      <c r="A296" s="137">
        <f t="shared" si="14"/>
        <v>286</v>
      </c>
      <c r="B296" s="288" t="s">
        <v>160</v>
      </c>
      <c r="C296" s="163">
        <v>0.33799998462200165</v>
      </c>
      <c r="D296" s="163"/>
      <c r="E296" s="163"/>
      <c r="K296" s="163">
        <v>0.17889599967747927</v>
      </c>
      <c r="L296" s="174">
        <v>0</v>
      </c>
      <c r="M296" s="174">
        <v>0</v>
      </c>
      <c r="N296" s="174"/>
      <c r="O296" s="189"/>
      <c r="P296" s="189"/>
      <c r="R296" s="174">
        <f>R293-O293</f>
        <v>0</v>
      </c>
      <c r="S296" s="174">
        <f>S293-P293</f>
        <v>0</v>
      </c>
      <c r="T296" s="189"/>
    </row>
    <row r="297" spans="1:21" ht="12" thickBot="1" x14ac:dyDescent="0.25">
      <c r="A297" s="137">
        <f t="shared" si="14"/>
        <v>287</v>
      </c>
      <c r="B297" s="141" t="s">
        <v>255</v>
      </c>
      <c r="E297" s="294">
        <v>0.9</v>
      </c>
      <c r="G297" s="247">
        <f>ROUND(G287*E297,6)</f>
        <v>4.5379999999999997E-2</v>
      </c>
      <c r="H297" s="247">
        <f>ROUND(H287*E297,6)</f>
        <v>5.5781999999999998E-2</v>
      </c>
      <c r="I297" s="247">
        <f>ROUND(I287*E297,6)</f>
        <v>5.7214000000000001E-2</v>
      </c>
    </row>
    <row r="298" spans="1:21" ht="12.75" thickTop="1" thickBot="1" x14ac:dyDescent="0.25">
      <c r="A298" s="137">
        <f t="shared" si="14"/>
        <v>288</v>
      </c>
      <c r="B298" s="141" t="s">
        <v>254</v>
      </c>
      <c r="E298" s="117">
        <v>12</v>
      </c>
      <c r="G298" s="201">
        <f>ROUND(G291*E298,2)</f>
        <v>36.479999999999997</v>
      </c>
      <c r="H298" s="201">
        <f>ROUND(H291*E298,2)</f>
        <v>47.42</v>
      </c>
      <c r="I298" s="201">
        <f>ROUND(I291*E298,2)</f>
        <v>61.65</v>
      </c>
    </row>
    <row r="299" spans="1:21" ht="12" thickTop="1" x14ac:dyDescent="0.2">
      <c r="A299" s="137">
        <f t="shared" si="14"/>
        <v>289</v>
      </c>
      <c r="B299" s="190"/>
      <c r="C299" s="191"/>
      <c r="D299" s="191"/>
      <c r="E299" s="191"/>
      <c r="F299" s="191"/>
      <c r="G299" s="192"/>
      <c r="H299" s="192"/>
      <c r="I299" s="192"/>
      <c r="J299" s="191"/>
      <c r="K299" s="191"/>
      <c r="L299" s="191"/>
      <c r="M299" s="191"/>
      <c r="N299" s="191"/>
      <c r="O299" s="191"/>
      <c r="P299" s="191"/>
      <c r="Q299" s="191"/>
      <c r="R299" s="191"/>
      <c r="S299" s="191"/>
      <c r="T299" s="191"/>
      <c r="U299" s="191"/>
    </row>
    <row r="300" spans="1:21" x14ac:dyDescent="0.2">
      <c r="A300" s="137">
        <f t="shared" si="14"/>
        <v>290</v>
      </c>
    </row>
    <row r="301" spans="1:21" x14ac:dyDescent="0.2">
      <c r="A301" s="137">
        <f t="shared" si="14"/>
        <v>291</v>
      </c>
      <c r="B301" s="248" t="str">
        <f>CONCATENATE("SCHEDULE"," ", 'Exh CTM-6 (Tariff)'!B133)</f>
        <v>SCHEDULE 49</v>
      </c>
    </row>
    <row r="302" spans="1:21" x14ac:dyDescent="0.2">
      <c r="A302" s="137">
        <f t="shared" si="14"/>
        <v>292</v>
      </c>
      <c r="B302" s="141" t="s">
        <v>253</v>
      </c>
    </row>
    <row r="303" spans="1:21" x14ac:dyDescent="0.2">
      <c r="A303" s="137">
        <f t="shared" si="14"/>
        <v>293</v>
      </c>
      <c r="B303" s="141" t="s">
        <v>241</v>
      </c>
      <c r="C303" s="163">
        <v>204</v>
      </c>
    </row>
    <row r="304" spans="1:21" x14ac:dyDescent="0.2">
      <c r="A304" s="137">
        <f t="shared" si="14"/>
        <v>294</v>
      </c>
      <c r="B304" s="117" t="s">
        <v>54</v>
      </c>
      <c r="C304" s="163"/>
    </row>
    <row r="305" spans="1:21" x14ac:dyDescent="0.2">
      <c r="A305" s="137">
        <f t="shared" si="14"/>
        <v>295</v>
      </c>
      <c r="B305" s="181" t="s">
        <v>231</v>
      </c>
      <c r="C305" s="163">
        <v>540863777</v>
      </c>
      <c r="D305" s="163">
        <v>534843226.30681556</v>
      </c>
      <c r="E305" s="163">
        <v>534899242.67952603</v>
      </c>
      <c r="G305" s="182">
        <f>'Exh CTM-6 (Tariff)'!D134</f>
        <v>5.0422000000000002E-2</v>
      </c>
      <c r="H305" s="182">
        <f>G305+R305</f>
        <v>6.1994393529095401E-2</v>
      </c>
      <c r="I305" s="182">
        <f>H305+S305</f>
        <v>6.3665220945275686E-2</v>
      </c>
      <c r="K305" s="174">
        <f>G305*C305</f>
        <v>27271433.363894001</v>
      </c>
      <c r="L305" s="174">
        <f>G305*D305</f>
        <v>26967865.156842254</v>
      </c>
      <c r="M305" s="174">
        <f>G305*E305</f>
        <v>26970689.614387061</v>
      </c>
      <c r="N305" s="174"/>
      <c r="O305" s="174">
        <f>H305*D305</f>
        <v>33157281.448035754</v>
      </c>
      <c r="P305" s="174">
        <f>I305*E305</f>
        <v>34054478.468652666</v>
      </c>
      <c r="Q305" s="174"/>
      <c r="R305" s="182">
        <f>(R312-(O309-L309))/D307</f>
        <v>1.15723935290954E-2</v>
      </c>
      <c r="S305" s="182">
        <f>((S312+R312)-(P309-M309))/E307-R305</f>
        <v>1.6708274161802844E-3</v>
      </c>
      <c r="U305" s="141" t="s">
        <v>230</v>
      </c>
    </row>
    <row r="306" spans="1:21" x14ac:dyDescent="0.2">
      <c r="A306" s="137">
        <f t="shared" si="14"/>
        <v>296</v>
      </c>
      <c r="B306" s="184" t="s">
        <v>228</v>
      </c>
      <c r="C306" s="289">
        <v>5018030</v>
      </c>
      <c r="D306" s="293" t="s">
        <v>227</v>
      </c>
      <c r="E306" s="191"/>
      <c r="G306" s="194">
        <f>K306/C306</f>
        <v>8.3760957985504272E-2</v>
      </c>
      <c r="K306" s="189">
        <v>420315</v>
      </c>
      <c r="L306" s="174">
        <f>G306*D306</f>
        <v>0</v>
      </c>
      <c r="M306" s="174">
        <f>G306*E306</f>
        <v>0</v>
      </c>
      <c r="N306" s="174"/>
      <c r="O306" s="174">
        <f>H306*D306</f>
        <v>0</v>
      </c>
      <c r="P306" s="174">
        <f>I306*E306</f>
        <v>0</v>
      </c>
    </row>
    <row r="307" spans="1:21" x14ac:dyDescent="0.2">
      <c r="A307" s="137">
        <f t="shared" si="14"/>
        <v>297</v>
      </c>
      <c r="B307" s="175" t="s">
        <v>226</v>
      </c>
      <c r="C307" s="163">
        <f>SUM(C305:C306)</f>
        <v>545881807</v>
      </c>
      <c r="D307" s="163">
        <f>SUM(D305:D306)</f>
        <v>534843226.30681556</v>
      </c>
      <c r="E307" s="163">
        <f>SUM(E305:E306)</f>
        <v>534899242.67952603</v>
      </c>
      <c r="G307" s="182"/>
      <c r="K307" s="246">
        <f>SUM(K305:K306)</f>
        <v>27691748.363894001</v>
      </c>
      <c r="L307" s="246">
        <f>SUM(L305:L306)</f>
        <v>26967865.156842254</v>
      </c>
      <c r="M307" s="246">
        <f>SUM(M305:M306)</f>
        <v>26970689.614387061</v>
      </c>
      <c r="N307" s="246"/>
      <c r="O307" s="246">
        <f>SUM(O305:O306)</f>
        <v>33157281.448035754</v>
      </c>
      <c r="P307" s="246">
        <f>SUM(P305:P306)</f>
        <v>34054478.468652666</v>
      </c>
    </row>
    <row r="308" spans="1:21" x14ac:dyDescent="0.2">
      <c r="A308" s="137">
        <f t="shared" si="14"/>
        <v>298</v>
      </c>
      <c r="B308" s="175"/>
      <c r="C308" s="163"/>
      <c r="G308" s="182"/>
      <c r="K308" s="189"/>
    </row>
    <row r="309" spans="1:21" x14ac:dyDescent="0.2">
      <c r="A309" s="137">
        <f t="shared" si="14"/>
        <v>299</v>
      </c>
      <c r="B309" s="141" t="s">
        <v>252</v>
      </c>
      <c r="C309" s="163">
        <v>1298000</v>
      </c>
      <c r="D309" s="163">
        <v>1325042.9814690738</v>
      </c>
      <c r="E309" s="163">
        <v>1321250.3262371249</v>
      </c>
      <c r="G309" s="224">
        <f>'Exh CTM-6 (Tariff)'!D136</f>
        <v>5.65</v>
      </c>
      <c r="H309" s="42">
        <f>G309*(1+R309)</f>
        <v>7.3450000000000006</v>
      </c>
      <c r="I309" s="42">
        <f>H309*(1+S309)</f>
        <v>9.5485000000000007</v>
      </c>
      <c r="K309" s="174">
        <f>G309*C309</f>
        <v>7333700</v>
      </c>
      <c r="L309" s="174">
        <f>G309*D309</f>
        <v>7486492.8453002675</v>
      </c>
      <c r="M309" s="174">
        <f>G309*E309</f>
        <v>7465064.3432397563</v>
      </c>
      <c r="N309" s="174"/>
      <c r="O309" s="174">
        <f>H309*D309</f>
        <v>9732440.698890347</v>
      </c>
      <c r="P309" s="174">
        <f>I309*E309</f>
        <v>12615958.740075188</v>
      </c>
      <c r="R309" s="3">
        <v>0.3</v>
      </c>
      <c r="S309" s="3">
        <f>R309</f>
        <v>0.3</v>
      </c>
      <c r="T309" s="174"/>
      <c r="U309" s="141" t="s">
        <v>239</v>
      </c>
    </row>
    <row r="310" spans="1:21" x14ac:dyDescent="0.2">
      <c r="A310" s="137">
        <f t="shared" si="14"/>
        <v>300</v>
      </c>
      <c r="B310" s="184"/>
      <c r="G310" s="182"/>
      <c r="K310" s="189"/>
    </row>
    <row r="311" spans="1:21" ht="12" thickBot="1" x14ac:dyDescent="0.25">
      <c r="A311" s="137">
        <f t="shared" si="14"/>
        <v>301</v>
      </c>
      <c r="B311" s="117" t="s">
        <v>225</v>
      </c>
      <c r="G311" s="118"/>
      <c r="K311" s="197">
        <f>SUM(K309,K307)</f>
        <v>35025448.363894001</v>
      </c>
      <c r="L311" s="197">
        <f>SUM(L309,L307)</f>
        <v>34454358.002142519</v>
      </c>
      <c r="M311" s="197">
        <f>SUM(M309,M307)</f>
        <v>34435753.95762682</v>
      </c>
      <c r="N311" s="197"/>
      <c r="O311" s="197">
        <f>SUM(O309,O307)</f>
        <v>42889722.146926105</v>
      </c>
      <c r="P311" s="197">
        <f>SUM(P309,P307)</f>
        <v>46670437.208727852</v>
      </c>
      <c r="R311" s="188">
        <f>'Exh CTM-6 (Rate Spread)'!U24*(L311/(L293+L311))</f>
        <v>42889722.146926098</v>
      </c>
      <c r="S311" s="188">
        <f>'Exh CTM-6 (Rate Spread)'!AB24*(M311/(M293+M311))</f>
        <v>46670437.208727852</v>
      </c>
    </row>
    <row r="312" spans="1:21" ht="12" thickTop="1" x14ac:dyDescent="0.2">
      <c r="A312" s="137">
        <f t="shared" si="14"/>
        <v>302</v>
      </c>
      <c r="B312" s="141" t="s">
        <v>224</v>
      </c>
      <c r="C312" s="163"/>
      <c r="D312" s="163"/>
      <c r="E312" s="163"/>
      <c r="G312" s="118"/>
      <c r="K312" s="189"/>
      <c r="L312" s="189"/>
      <c r="M312" s="189"/>
      <c r="N312" s="189"/>
      <c r="O312" s="189"/>
      <c r="P312" s="189"/>
      <c r="R312" s="174">
        <f>R311-L311</f>
        <v>8435364.1447835788</v>
      </c>
      <c r="S312" s="174">
        <f>S311-M311-R312</f>
        <v>3799319.1063174531</v>
      </c>
      <c r="T312" s="174"/>
    </row>
    <row r="313" spans="1:21" x14ac:dyDescent="0.2">
      <c r="A313" s="137">
        <f t="shared" si="14"/>
        <v>303</v>
      </c>
      <c r="B313" s="141" t="s">
        <v>223</v>
      </c>
      <c r="C313" s="163"/>
      <c r="D313" s="163"/>
      <c r="E313" s="163"/>
      <c r="G313" s="182"/>
      <c r="K313" s="189"/>
      <c r="L313" s="189"/>
      <c r="M313" s="189"/>
      <c r="N313" s="189"/>
      <c r="O313" s="189"/>
      <c r="P313" s="189"/>
      <c r="R313" s="23">
        <f>R312/L311</f>
        <v>0.24482720427584317</v>
      </c>
      <c r="S313" s="23">
        <f>S312/M311</f>
        <v>0.11033064967860189</v>
      </c>
      <c r="T313" s="174"/>
    </row>
    <row r="314" spans="1:21" x14ac:dyDescent="0.2">
      <c r="A314" s="137">
        <f t="shared" si="14"/>
        <v>304</v>
      </c>
      <c r="B314" s="288" t="s">
        <v>160</v>
      </c>
      <c r="C314" s="163">
        <v>-0.57700002193450928</v>
      </c>
      <c r="D314" s="163"/>
      <c r="E314" s="163"/>
      <c r="K314" s="163">
        <v>-0.36389400064945221</v>
      </c>
      <c r="L314" s="174">
        <v>0</v>
      </c>
      <c r="M314" s="174">
        <v>0</v>
      </c>
      <c r="N314" s="174"/>
      <c r="O314" s="189"/>
      <c r="P314" s="189"/>
      <c r="R314" s="174">
        <f>R311-O311</f>
        <v>0</v>
      </c>
      <c r="S314" s="174">
        <f>S311-P311</f>
        <v>0</v>
      </c>
      <c r="T314" s="189"/>
    </row>
    <row r="315" spans="1:21" x14ac:dyDescent="0.2">
      <c r="A315" s="137">
        <f t="shared" si="14"/>
        <v>305</v>
      </c>
      <c r="B315" s="190"/>
      <c r="C315" s="191"/>
      <c r="D315" s="191"/>
      <c r="E315" s="191"/>
      <c r="F315" s="191"/>
      <c r="G315" s="192"/>
      <c r="H315" s="192"/>
      <c r="I315" s="192"/>
      <c r="J315" s="191"/>
      <c r="K315" s="191"/>
      <c r="L315" s="191"/>
      <c r="M315" s="191"/>
      <c r="N315" s="191"/>
      <c r="O315" s="191"/>
      <c r="P315" s="191"/>
      <c r="Q315" s="191"/>
      <c r="R315" s="191"/>
      <c r="S315" s="191"/>
      <c r="T315" s="191"/>
      <c r="U315" s="191"/>
    </row>
    <row r="316" spans="1:21" x14ac:dyDescent="0.2">
      <c r="A316" s="137">
        <f t="shared" si="14"/>
        <v>306</v>
      </c>
    </row>
    <row r="317" spans="1:21" x14ac:dyDescent="0.2">
      <c r="A317" s="137">
        <f t="shared" si="14"/>
        <v>307</v>
      </c>
      <c r="B317" s="248" t="str">
        <f>CONCATENATE("SCHEDULE"," ", 'Exh CTM-6 (Tariff)'!B141)</f>
        <v>SCHEDULE 449 / 459</v>
      </c>
    </row>
    <row r="318" spans="1:21" x14ac:dyDescent="0.2">
      <c r="A318" s="137">
        <f t="shared" si="14"/>
        <v>308</v>
      </c>
      <c r="B318" s="141" t="s">
        <v>251</v>
      </c>
    </row>
    <row r="319" spans="1:21" x14ac:dyDescent="0.2">
      <c r="A319" s="137">
        <f t="shared" si="14"/>
        <v>309</v>
      </c>
      <c r="B319" s="141" t="s">
        <v>247</v>
      </c>
      <c r="C319" s="163">
        <v>240</v>
      </c>
      <c r="D319" s="117">
        <v>240</v>
      </c>
      <c r="E319" s="117">
        <v>240</v>
      </c>
      <c r="G319" s="224">
        <f>'Exh CTM-6 (Tariff)'!D139</f>
        <v>1791</v>
      </c>
      <c r="H319" s="210">
        <v>3993.4524221229285</v>
      </c>
      <c r="I319" s="210">
        <f>H319</f>
        <v>3993.4524221229285</v>
      </c>
      <c r="K319" s="174">
        <f>G319*C319</f>
        <v>429840</v>
      </c>
      <c r="L319" s="174">
        <f>G319*D319</f>
        <v>429840</v>
      </c>
      <c r="M319" s="174">
        <f>G319*E319</f>
        <v>429840</v>
      </c>
      <c r="N319" s="174"/>
      <c r="O319" s="174">
        <f>H319*D319</f>
        <v>958428.58130950283</v>
      </c>
      <c r="P319" s="174">
        <f>I319*E319</f>
        <v>958428.58130950283</v>
      </c>
      <c r="R319" s="3">
        <f>(H319-G319)/G319</f>
        <v>1.2297333456856105</v>
      </c>
      <c r="S319" s="3">
        <f>(I319-H319)/H319</f>
        <v>0</v>
      </c>
      <c r="U319" s="141" t="s">
        <v>246</v>
      </c>
    </row>
    <row r="320" spans="1:21" x14ac:dyDescent="0.2">
      <c r="A320" s="137">
        <f t="shared" si="14"/>
        <v>310</v>
      </c>
      <c r="B320" s="117" t="s">
        <v>54</v>
      </c>
      <c r="C320" s="163"/>
      <c r="G320" s="182"/>
      <c r="K320" s="189"/>
    </row>
    <row r="321" spans="1:21" x14ac:dyDescent="0.2">
      <c r="A321" s="137">
        <f t="shared" si="14"/>
        <v>311</v>
      </c>
      <c r="B321" s="181" t="s">
        <v>231</v>
      </c>
      <c r="C321" s="163">
        <v>1952120354</v>
      </c>
      <c r="D321" s="163">
        <v>1967511960.3194919</v>
      </c>
      <c r="E321" s="163">
        <v>1964993565.6779518</v>
      </c>
      <c r="G321" s="182">
        <v>0</v>
      </c>
      <c r="H321" s="182">
        <v>0</v>
      </c>
      <c r="I321" s="182">
        <v>0</v>
      </c>
      <c r="K321" s="174">
        <f>G321*C321</f>
        <v>0</v>
      </c>
      <c r="L321" s="174">
        <f>G321*D321</f>
        <v>0</v>
      </c>
      <c r="M321" s="174">
        <f>G321*E321</f>
        <v>0</v>
      </c>
      <c r="N321" s="174"/>
      <c r="O321" s="174">
        <f t="shared" ref="O321:P324" si="15">H321*D321</f>
        <v>0</v>
      </c>
      <c r="P321" s="174">
        <f t="shared" si="15"/>
        <v>0</v>
      </c>
    </row>
    <row r="322" spans="1:21" x14ac:dyDescent="0.2">
      <c r="A322" s="137">
        <f t="shared" si="14"/>
        <v>312</v>
      </c>
      <c r="B322" s="181" t="s">
        <v>229</v>
      </c>
      <c r="C322" s="163">
        <v>0</v>
      </c>
      <c r="D322" s="185" t="s">
        <v>227</v>
      </c>
      <c r="G322" s="194">
        <f>IFERROR(K322/C322,0)</f>
        <v>0</v>
      </c>
      <c r="H322" s="182">
        <v>0</v>
      </c>
      <c r="I322" s="182">
        <v>0</v>
      </c>
      <c r="K322" s="189">
        <v>0</v>
      </c>
      <c r="L322" s="174">
        <f>G322*D322</f>
        <v>0</v>
      </c>
      <c r="M322" s="174">
        <f>G322*E322</f>
        <v>0</v>
      </c>
      <c r="N322" s="174"/>
      <c r="O322" s="174">
        <f t="shared" si="15"/>
        <v>0</v>
      </c>
      <c r="P322" s="174">
        <f t="shared" si="15"/>
        <v>0</v>
      </c>
    </row>
    <row r="323" spans="1:21" x14ac:dyDescent="0.2">
      <c r="A323" s="137">
        <f t="shared" si="14"/>
        <v>313</v>
      </c>
      <c r="B323" s="181" t="s">
        <v>250</v>
      </c>
      <c r="C323" s="163">
        <v>-4078452.1120000002</v>
      </c>
      <c r="D323" s="185" t="s">
        <v>227</v>
      </c>
      <c r="G323" s="194">
        <f>K323/C323</f>
        <v>1.3645294457732252E-2</v>
      </c>
      <c r="H323" s="182"/>
      <c r="I323" s="182"/>
      <c r="K323" s="189">
        <v>-55651.68</v>
      </c>
      <c r="L323" s="174">
        <f>G323*D323</f>
        <v>0</v>
      </c>
      <c r="M323" s="174">
        <f>G323*E323</f>
        <v>0</v>
      </c>
      <c r="N323" s="174"/>
      <c r="O323" s="174">
        <f t="shared" si="15"/>
        <v>0</v>
      </c>
      <c r="P323" s="174">
        <f t="shared" si="15"/>
        <v>0</v>
      </c>
    </row>
    <row r="324" spans="1:21" x14ac:dyDescent="0.2">
      <c r="A324" s="137">
        <f t="shared" si="14"/>
        <v>314</v>
      </c>
      <c r="B324" s="184" t="s">
        <v>228</v>
      </c>
      <c r="C324" s="289">
        <v>-1818330</v>
      </c>
      <c r="D324" s="293" t="s">
        <v>227</v>
      </c>
      <c r="E324" s="191"/>
      <c r="G324" s="194">
        <f>K324/C324</f>
        <v>7.1310488195212088E-2</v>
      </c>
      <c r="K324" s="174">
        <v>-129666</v>
      </c>
      <c r="L324" s="174">
        <f>G324*D324</f>
        <v>0</v>
      </c>
      <c r="M324" s="174">
        <f>G324*E324</f>
        <v>0</v>
      </c>
      <c r="N324" s="174"/>
      <c r="O324" s="174">
        <f t="shared" si="15"/>
        <v>0</v>
      </c>
      <c r="P324" s="174">
        <f t="shared" si="15"/>
        <v>0</v>
      </c>
    </row>
    <row r="325" spans="1:21" x14ac:dyDescent="0.2">
      <c r="A325" s="137">
        <f t="shared" si="14"/>
        <v>315</v>
      </c>
      <c r="B325" s="175" t="s">
        <v>226</v>
      </c>
      <c r="C325" s="163">
        <f>SUM(C321:C324)</f>
        <v>1946223571.888</v>
      </c>
      <c r="D325" s="163">
        <f>SUM(D321:D324)</f>
        <v>1967511960.3194919</v>
      </c>
      <c r="E325" s="163">
        <f>SUM(E321:E324)</f>
        <v>1964993565.6779518</v>
      </c>
      <c r="K325" s="246">
        <f>SUM(K321:K324)</f>
        <v>-185317.68</v>
      </c>
      <c r="L325" s="246">
        <f>SUM(L321:L324)</f>
        <v>0</v>
      </c>
      <c r="M325" s="246">
        <f>SUM(M321:M324)</f>
        <v>0</v>
      </c>
      <c r="O325" s="246">
        <f>SUM(O321:O324)</f>
        <v>0</v>
      </c>
      <c r="P325" s="246">
        <f>SUM(P321:P324)</f>
        <v>0</v>
      </c>
    </row>
    <row r="326" spans="1:21" x14ac:dyDescent="0.2">
      <c r="A326" s="137">
        <f t="shared" si="14"/>
        <v>316</v>
      </c>
      <c r="B326" s="175"/>
      <c r="C326" s="163"/>
      <c r="K326" s="189"/>
    </row>
    <row r="327" spans="1:21" x14ac:dyDescent="0.2">
      <c r="A327" s="137">
        <f t="shared" si="14"/>
        <v>317</v>
      </c>
      <c r="B327" s="117" t="s">
        <v>249</v>
      </c>
      <c r="C327" s="163">
        <v>3409722</v>
      </c>
      <c r="K327" s="174">
        <f>G327*C327</f>
        <v>0</v>
      </c>
      <c r="L327" s="174">
        <f>G327*D327</f>
        <v>0</v>
      </c>
      <c r="M327" s="174">
        <f>G327*E327</f>
        <v>0</v>
      </c>
      <c r="N327" s="174"/>
      <c r="O327" s="174">
        <f>H327*D327</f>
        <v>0</v>
      </c>
      <c r="P327" s="174">
        <f>I327*E327</f>
        <v>0</v>
      </c>
    </row>
    <row r="328" spans="1:21" x14ac:dyDescent="0.2">
      <c r="A328" s="137">
        <f t="shared" si="14"/>
        <v>318</v>
      </c>
      <c r="K328" s="189"/>
    </row>
    <row r="329" spans="1:21" x14ac:dyDescent="0.2">
      <c r="A329" s="137">
        <f t="shared" si="14"/>
        <v>319</v>
      </c>
      <c r="B329" s="141" t="s">
        <v>248</v>
      </c>
      <c r="K329" s="189">
        <v>13154883</v>
      </c>
      <c r="L329" s="189">
        <f>K329</f>
        <v>13154883</v>
      </c>
      <c r="M329" s="189">
        <f>L329</f>
        <v>13154883</v>
      </c>
      <c r="O329" s="189">
        <f>L329</f>
        <v>13154883</v>
      </c>
      <c r="P329" s="189">
        <f>M329</f>
        <v>13154883</v>
      </c>
    </row>
    <row r="330" spans="1:21" x14ac:dyDescent="0.2">
      <c r="A330" s="137">
        <f t="shared" si="14"/>
        <v>320</v>
      </c>
      <c r="B330" s="184"/>
      <c r="K330" s="189"/>
    </row>
    <row r="331" spans="1:21" ht="12" thickBot="1" x14ac:dyDescent="0.25">
      <c r="A331" s="137">
        <f t="shared" si="14"/>
        <v>321</v>
      </c>
      <c r="B331" s="117" t="s">
        <v>225</v>
      </c>
      <c r="K331" s="197">
        <f>SUM(K327,K325,K319,K329)</f>
        <v>13399405.32</v>
      </c>
      <c r="L331" s="197">
        <f>SUM(L327,L325,L319,L329)</f>
        <v>13584723</v>
      </c>
      <c r="M331" s="197">
        <f>SUM(M327,M325,M319,M329)</f>
        <v>13584723</v>
      </c>
      <c r="O331" s="197">
        <f>SUM(O327,O325,O319,O329)</f>
        <v>14113311.581309503</v>
      </c>
      <c r="P331" s="197">
        <f>SUM(P327,P325,P319,P329)</f>
        <v>14113311.581309503</v>
      </c>
      <c r="R331" s="188">
        <f>'Exh CTM-6 (Rate Spread)'!U26</f>
        <v>14113311.581309503</v>
      </c>
      <c r="S331" s="188">
        <f>'Exh CTM-6 (Rate Spread)'!AB26</f>
        <v>14113311.581309503</v>
      </c>
    </row>
    <row r="332" spans="1:21" ht="12" thickTop="1" x14ac:dyDescent="0.2">
      <c r="A332" s="137">
        <f t="shared" ref="A332:A394" si="16">A331+1</f>
        <v>322</v>
      </c>
      <c r="B332" s="141" t="s">
        <v>224</v>
      </c>
      <c r="R332" s="174">
        <f>R331-L331</f>
        <v>528588.58130950294</v>
      </c>
      <c r="S332" s="174">
        <f>S331-M331-R332</f>
        <v>0</v>
      </c>
    </row>
    <row r="333" spans="1:21" x14ac:dyDescent="0.2">
      <c r="A333" s="137">
        <f t="shared" si="16"/>
        <v>323</v>
      </c>
      <c r="B333" s="141" t="s">
        <v>223</v>
      </c>
      <c r="R333" s="23">
        <f>R332/L331</f>
        <v>3.8910515975151126E-2</v>
      </c>
      <c r="S333" s="23">
        <f>S332/M331</f>
        <v>0</v>
      </c>
    </row>
    <row r="334" spans="1:21" x14ac:dyDescent="0.2">
      <c r="A334" s="137">
        <f t="shared" si="16"/>
        <v>324</v>
      </c>
      <c r="B334" s="288" t="s">
        <v>160</v>
      </c>
      <c r="C334" s="163">
        <v>-0.31399959325790405</v>
      </c>
      <c r="K334" s="163">
        <v>0</v>
      </c>
      <c r="L334" s="174">
        <v>-0.13057444617152214</v>
      </c>
      <c r="M334" s="174">
        <v>-0.13563865423202515</v>
      </c>
      <c r="N334" s="174"/>
      <c r="O334" s="189"/>
      <c r="P334" s="189"/>
      <c r="R334" s="174">
        <f>R331-O331</f>
        <v>0</v>
      </c>
      <c r="S334" s="174">
        <f>S331-P331</f>
        <v>0</v>
      </c>
      <c r="T334" s="189"/>
    </row>
    <row r="335" spans="1:21" x14ac:dyDescent="0.2">
      <c r="A335" s="137">
        <f t="shared" si="16"/>
        <v>325</v>
      </c>
      <c r="B335" s="190"/>
      <c r="C335" s="191"/>
      <c r="D335" s="191"/>
      <c r="E335" s="191"/>
      <c r="F335" s="191"/>
      <c r="G335" s="192"/>
      <c r="H335" s="192"/>
      <c r="I335" s="192"/>
      <c r="J335" s="191"/>
      <c r="K335" s="191"/>
      <c r="L335" s="191"/>
      <c r="M335" s="191"/>
      <c r="N335" s="191"/>
      <c r="O335" s="191"/>
      <c r="P335" s="191"/>
      <c r="Q335" s="191"/>
      <c r="R335" s="191"/>
      <c r="S335" s="191"/>
      <c r="T335" s="191"/>
      <c r="U335" s="191"/>
    </row>
    <row r="336" spans="1:21" x14ac:dyDescent="0.2">
      <c r="A336" s="137">
        <f t="shared" si="16"/>
        <v>326</v>
      </c>
    </row>
    <row r="337" spans="1:21" x14ac:dyDescent="0.2">
      <c r="A337" s="137">
        <f t="shared" si="16"/>
        <v>327</v>
      </c>
      <c r="B337" s="248" t="str">
        <f>CONCATENATE("SCHEDULE"," ", 'Exh CTM-6 (Tariff)'!B110)</f>
        <v>SCHEDULE Special Contract</v>
      </c>
    </row>
    <row r="338" spans="1:21" x14ac:dyDescent="0.2">
      <c r="A338" s="137">
        <f t="shared" si="16"/>
        <v>328</v>
      </c>
      <c r="B338" s="175" t="s">
        <v>247</v>
      </c>
      <c r="C338" s="163">
        <v>1183</v>
      </c>
      <c r="D338" s="163">
        <v>1090.9765698219305</v>
      </c>
      <c r="E338" s="163">
        <v>1090.9765698219305</v>
      </c>
      <c r="G338" s="224">
        <f>'Exh CTM-6 (Tariff)'!D110</f>
        <v>307</v>
      </c>
      <c r="H338" s="210">
        <v>471.56162599833863</v>
      </c>
      <c r="I338" s="210">
        <f>H338</f>
        <v>471.56162599833863</v>
      </c>
      <c r="K338" s="174">
        <f>G338*C338</f>
        <v>363181</v>
      </c>
      <c r="L338" s="174">
        <f>G338*D338</f>
        <v>334929.80693533266</v>
      </c>
      <c r="M338" s="174">
        <f>G338*E338</f>
        <v>334929.80693533266</v>
      </c>
      <c r="N338" s="174"/>
      <c r="O338" s="174">
        <f>H338*D338</f>
        <v>514462.68519131956</v>
      </c>
      <c r="P338" s="174">
        <f>I338*E338</f>
        <v>514462.68519131956</v>
      </c>
      <c r="R338" s="3">
        <f>(H338-G338)/G338</f>
        <v>0.53603135504344834</v>
      </c>
      <c r="S338" s="3">
        <f>(I338-H338)/H338</f>
        <v>0</v>
      </c>
      <c r="U338" s="141" t="s">
        <v>246</v>
      </c>
    </row>
    <row r="339" spans="1:21" x14ac:dyDescent="0.2">
      <c r="A339" s="137">
        <f t="shared" si="16"/>
        <v>329</v>
      </c>
      <c r="B339" s="175"/>
      <c r="C339" s="163"/>
      <c r="G339" s="224"/>
      <c r="K339" s="189"/>
    </row>
    <row r="340" spans="1:21" x14ac:dyDescent="0.2">
      <c r="A340" s="137">
        <f t="shared" si="16"/>
        <v>330</v>
      </c>
      <c r="B340" s="175" t="s">
        <v>245</v>
      </c>
      <c r="C340" s="163">
        <v>795973</v>
      </c>
      <c r="D340" s="163">
        <v>698637.83258738962</v>
      </c>
      <c r="E340" s="163">
        <v>774721.53188225022</v>
      </c>
      <c r="G340" s="224">
        <f>K340/C340</f>
        <v>4.0568084595834284</v>
      </c>
      <c r="H340" s="224">
        <f>O340/D340</f>
        <v>10.894680648715472</v>
      </c>
      <c r="I340" s="224">
        <f>P340/E340</f>
        <v>10.894680648715472</v>
      </c>
      <c r="K340" s="174">
        <v>3229110</v>
      </c>
      <c r="L340" s="189">
        <v>2834240</v>
      </c>
      <c r="M340" s="189">
        <v>3142897</v>
      </c>
      <c r="N340" s="189"/>
      <c r="O340" s="189">
        <v>7611436.0751503529</v>
      </c>
      <c r="P340" s="189">
        <v>8440343.6815407574</v>
      </c>
      <c r="R340" s="3">
        <f>(H340-G340)/G340</f>
        <v>1.6855299571708611</v>
      </c>
      <c r="S340" s="3">
        <f>(I340-H340)/H340</f>
        <v>0</v>
      </c>
      <c r="U340" s="141" t="s">
        <v>244</v>
      </c>
    </row>
    <row r="341" spans="1:21" x14ac:dyDescent="0.2">
      <c r="A341" s="137">
        <f t="shared" si="16"/>
        <v>331</v>
      </c>
      <c r="B341" s="175"/>
      <c r="C341" s="163"/>
      <c r="G341" s="224"/>
      <c r="K341" s="189"/>
    </row>
    <row r="342" spans="1:21" x14ac:dyDescent="0.2">
      <c r="A342" s="137">
        <f t="shared" si="16"/>
        <v>332</v>
      </c>
      <c r="B342" s="117" t="s">
        <v>54</v>
      </c>
      <c r="C342" s="163"/>
      <c r="G342" s="182"/>
      <c r="K342" s="189"/>
    </row>
    <row r="343" spans="1:21" x14ac:dyDescent="0.2">
      <c r="A343" s="137">
        <f t="shared" si="16"/>
        <v>333</v>
      </c>
      <c r="B343" s="181" t="s">
        <v>231</v>
      </c>
      <c r="C343" s="163">
        <v>314106328.37499994</v>
      </c>
      <c r="D343" s="163">
        <v>304773055.46200001</v>
      </c>
      <c r="E343" s="163">
        <v>304773055.46200001</v>
      </c>
      <c r="G343" s="182">
        <v>0</v>
      </c>
      <c r="H343" s="182">
        <v>0</v>
      </c>
      <c r="I343" s="182">
        <v>0</v>
      </c>
      <c r="K343" s="174">
        <f>G343*C343</f>
        <v>0</v>
      </c>
      <c r="L343" s="174">
        <f>G343*D343</f>
        <v>0</v>
      </c>
      <c r="M343" s="174">
        <f>G343*E343</f>
        <v>0</v>
      </c>
      <c r="N343" s="174"/>
      <c r="O343" s="174">
        <f t="shared" ref="O343:P345" si="17">H343*D343</f>
        <v>0</v>
      </c>
      <c r="P343" s="174">
        <f t="shared" si="17"/>
        <v>0</v>
      </c>
    </row>
    <row r="344" spans="1:21" x14ac:dyDescent="0.2">
      <c r="A344" s="137">
        <f t="shared" si="16"/>
        <v>334</v>
      </c>
      <c r="B344" s="181" t="s">
        <v>229</v>
      </c>
      <c r="C344" s="163">
        <v>0</v>
      </c>
      <c r="D344" s="185" t="s">
        <v>227</v>
      </c>
      <c r="G344" s="182">
        <v>0</v>
      </c>
      <c r="H344" s="182">
        <v>0</v>
      </c>
      <c r="I344" s="182">
        <v>0</v>
      </c>
      <c r="K344" s="174">
        <f>G344*C344</f>
        <v>0</v>
      </c>
      <c r="L344" s="174">
        <f>G344*D344</f>
        <v>0</v>
      </c>
      <c r="M344" s="174">
        <f>G344*E344</f>
        <v>0</v>
      </c>
      <c r="N344" s="174"/>
      <c r="O344" s="174">
        <f t="shared" si="17"/>
        <v>0</v>
      </c>
      <c r="P344" s="174">
        <f t="shared" si="17"/>
        <v>0</v>
      </c>
    </row>
    <row r="345" spans="1:21" x14ac:dyDescent="0.2">
      <c r="A345" s="137">
        <f t="shared" si="16"/>
        <v>335</v>
      </c>
      <c r="B345" s="184" t="s">
        <v>228</v>
      </c>
      <c r="C345" s="163">
        <v>2550576</v>
      </c>
      <c r="D345" s="185" t="s">
        <v>227</v>
      </c>
      <c r="G345" s="194">
        <f>K345/C345</f>
        <v>1.2422292062655651E-2</v>
      </c>
      <c r="K345" s="174">
        <v>31684</v>
      </c>
      <c r="L345" s="174">
        <f>G345*D345</f>
        <v>0</v>
      </c>
      <c r="M345" s="174">
        <f>G345*E345</f>
        <v>0</v>
      </c>
      <c r="N345" s="174"/>
      <c r="O345" s="174">
        <f t="shared" si="17"/>
        <v>0</v>
      </c>
      <c r="P345" s="174">
        <f t="shared" si="17"/>
        <v>0</v>
      </c>
    </row>
    <row r="346" spans="1:21" x14ac:dyDescent="0.2">
      <c r="A346" s="137">
        <f t="shared" si="16"/>
        <v>336</v>
      </c>
      <c r="B346" s="175" t="s">
        <v>226</v>
      </c>
      <c r="C346" s="222">
        <f>SUM(C342:C345)</f>
        <v>316656904.37499994</v>
      </c>
      <c r="D346" s="222">
        <f>SUM(D342:D345)</f>
        <v>304773055.46200001</v>
      </c>
      <c r="E346" s="222">
        <f>SUM(E342:E345)</f>
        <v>304773055.46200001</v>
      </c>
      <c r="K346" s="246">
        <f>SUM(K343:K345)</f>
        <v>31684</v>
      </c>
      <c r="L346" s="246">
        <f>SUM(L343:L345)</f>
        <v>0</v>
      </c>
      <c r="M346" s="246">
        <f>SUM(M343:M345)</f>
        <v>0</v>
      </c>
      <c r="O346" s="246">
        <f>SUM(O343:O345)</f>
        <v>0</v>
      </c>
      <c r="P346" s="246">
        <f>SUM(P343:P345)</f>
        <v>0</v>
      </c>
    </row>
    <row r="347" spans="1:21" x14ac:dyDescent="0.2">
      <c r="A347" s="137">
        <f t="shared" si="16"/>
        <v>337</v>
      </c>
      <c r="B347" s="175"/>
      <c r="K347" s="189"/>
    </row>
    <row r="348" spans="1:21" ht="12" thickBot="1" x14ac:dyDescent="0.25">
      <c r="A348" s="137">
        <f t="shared" si="16"/>
        <v>338</v>
      </c>
      <c r="B348" s="117" t="s">
        <v>225</v>
      </c>
      <c r="K348" s="197">
        <f>SUM(K346,K340,K338)</f>
        <v>3623975</v>
      </c>
      <c r="L348" s="197">
        <f>SUM(L346,L340,L338)</f>
        <v>3169169.8069353327</v>
      </c>
      <c r="M348" s="197">
        <f>SUM(M346,M340,M338)</f>
        <v>3477826.8069353327</v>
      </c>
      <c r="O348" s="197">
        <f>SUM(O346,O340,O338)</f>
        <v>8125898.7603416722</v>
      </c>
      <c r="P348" s="197">
        <f>SUM(P346,P340,P338)</f>
        <v>8954806.3667320777</v>
      </c>
      <c r="R348" s="188">
        <f>'Exh CTM-6 (Rate Spread)'!U28</f>
        <v>8125898.7603416722</v>
      </c>
      <c r="S348" s="188">
        <f>'Exh CTM-6 (Rate Spread)'!AB28</f>
        <v>8954806.3667320777</v>
      </c>
    </row>
    <row r="349" spans="1:21" ht="12" thickTop="1" x14ac:dyDescent="0.2">
      <c r="A349" s="137">
        <f t="shared" si="16"/>
        <v>339</v>
      </c>
      <c r="B349" s="141" t="s">
        <v>224</v>
      </c>
      <c r="R349" s="174">
        <f>R348-L348</f>
        <v>4956728.9534063395</v>
      </c>
      <c r="S349" s="174">
        <f>S348-M348-R349</f>
        <v>520250.60639040545</v>
      </c>
    </row>
    <row r="350" spans="1:21" x14ac:dyDescent="0.2">
      <c r="A350" s="137">
        <f t="shared" si="16"/>
        <v>340</v>
      </c>
      <c r="B350" s="141" t="s">
        <v>223</v>
      </c>
      <c r="M350" s="195"/>
      <c r="R350" s="23">
        <f>R349/L348</f>
        <v>1.5640465028283295</v>
      </c>
      <c r="S350" s="23">
        <f>S349/M348</f>
        <v>0.14959071721252595</v>
      </c>
    </row>
    <row r="351" spans="1:21" x14ac:dyDescent="0.2">
      <c r="A351" s="137">
        <f t="shared" si="16"/>
        <v>341</v>
      </c>
      <c r="B351" s="288" t="s">
        <v>160</v>
      </c>
      <c r="K351" s="163">
        <v>0</v>
      </c>
      <c r="O351" s="189"/>
      <c r="P351" s="189"/>
      <c r="R351" s="174">
        <f>R348-O348</f>
        <v>0</v>
      </c>
      <c r="S351" s="174">
        <f>S348-P348</f>
        <v>0</v>
      </c>
    </row>
    <row r="352" spans="1:21" x14ac:dyDescent="0.2">
      <c r="A352" s="137">
        <f t="shared" si="16"/>
        <v>342</v>
      </c>
      <c r="B352" s="190"/>
      <c r="C352" s="191"/>
      <c r="D352" s="191"/>
      <c r="E352" s="191"/>
      <c r="F352" s="191"/>
      <c r="G352" s="192"/>
      <c r="H352" s="192"/>
      <c r="I352" s="192"/>
      <c r="J352" s="191"/>
      <c r="K352" s="191"/>
      <c r="L352" s="191"/>
      <c r="M352" s="191"/>
      <c r="N352" s="191"/>
      <c r="O352" s="191"/>
      <c r="P352" s="191"/>
      <c r="Q352" s="191"/>
      <c r="R352" s="191"/>
      <c r="S352" s="191"/>
      <c r="T352" s="191"/>
      <c r="U352" s="191"/>
    </row>
    <row r="353" spans="1:21" x14ac:dyDescent="0.2">
      <c r="A353" s="137">
        <f t="shared" si="16"/>
        <v>343</v>
      </c>
    </row>
    <row r="354" spans="1:21" x14ac:dyDescent="0.2">
      <c r="A354" s="137">
        <f t="shared" si="16"/>
        <v>344</v>
      </c>
      <c r="B354" s="248" t="s">
        <v>243</v>
      </c>
    </row>
    <row r="355" spans="1:21" x14ac:dyDescent="0.2">
      <c r="A355" s="137">
        <f t="shared" si="16"/>
        <v>345</v>
      </c>
      <c r="B355" s="248" t="s">
        <v>242</v>
      </c>
    </row>
    <row r="356" spans="1:21" x14ac:dyDescent="0.2">
      <c r="A356" s="137">
        <f t="shared" si="16"/>
        <v>346</v>
      </c>
      <c r="B356" s="141" t="s">
        <v>241</v>
      </c>
      <c r="C356" s="163">
        <v>96</v>
      </c>
      <c r="D356" s="295">
        <v>96</v>
      </c>
      <c r="E356" s="295">
        <v>96</v>
      </c>
      <c r="G356" s="182"/>
      <c r="K356" s="174">
        <f>G356*C356</f>
        <v>0</v>
      </c>
      <c r="L356" s="174">
        <f>G356*D356</f>
        <v>0</v>
      </c>
      <c r="M356" s="174">
        <f>G356*E356</f>
        <v>0</v>
      </c>
      <c r="N356" s="174"/>
      <c r="O356" s="174">
        <f>H356*D356</f>
        <v>0</v>
      </c>
      <c r="P356" s="174">
        <f>I356*E356</f>
        <v>0</v>
      </c>
    </row>
    <row r="357" spans="1:21" x14ac:dyDescent="0.2">
      <c r="A357" s="137">
        <f t="shared" si="16"/>
        <v>347</v>
      </c>
      <c r="B357" s="117" t="s">
        <v>54</v>
      </c>
      <c r="C357" s="163"/>
      <c r="G357" s="182"/>
    </row>
    <row r="358" spans="1:21" x14ac:dyDescent="0.2">
      <c r="A358" s="137">
        <f t="shared" si="16"/>
        <v>348</v>
      </c>
      <c r="B358" s="181" t="s">
        <v>231</v>
      </c>
      <c r="C358" s="163">
        <v>7070140</v>
      </c>
      <c r="D358" s="163">
        <v>6714960.2368700616</v>
      </c>
      <c r="E358" s="163">
        <v>6710049.8818741431</v>
      </c>
      <c r="G358" s="194">
        <f>K358/C358</f>
        <v>3.5139756779922322E-2</v>
      </c>
      <c r="H358" s="182">
        <f t="shared" ref="H358:I360" si="18">G358+R358</f>
        <v>0.12915032876857874</v>
      </c>
      <c r="I358" s="182">
        <f t="shared" si="18"/>
        <v>0.12937531311662395</v>
      </c>
      <c r="K358" s="189">
        <v>248443</v>
      </c>
      <c r="L358" s="174">
        <f>G358*D358</f>
        <v>235962.06951046354</v>
      </c>
      <c r="M358" s="174">
        <f>G358*E358</f>
        <v>235789.5208302039</v>
      </c>
      <c r="N358" s="174"/>
      <c r="O358" s="174">
        <f t="shared" ref="O358:P360" si="19">H358*D358</f>
        <v>867239.32225970179</v>
      </c>
      <c r="P358" s="174">
        <f t="shared" si="19"/>
        <v>868114.80449563288</v>
      </c>
      <c r="R358" s="182">
        <f>(R370-(O356-L356)-(O363-L363)-(O365-L365))/D361</f>
        <v>9.4010571988656422E-2</v>
      </c>
      <c r="S358" s="182">
        <f>((S370+R370)-(P356-M356)-(P363-M363)-(P365-M365))/E361-R358</f>
        <v>2.2498434804521517E-4</v>
      </c>
      <c r="U358" s="141" t="s">
        <v>230</v>
      </c>
    </row>
    <row r="359" spans="1:21" x14ac:dyDescent="0.2">
      <c r="A359" s="137">
        <f t="shared" si="16"/>
        <v>349</v>
      </c>
      <c r="B359" s="181" t="s">
        <v>229</v>
      </c>
      <c r="C359" s="163">
        <v>-182514.82154599993</v>
      </c>
      <c r="D359" s="185" t="s">
        <v>227</v>
      </c>
      <c r="G359" s="194">
        <f>K359/C359</f>
        <v>7.7834774620863356E-2</v>
      </c>
      <c r="H359" s="182">
        <f t="shared" si="18"/>
        <v>0.17184534660951978</v>
      </c>
      <c r="I359" s="182">
        <f t="shared" si="18"/>
        <v>0.17207033095756499</v>
      </c>
      <c r="K359" s="189">
        <v>-14206</v>
      </c>
      <c r="L359" s="174">
        <f>G359*D359</f>
        <v>0</v>
      </c>
      <c r="M359" s="174">
        <f>G359*E359</f>
        <v>0</v>
      </c>
      <c r="N359" s="174"/>
      <c r="O359" s="174">
        <f t="shared" si="19"/>
        <v>0</v>
      </c>
      <c r="P359" s="174">
        <f t="shared" si="19"/>
        <v>0</v>
      </c>
      <c r="R359" s="214">
        <f>R358</f>
        <v>9.4010571988656422E-2</v>
      </c>
      <c r="S359" s="214">
        <f>S358</f>
        <v>2.2498434804521517E-4</v>
      </c>
      <c r="U359" s="141" t="s">
        <v>230</v>
      </c>
    </row>
    <row r="360" spans="1:21" x14ac:dyDescent="0.2">
      <c r="A360" s="137">
        <f t="shared" si="16"/>
        <v>350</v>
      </c>
      <c r="B360" s="184" t="s">
        <v>228</v>
      </c>
      <c r="C360" s="289">
        <v>-119780</v>
      </c>
      <c r="D360" s="293" t="s">
        <v>227</v>
      </c>
      <c r="E360" s="191"/>
      <c r="G360" s="194">
        <f>K360/C360</f>
        <v>7.3259308732676567E-2</v>
      </c>
      <c r="H360" s="182">
        <f t="shared" si="18"/>
        <v>0.16726988072133298</v>
      </c>
      <c r="I360" s="182">
        <f t="shared" si="18"/>
        <v>0.16749486506937819</v>
      </c>
      <c r="K360" s="296">
        <v>-8775</v>
      </c>
      <c r="L360" s="249">
        <f>G360*D360</f>
        <v>0</v>
      </c>
      <c r="M360" s="249">
        <f>G360*E360</f>
        <v>0</v>
      </c>
      <c r="N360" s="174"/>
      <c r="O360" s="249">
        <f t="shared" si="19"/>
        <v>0</v>
      </c>
      <c r="P360" s="249">
        <f t="shared" si="19"/>
        <v>0</v>
      </c>
      <c r="R360" s="214">
        <f>R359</f>
        <v>9.4010571988656422E-2</v>
      </c>
      <c r="S360" s="214">
        <f>S359</f>
        <v>2.2498434804521517E-4</v>
      </c>
      <c r="U360" s="141" t="s">
        <v>230</v>
      </c>
    </row>
    <row r="361" spans="1:21" x14ac:dyDescent="0.2">
      <c r="A361" s="137">
        <f t="shared" si="16"/>
        <v>351</v>
      </c>
      <c r="B361" s="175" t="s">
        <v>226</v>
      </c>
      <c r="C361" s="163">
        <f>SUM(C358:C360)</f>
        <v>6767845.1784540005</v>
      </c>
      <c r="D361" s="163">
        <f>SUM(D358:D360)</f>
        <v>6714960.2368700616</v>
      </c>
      <c r="E361" s="163">
        <f>SUM(E358:E360)</f>
        <v>6710049.8818741431</v>
      </c>
      <c r="G361" s="182"/>
      <c r="K361" s="189">
        <f>SUM(K358:K360)</f>
        <v>225462</v>
      </c>
      <c r="L361" s="189">
        <f>SUM(L358:L360)</f>
        <v>235962.06951046354</v>
      </c>
      <c r="M361" s="189">
        <f>SUM(M358:M360)</f>
        <v>235789.5208302039</v>
      </c>
      <c r="O361" s="189">
        <f>SUM(O358:O360)</f>
        <v>867239.32225970179</v>
      </c>
      <c r="P361" s="189">
        <f>SUM(P358:P360)</f>
        <v>868114.80449563288</v>
      </c>
    </row>
    <row r="362" spans="1:21" x14ac:dyDescent="0.2">
      <c r="A362" s="137">
        <f t="shared" si="16"/>
        <v>352</v>
      </c>
      <c r="B362" s="175"/>
      <c r="C362" s="163"/>
      <c r="G362" s="182"/>
      <c r="K362" s="189"/>
      <c r="L362" s="189"/>
      <c r="M362" s="189"/>
      <c r="O362" s="189"/>
      <c r="P362" s="189"/>
    </row>
    <row r="363" spans="1:21" x14ac:dyDescent="0.2">
      <c r="A363" s="137">
        <f t="shared" si="16"/>
        <v>353</v>
      </c>
      <c r="B363" s="117" t="s">
        <v>240</v>
      </c>
      <c r="C363" s="163">
        <v>14047</v>
      </c>
      <c r="D363" s="163">
        <v>13394.355918136085</v>
      </c>
      <c r="E363" s="163">
        <v>13319.835934941628</v>
      </c>
      <c r="G363" s="297">
        <v>5.25</v>
      </c>
      <c r="H363" s="42">
        <f>G363*(1+R363)</f>
        <v>19.295501396937592</v>
      </c>
      <c r="I363" s="42">
        <f>H363*(1+S363)</f>
        <v>19.295501396937592</v>
      </c>
      <c r="K363" s="189">
        <v>73747</v>
      </c>
      <c r="L363" s="174">
        <f>G363*D363</f>
        <v>70320.368570214443</v>
      </c>
      <c r="M363" s="174">
        <f>G363*E363</f>
        <v>69929.138658443553</v>
      </c>
      <c r="N363" s="174"/>
      <c r="O363" s="174">
        <f>H363*D363</f>
        <v>258450.81332947413</v>
      </c>
      <c r="P363" s="174">
        <f>I363*E363</f>
        <v>257012.91288964573</v>
      </c>
      <c r="R363" s="3">
        <f>R371</f>
        <v>2.675333599416684</v>
      </c>
      <c r="S363" s="3">
        <f>S371</f>
        <v>0</v>
      </c>
      <c r="T363" s="174"/>
      <c r="U363" s="141" t="s">
        <v>239</v>
      </c>
    </row>
    <row r="364" spans="1:21" x14ac:dyDescent="0.2">
      <c r="A364" s="137">
        <f t="shared" si="16"/>
        <v>354</v>
      </c>
      <c r="C364" s="163"/>
      <c r="D364" s="163"/>
      <c r="E364" s="163"/>
      <c r="G364" s="118"/>
      <c r="K364" s="189"/>
      <c r="L364" s="189"/>
      <c r="M364" s="189"/>
      <c r="O364" s="189"/>
      <c r="P364" s="189"/>
    </row>
    <row r="365" spans="1:21" x14ac:dyDescent="0.2">
      <c r="A365" s="137">
        <f t="shared" si="16"/>
        <v>355</v>
      </c>
      <c r="B365" s="141" t="s">
        <v>238</v>
      </c>
      <c r="C365" s="163">
        <v>1785000</v>
      </c>
      <c r="D365" s="163">
        <v>1725954.2492423062</v>
      </c>
      <c r="E365" s="163">
        <v>1723920.2776531272</v>
      </c>
      <c r="G365" s="194">
        <v>2.5000000000000001E-4</v>
      </c>
      <c r="H365" s="47">
        <f>G365*(1+R365)</f>
        <v>9.1883339985417102E-4</v>
      </c>
      <c r="I365" s="47">
        <f>H365*(1+S365)</f>
        <v>9.1883339985417102E-4</v>
      </c>
      <c r="K365" s="189">
        <v>447</v>
      </c>
      <c r="L365" s="174">
        <f>G365*D365</f>
        <v>431.48856231057658</v>
      </c>
      <c r="M365" s="174">
        <f>G365*E365</f>
        <v>430.9800694132818</v>
      </c>
      <c r="N365" s="174"/>
      <c r="O365" s="174">
        <f>H365*D365</f>
        <v>1585.8644108240615</v>
      </c>
      <c r="P365" s="174">
        <f>I365*E365</f>
        <v>1583.9955297935694</v>
      </c>
      <c r="R365" s="3">
        <f>R363</f>
        <v>2.675333599416684</v>
      </c>
      <c r="S365" s="3">
        <f>S363</f>
        <v>0</v>
      </c>
      <c r="T365" s="174"/>
      <c r="U365" s="141" t="s">
        <v>237</v>
      </c>
    </row>
    <row r="366" spans="1:21" x14ac:dyDescent="0.2">
      <c r="A366" s="137">
        <f t="shared" si="16"/>
        <v>356</v>
      </c>
      <c r="B366" s="141" t="s">
        <v>236</v>
      </c>
      <c r="D366" s="163"/>
      <c r="E366" s="163"/>
      <c r="K366" s="189">
        <v>134789</v>
      </c>
      <c r="L366" s="174">
        <f>G366*D366</f>
        <v>0</v>
      </c>
      <c r="M366" s="174">
        <f>G366*E366</f>
        <v>0</v>
      </c>
      <c r="N366" s="174"/>
      <c r="O366" s="174">
        <f>H366*D366</f>
        <v>0</v>
      </c>
      <c r="P366" s="174">
        <f>I366*E366</f>
        <v>0</v>
      </c>
    </row>
    <row r="367" spans="1:21" x14ac:dyDescent="0.2">
      <c r="A367" s="137">
        <f t="shared" si="16"/>
        <v>357</v>
      </c>
      <c r="B367" s="141" t="s">
        <v>235</v>
      </c>
      <c r="K367" s="189"/>
      <c r="L367" s="189"/>
      <c r="M367" s="189"/>
      <c r="O367" s="189"/>
      <c r="P367" s="189"/>
    </row>
    <row r="368" spans="1:21" x14ac:dyDescent="0.2">
      <c r="A368" s="137">
        <f t="shared" si="16"/>
        <v>358</v>
      </c>
      <c r="B368" s="184"/>
      <c r="K368" s="189"/>
      <c r="L368" s="189"/>
      <c r="M368" s="189"/>
      <c r="O368" s="189"/>
      <c r="P368" s="189"/>
    </row>
    <row r="369" spans="1:21" ht="12" thickBot="1" x14ac:dyDescent="0.25">
      <c r="A369" s="137">
        <f t="shared" si="16"/>
        <v>359</v>
      </c>
      <c r="B369" s="117" t="s">
        <v>225</v>
      </c>
      <c r="K369" s="197">
        <f>SUM(K363,K361,K356,K365,K366)</f>
        <v>434445</v>
      </c>
      <c r="L369" s="197">
        <f>SUM(L363,L361,L356,L365,L366)</f>
        <v>306713.92664298858</v>
      </c>
      <c r="M369" s="197">
        <f>SUM(M363,M361,M356,M365,M366)</f>
        <v>306149.63955806073</v>
      </c>
      <c r="O369" s="197">
        <f>SUM(O363,O361,O356,O365,O366)</f>
        <v>1127276</v>
      </c>
      <c r="P369" s="197">
        <f>SUM(P363,P361,P356,P365,P366)</f>
        <v>1126711.7129150722</v>
      </c>
      <c r="R369" s="188">
        <f>'Exh CTM-6 (Rate Spread)'!U34</f>
        <v>1127276</v>
      </c>
      <c r="S369" s="188">
        <f>'Exh CTM-6 (Rate Spread)'!AB34</f>
        <v>1126711.7129150722</v>
      </c>
    </row>
    <row r="370" spans="1:21" ht="12" thickTop="1" x14ac:dyDescent="0.2">
      <c r="A370" s="137">
        <f t="shared" si="16"/>
        <v>360</v>
      </c>
      <c r="B370" s="141" t="s">
        <v>224</v>
      </c>
      <c r="R370" s="174">
        <f>R369-L369</f>
        <v>820562.07335701142</v>
      </c>
      <c r="S370" s="174">
        <f>S369-M369-R370</f>
        <v>0</v>
      </c>
    </row>
    <row r="371" spans="1:21" x14ac:dyDescent="0.2">
      <c r="A371" s="137">
        <f t="shared" si="16"/>
        <v>361</v>
      </c>
      <c r="B371" s="141" t="s">
        <v>223</v>
      </c>
      <c r="R371" s="23">
        <f>R370/L369</f>
        <v>2.675333599416684</v>
      </c>
      <c r="S371" s="23">
        <f>S370/M369</f>
        <v>0</v>
      </c>
    </row>
    <row r="372" spans="1:21" x14ac:dyDescent="0.2">
      <c r="A372" s="137">
        <f t="shared" si="16"/>
        <v>362</v>
      </c>
      <c r="B372" s="288" t="s">
        <v>160</v>
      </c>
      <c r="C372" s="163">
        <v>0</v>
      </c>
      <c r="K372" s="163">
        <v>0</v>
      </c>
      <c r="L372" s="163">
        <v>1.6332131503731944</v>
      </c>
      <c r="M372" s="163">
        <v>1.6320188534446061</v>
      </c>
      <c r="O372" s="189"/>
      <c r="P372" s="189"/>
      <c r="R372" s="174">
        <f>R369-O369</f>
        <v>0</v>
      </c>
      <c r="S372" s="174">
        <f>S369-P369</f>
        <v>0</v>
      </c>
    </row>
    <row r="373" spans="1:21" x14ac:dyDescent="0.2">
      <c r="A373" s="137">
        <f t="shared" si="16"/>
        <v>363</v>
      </c>
      <c r="B373" s="190"/>
      <c r="C373" s="191"/>
      <c r="D373" s="191"/>
      <c r="E373" s="191"/>
      <c r="F373" s="191"/>
      <c r="G373" s="192"/>
      <c r="H373" s="192"/>
      <c r="I373" s="192"/>
      <c r="J373" s="191"/>
      <c r="K373" s="191"/>
      <c r="L373" s="191"/>
      <c r="M373" s="191"/>
      <c r="N373" s="191"/>
      <c r="O373" s="191"/>
      <c r="P373" s="191"/>
      <c r="Q373" s="191"/>
      <c r="R373" s="191"/>
      <c r="S373" s="191"/>
      <c r="T373" s="191"/>
      <c r="U373" s="191"/>
    </row>
    <row r="374" spans="1:21" x14ac:dyDescent="0.2">
      <c r="A374" s="137">
        <f t="shared" si="16"/>
        <v>364</v>
      </c>
    </row>
    <row r="375" spans="1:21" x14ac:dyDescent="0.2">
      <c r="A375" s="137">
        <f t="shared" si="16"/>
        <v>365</v>
      </c>
      <c r="B375" s="248" t="s">
        <v>234</v>
      </c>
    </row>
    <row r="376" spans="1:21" x14ac:dyDescent="0.2">
      <c r="A376" s="137">
        <f t="shared" si="16"/>
        <v>366</v>
      </c>
      <c r="B376" s="248" t="s">
        <v>233</v>
      </c>
    </row>
    <row r="377" spans="1:21" x14ac:dyDescent="0.2">
      <c r="A377" s="137">
        <f t="shared" si="16"/>
        <v>367</v>
      </c>
      <c r="B377" s="117" t="s">
        <v>54</v>
      </c>
      <c r="C377" s="163"/>
      <c r="G377" s="182" t="s">
        <v>232</v>
      </c>
      <c r="P377" s="174"/>
    </row>
    <row r="378" spans="1:21" x14ac:dyDescent="0.2">
      <c r="A378" s="137">
        <f t="shared" si="16"/>
        <v>368</v>
      </c>
      <c r="B378" s="181" t="s">
        <v>231</v>
      </c>
      <c r="C378" s="163">
        <v>66303800.464439668</v>
      </c>
      <c r="D378" s="163">
        <v>67255417.982360825</v>
      </c>
      <c r="E378" s="163">
        <v>67027608.143863305</v>
      </c>
      <c r="G378" s="194">
        <v>0.24954457821507642</v>
      </c>
      <c r="H378" s="44">
        <f>R381/D378</f>
        <v>0.31727738722237253</v>
      </c>
      <c r="I378" s="44">
        <f>S381/E378</f>
        <v>0.34810792173485411</v>
      </c>
      <c r="K378" s="189">
        <v>15259023</v>
      </c>
      <c r="L378" s="174">
        <f>G378*D378</f>
        <v>16783224.913086899</v>
      </c>
      <c r="M378" s="174">
        <f>G378*E378</f>
        <v>16726376.20302579</v>
      </c>
      <c r="N378" s="174"/>
      <c r="O378" s="174">
        <f t="shared" ref="O378:P380" si="20">H378*D378</f>
        <v>21338623.293992013</v>
      </c>
      <c r="P378" s="174">
        <f t="shared" si="20"/>
        <v>23332841.369818438</v>
      </c>
      <c r="R378" s="3">
        <f>(H378-G378)/G378</f>
        <v>0.2714256887157005</v>
      </c>
      <c r="S378" s="3">
        <f>(I378-H378)/H378</f>
        <v>9.7172177262267845E-2</v>
      </c>
      <c r="U378" s="141" t="s">
        <v>230</v>
      </c>
    </row>
    <row r="379" spans="1:21" x14ac:dyDescent="0.2">
      <c r="A379" s="137">
        <f t="shared" si="16"/>
        <v>369</v>
      </c>
      <c r="B379" s="181" t="s">
        <v>229</v>
      </c>
      <c r="C379" s="163">
        <v>0</v>
      </c>
      <c r="D379" s="185" t="s">
        <v>227</v>
      </c>
      <c r="E379" s="163"/>
      <c r="G379" s="194">
        <f>IFERROR(K379/C379,0)</f>
        <v>0</v>
      </c>
      <c r="I379" s="44"/>
      <c r="K379" s="189">
        <v>0</v>
      </c>
      <c r="L379" s="174">
        <f>G379*D379</f>
        <v>0</v>
      </c>
      <c r="M379" s="174">
        <f>G379*E379</f>
        <v>0</v>
      </c>
      <c r="N379" s="174"/>
      <c r="O379" s="174">
        <f t="shared" si="20"/>
        <v>0</v>
      </c>
      <c r="P379" s="174">
        <f t="shared" si="20"/>
        <v>0</v>
      </c>
    </row>
    <row r="380" spans="1:21" x14ac:dyDescent="0.2">
      <c r="A380" s="137">
        <f t="shared" si="16"/>
        <v>370</v>
      </c>
      <c r="B380" s="184" t="s">
        <v>228</v>
      </c>
      <c r="C380" s="289">
        <v>441294</v>
      </c>
      <c r="D380" s="293" t="s">
        <v>227</v>
      </c>
      <c r="E380" s="289"/>
      <c r="G380" s="194">
        <f>K380/C380</f>
        <v>0.23013682488318446</v>
      </c>
      <c r="I380" s="44"/>
      <c r="K380" s="296">
        <v>101558</v>
      </c>
      <c r="L380" s="174">
        <f>G380*D380</f>
        <v>0</v>
      </c>
      <c r="M380" s="174">
        <f>G380*E380</f>
        <v>0</v>
      </c>
      <c r="N380" s="174"/>
      <c r="O380" s="174">
        <f t="shared" si="20"/>
        <v>0</v>
      </c>
      <c r="P380" s="174">
        <f t="shared" si="20"/>
        <v>0</v>
      </c>
    </row>
    <row r="381" spans="1:21" ht="12" thickBot="1" x14ac:dyDescent="0.25">
      <c r="A381" s="137">
        <f t="shared" si="16"/>
        <v>371</v>
      </c>
      <c r="B381" s="175" t="s">
        <v>226</v>
      </c>
      <c r="C381" s="163">
        <f>SUM(C378:C380)</f>
        <v>66745094.464439668</v>
      </c>
      <c r="D381" s="163">
        <f>SUM(D378:D380)</f>
        <v>67255417.982360825</v>
      </c>
      <c r="E381" s="163">
        <f>SUM(E378:E380)</f>
        <v>67027608.143863305</v>
      </c>
      <c r="G381" s="182"/>
      <c r="K381" s="197">
        <f>SUM(K378:K380)</f>
        <v>15360581</v>
      </c>
      <c r="L381" s="197">
        <f>SUM(L378:L380)</f>
        <v>16783224.913086899</v>
      </c>
      <c r="M381" s="197">
        <f>SUM(M378:M380)</f>
        <v>16726376.20302579</v>
      </c>
      <c r="O381" s="197">
        <f>SUM(O378:O380)</f>
        <v>21338623.293992013</v>
      </c>
      <c r="P381" s="197">
        <f>SUM(P378:P380)</f>
        <v>23332841.369818438</v>
      </c>
      <c r="R381" s="188">
        <f>'Exh CTM-6 (Rate Spread)'!U30</f>
        <v>21338623.293992013</v>
      </c>
      <c r="S381" s="188">
        <f>'Exh CTM-6 (Rate Spread)'!AB30</f>
        <v>23332841.369818438</v>
      </c>
    </row>
    <row r="382" spans="1:21" ht="12" thickTop="1" x14ac:dyDescent="0.2">
      <c r="A382" s="137">
        <f t="shared" si="16"/>
        <v>372</v>
      </c>
      <c r="B382" s="117" t="s">
        <v>225</v>
      </c>
      <c r="R382" s="174">
        <f>R381-L381</f>
        <v>4555398.3809051141</v>
      </c>
      <c r="S382" s="174">
        <f>S381-M381-R382</f>
        <v>2051066.7858875338</v>
      </c>
    </row>
    <row r="383" spans="1:21" x14ac:dyDescent="0.2">
      <c r="A383" s="137">
        <f t="shared" si="16"/>
        <v>373</v>
      </c>
      <c r="B383" s="141" t="s">
        <v>224</v>
      </c>
      <c r="M383" s="189"/>
      <c r="P383" s="210"/>
      <c r="R383" s="23">
        <f>R382/L381</f>
        <v>0.2714256887157005</v>
      </c>
      <c r="S383" s="23">
        <f>S382/M381</f>
        <v>0.12262469533098851</v>
      </c>
    </row>
    <row r="384" spans="1:21" x14ac:dyDescent="0.2">
      <c r="A384" s="137">
        <f t="shared" si="16"/>
        <v>374</v>
      </c>
      <c r="B384" s="141" t="s">
        <v>223</v>
      </c>
      <c r="P384" s="1"/>
      <c r="R384" s="174">
        <f>R381-O381</f>
        <v>0</v>
      </c>
      <c r="S384" s="174">
        <f>S381-P381</f>
        <v>0</v>
      </c>
    </row>
    <row r="385" spans="1:19" x14ac:dyDescent="0.2">
      <c r="A385" s="137">
        <f t="shared" si="16"/>
        <v>375</v>
      </c>
      <c r="B385" s="288" t="s">
        <v>160</v>
      </c>
      <c r="C385" s="163">
        <v>0</v>
      </c>
      <c r="K385" s="163">
        <v>0</v>
      </c>
      <c r="L385" s="163">
        <v>0</v>
      </c>
      <c r="M385" s="163">
        <v>0</v>
      </c>
    </row>
    <row r="386" spans="1:19" x14ac:dyDescent="0.2">
      <c r="A386" s="137">
        <f t="shared" si="16"/>
        <v>376</v>
      </c>
    </row>
    <row r="387" spans="1:19" x14ac:dyDescent="0.2">
      <c r="A387" s="137">
        <f t="shared" si="16"/>
        <v>377</v>
      </c>
      <c r="B387" s="125" t="s">
        <v>222</v>
      </c>
      <c r="C387" s="250">
        <f>SUM(C23,C43,C61,C86,C135,C171,C195,C243,C267,C289,C307,C325,C346,C361,C381)</f>
        <v>23292161227.789402</v>
      </c>
      <c r="D387" s="250">
        <f>SUM(D23,D43,D61,D86,D135,D171,D195,D243,D267,D289,D307,D325,D346,D361,D381)</f>
        <v>23558158394.432896</v>
      </c>
      <c r="E387" s="250">
        <f>SUM(E23,E43,E61,E86,E135,E171,E195,E243,E267,E289,E307,E325,E346,E361,E381)</f>
        <v>23775605944.94062</v>
      </c>
      <c r="P387" s="251"/>
      <c r="R387" s="210"/>
    </row>
    <row r="388" spans="1:19" x14ac:dyDescent="0.2">
      <c r="A388" s="137">
        <f t="shared" si="16"/>
        <v>378</v>
      </c>
      <c r="B388" s="125" t="s">
        <v>221</v>
      </c>
      <c r="C388" s="250">
        <f>SUM(C65,C90,C107,C112,C139,C175,C199,C216,C221,C247,C270,C291,C309,C327,C363)</f>
        <v>18673135</v>
      </c>
      <c r="D388" s="250">
        <f>SUM(D65,D90,D107,D112,D139,D175,D199,D216,D221,D247,D270,D291,D309,D327,D363,D340)</f>
        <v>15931928.352352697</v>
      </c>
      <c r="E388" s="250">
        <f>SUM(E65,E90,E107,E112,E139,E175,E199,E216,E221,E247,E270,E291,E309,E327,E363,E340)</f>
        <v>16044017.391015278</v>
      </c>
      <c r="P388" s="251"/>
    </row>
    <row r="389" spans="1:19" x14ac:dyDescent="0.2">
      <c r="A389" s="137">
        <f t="shared" si="16"/>
        <v>379</v>
      </c>
      <c r="B389" s="125" t="s">
        <v>220</v>
      </c>
      <c r="C389" s="125"/>
      <c r="D389" s="125"/>
      <c r="E389" s="125"/>
      <c r="F389" s="125"/>
      <c r="G389" s="125"/>
      <c r="H389" s="125"/>
      <c r="I389" s="125"/>
      <c r="J389" s="125"/>
      <c r="K389" s="251">
        <f t="shared" ref="K389:P389" si="21">SUM(K24,K44,K69,K94,K114,K145,K179,K203,K223,K251,K276,K293,K311,K331,K348,K369,K381)</f>
        <v>2094679068.6664464</v>
      </c>
      <c r="L389" s="251">
        <f t="shared" si="21"/>
        <v>2118609636.1930223</v>
      </c>
      <c r="M389" s="251">
        <f t="shared" si="21"/>
        <v>2140998717.1875465</v>
      </c>
      <c r="N389" s="251">
        <f t="shared" si="21"/>
        <v>0</v>
      </c>
      <c r="O389" s="251">
        <f t="shared" si="21"/>
        <v>2702986394.1930223</v>
      </c>
      <c r="P389" s="251">
        <f t="shared" si="21"/>
        <v>2985277399.1875458</v>
      </c>
    </row>
    <row r="390" spans="1:19" x14ac:dyDescent="0.2">
      <c r="A390" s="137">
        <f t="shared" si="16"/>
        <v>380</v>
      </c>
      <c r="M390" s="37" t="s">
        <v>158</v>
      </c>
      <c r="O390" s="298">
        <v>2702986396.0946202</v>
      </c>
      <c r="P390" s="298">
        <v>2985277400.9672737</v>
      </c>
      <c r="S390" s="195"/>
    </row>
    <row r="391" spans="1:19" x14ac:dyDescent="0.2">
      <c r="A391" s="137">
        <f t="shared" si="16"/>
        <v>381</v>
      </c>
      <c r="B391" s="288" t="s">
        <v>160</v>
      </c>
      <c r="D391" s="163">
        <v>0</v>
      </c>
      <c r="E391" s="163">
        <v>0</v>
      </c>
      <c r="M391" s="288" t="s">
        <v>160</v>
      </c>
      <c r="O391" s="298">
        <f>O390-O389+O151</f>
        <v>1.9015979766845703</v>
      </c>
      <c r="P391" s="298">
        <f>P390-P389+P151</f>
        <v>1.7797279357910156</v>
      </c>
    </row>
    <row r="392" spans="1:19" x14ac:dyDescent="0.2">
      <c r="A392" s="137">
        <f t="shared" si="16"/>
        <v>382</v>
      </c>
      <c r="B392" s="288" t="s">
        <v>160</v>
      </c>
      <c r="D392" s="163">
        <v>0</v>
      </c>
      <c r="E392" s="163">
        <v>0</v>
      </c>
    </row>
    <row r="393" spans="1:19" x14ac:dyDescent="0.2">
      <c r="A393" s="137">
        <f t="shared" si="16"/>
        <v>383</v>
      </c>
      <c r="P393" s="189"/>
    </row>
    <row r="394" spans="1:19" x14ac:dyDescent="0.2">
      <c r="A394" s="137">
        <f t="shared" si="16"/>
        <v>384</v>
      </c>
      <c r="O394" s="174">
        <f>O389-L389</f>
        <v>584376758</v>
      </c>
      <c r="P394" s="174">
        <f>P389-M389</f>
        <v>844278681.99999928</v>
      </c>
    </row>
    <row r="395" spans="1:19" x14ac:dyDescent="0.2">
      <c r="P395" s="174">
        <f>P394-O394</f>
        <v>259901923.99999928</v>
      </c>
    </row>
    <row r="396" spans="1:19" x14ac:dyDescent="0.2">
      <c r="P396" s="195"/>
    </row>
    <row r="398" spans="1:19" x14ac:dyDescent="0.2">
      <c r="P398" s="174"/>
    </row>
  </sheetData>
  <mergeCells count="11">
    <mergeCell ref="K148:P148"/>
    <mergeCell ref="C8:E8"/>
    <mergeCell ref="G8:I8"/>
    <mergeCell ref="R8:S8"/>
    <mergeCell ref="K8:M8"/>
    <mergeCell ref="O8:P8"/>
    <mergeCell ref="A1:U1"/>
    <mergeCell ref="A2:U2"/>
    <mergeCell ref="A3:U3"/>
    <mergeCell ref="A4:U4"/>
    <mergeCell ref="A5:U5"/>
  </mergeCells>
  <printOptions horizontalCentered="1"/>
  <pageMargins left="0.7" right="0.7" top="0.75" bottom="0.75" header="0.3" footer="0.3"/>
  <pageSetup scale="45" fitToHeight="0" orientation="landscape" r:id="rId1"/>
  <headerFooter alignWithMargins="0">
    <oddFooter>&amp;R&amp;F
&amp;A
&amp;P of &amp;N</oddFooter>
  </headerFooter>
  <rowBreaks count="3" manualBreakCount="3">
    <brk id="49" min="1" max="11" man="1"/>
    <brk id="76" min="1" max="11" man="1"/>
    <brk id="154" min="1" max="11" man="1"/>
  </rowBreaks>
  <customProperties>
    <customPr name="_pios_id" r:id="rId2"/>
    <customPr name="EpmWorksheetKeyString_GUID" r:id="rId3"/>
  </customProperties>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6"/>
  <sheetViews>
    <sheetView zoomScaleNormal="100" workbookViewId="0">
      <pane ySplit="9" topLeftCell="A10" activePane="bottomLeft" state="frozen"/>
      <selection sqref="A1:XFD1048576"/>
      <selection pane="bottomLeft" sqref="A1:K1"/>
    </sheetView>
  </sheetViews>
  <sheetFormatPr defaultColWidth="8" defaultRowHeight="11.25" x14ac:dyDescent="0.2"/>
  <cols>
    <col min="1" max="1" width="6.125" style="137" customWidth="1"/>
    <col min="2" max="2" width="48.625" style="117" bestFit="1" customWidth="1"/>
    <col min="3" max="3" width="12.5" style="117" bestFit="1" customWidth="1"/>
    <col min="4" max="4" width="15.875" style="117" customWidth="1"/>
    <col min="5" max="5" width="0.75" style="117" customWidth="1"/>
    <col min="6" max="6" width="9.875" style="117" bestFit="1" customWidth="1"/>
    <col min="7" max="7" width="11.75" style="117" bestFit="1" customWidth="1"/>
    <col min="8" max="8" width="8.75" style="117" bestFit="1" customWidth="1"/>
    <col min="9" max="9" width="10.5" style="117" bestFit="1" customWidth="1"/>
    <col min="10" max="10" width="11.75" style="117" bestFit="1" customWidth="1"/>
    <col min="11" max="11" width="8.75" style="117" bestFit="1" customWidth="1"/>
    <col min="12" max="16384" width="8" style="117"/>
  </cols>
  <sheetData>
    <row r="1" spans="1:11" s="125" customFormat="1" ht="15.75" x14ac:dyDescent="0.25">
      <c r="A1" s="377" t="str">
        <f>'Exh CTM-6 (Rate Design)'!A1</f>
        <v>Puget Sound Energy</v>
      </c>
      <c r="B1" s="380"/>
      <c r="C1" s="380"/>
      <c r="D1" s="380"/>
      <c r="E1" s="380"/>
      <c r="F1" s="380"/>
      <c r="G1" s="380"/>
      <c r="H1" s="380"/>
      <c r="I1" s="380"/>
      <c r="J1" s="380"/>
      <c r="K1" s="380"/>
    </row>
    <row r="2" spans="1:11" s="125" customFormat="1" ht="15.75" customHeight="1" x14ac:dyDescent="0.25">
      <c r="A2" s="377" t="str">
        <f>'Exh CTM-6 (Rate Design)'!A2</f>
        <v>2024 General Rate Case Docket No. UE-240004 and UG-240005</v>
      </c>
      <c r="B2" s="380"/>
      <c r="C2" s="380"/>
      <c r="D2" s="380"/>
      <c r="E2" s="380"/>
      <c r="F2" s="380"/>
      <c r="G2" s="380"/>
      <c r="H2" s="380"/>
      <c r="I2" s="380"/>
      <c r="J2" s="380"/>
      <c r="K2" s="380"/>
    </row>
    <row r="3" spans="1:11" s="125" customFormat="1" ht="15.75" x14ac:dyDescent="0.25">
      <c r="A3" s="379" t="s">
        <v>374</v>
      </c>
      <c r="B3" s="380"/>
      <c r="C3" s="380"/>
      <c r="D3" s="380"/>
      <c r="E3" s="380"/>
      <c r="F3" s="380"/>
      <c r="G3" s="380"/>
      <c r="H3" s="380"/>
      <c r="I3" s="380"/>
      <c r="J3" s="380"/>
      <c r="K3" s="380"/>
    </row>
    <row r="4" spans="1:11" s="125" customFormat="1" ht="12" thickBot="1" x14ac:dyDescent="0.25">
      <c r="A4" s="126"/>
      <c r="B4" s="126"/>
      <c r="C4" s="126"/>
      <c r="D4" s="126"/>
      <c r="E4" s="126"/>
      <c r="F4" s="126"/>
      <c r="G4" s="126"/>
      <c r="H4" s="126"/>
    </row>
    <row r="5" spans="1:11" s="125" customFormat="1" ht="25.5" customHeight="1" thickBot="1" x14ac:dyDescent="0.3">
      <c r="A5" s="127"/>
      <c r="B5" s="126"/>
      <c r="C5" s="126"/>
      <c r="D5" s="126"/>
      <c r="E5" s="126"/>
      <c r="F5" s="126"/>
      <c r="G5" s="126"/>
      <c r="H5" s="126"/>
      <c r="I5" s="392" t="s">
        <v>425</v>
      </c>
      <c r="J5" s="393"/>
      <c r="K5" s="394"/>
    </row>
    <row r="6" spans="1:11" s="125" customFormat="1" ht="12" thickBot="1" x14ac:dyDescent="0.25">
      <c r="A6" s="127"/>
      <c r="B6" s="126"/>
      <c r="C6" s="126"/>
      <c r="D6" s="126"/>
      <c r="E6" s="126"/>
      <c r="F6" s="126"/>
      <c r="G6" s="126"/>
      <c r="H6" s="126"/>
    </row>
    <row r="7" spans="1:11" s="125" customFormat="1" ht="12.75" customHeight="1" thickBot="1" x14ac:dyDescent="0.25">
      <c r="A7" s="126"/>
      <c r="B7" s="126"/>
      <c r="C7" s="126"/>
      <c r="D7" s="126"/>
      <c r="F7" s="389" t="s">
        <v>436</v>
      </c>
      <c r="G7" s="390"/>
      <c r="H7" s="391"/>
      <c r="I7" s="389" t="s">
        <v>437</v>
      </c>
      <c r="J7" s="390"/>
      <c r="K7" s="391"/>
    </row>
    <row r="8" spans="1:11" s="133" customFormat="1" ht="57" thickBot="1" x14ac:dyDescent="0.25">
      <c r="A8" s="129" t="s">
        <v>147</v>
      </c>
      <c r="B8" s="129" t="s">
        <v>373</v>
      </c>
      <c r="C8" s="129" t="s">
        <v>372</v>
      </c>
      <c r="D8" s="98" t="s">
        <v>371</v>
      </c>
      <c r="F8" s="130" t="s">
        <v>334</v>
      </c>
      <c r="G8" s="131" t="s">
        <v>429</v>
      </c>
      <c r="H8" s="132" t="s">
        <v>430</v>
      </c>
      <c r="I8" s="130" t="s">
        <v>334</v>
      </c>
      <c r="J8" s="131" t="s">
        <v>431</v>
      </c>
      <c r="K8" s="132" t="s">
        <v>432</v>
      </c>
    </row>
    <row r="9" spans="1:11" s="136" customFormat="1" ht="39" customHeight="1" x14ac:dyDescent="0.2">
      <c r="B9" s="135" t="s">
        <v>137</v>
      </c>
      <c r="C9" s="135" t="s">
        <v>136</v>
      </c>
      <c r="D9" s="135" t="s">
        <v>135</v>
      </c>
      <c r="F9" s="103" t="s">
        <v>370</v>
      </c>
      <c r="G9" s="104" t="s">
        <v>197</v>
      </c>
      <c r="H9" s="105" t="s">
        <v>369</v>
      </c>
      <c r="I9" s="103" t="s">
        <v>368</v>
      </c>
      <c r="J9" s="104" t="s">
        <v>130</v>
      </c>
      <c r="K9" s="105" t="s">
        <v>367</v>
      </c>
    </row>
    <row r="10" spans="1:11" x14ac:dyDescent="0.2">
      <c r="A10" s="137">
        <v>1</v>
      </c>
      <c r="B10" s="117" t="s">
        <v>366</v>
      </c>
      <c r="C10" s="137" t="str">
        <f>'Exh CTM-6 (Tariff)'!B8</f>
        <v>7 (307) (317) (327)</v>
      </c>
      <c r="D10" s="12">
        <v>0.57521599630320641</v>
      </c>
      <c r="F10" s="138">
        <f>+D10*(F61)</f>
        <v>41217769.741866097</v>
      </c>
      <c r="G10" s="118">
        <f>'Exh CTM-6 (Rate Design)'!D23</f>
        <v>11278205851.395365</v>
      </c>
      <c r="H10" s="139">
        <f>(+F10/G10)</f>
        <v>3.6546388924765497E-3</v>
      </c>
      <c r="I10" s="138">
        <f>+D10*(I61)</f>
        <v>51813214.350268565</v>
      </c>
      <c r="J10" s="118">
        <f>'Exh CTM-6 (Rate Design)'!E23</f>
        <v>11447649239.71397</v>
      </c>
      <c r="K10" s="139">
        <f>(+I10/J10)</f>
        <v>4.5261007972291056E-3</v>
      </c>
    </row>
    <row r="11" spans="1:11" x14ac:dyDescent="0.2">
      <c r="A11" s="137">
        <f t="shared" ref="A11:A56" si="0">+A10+1</f>
        <v>2</v>
      </c>
      <c r="C11" s="107"/>
      <c r="D11" s="12"/>
      <c r="F11" s="138"/>
      <c r="G11" s="118"/>
      <c r="H11" s="140"/>
      <c r="I11" s="138"/>
      <c r="J11" s="118"/>
      <c r="K11" s="140"/>
    </row>
    <row r="12" spans="1:11" x14ac:dyDescent="0.2">
      <c r="A12" s="137">
        <f t="shared" si="0"/>
        <v>3</v>
      </c>
      <c r="B12" s="141" t="s">
        <v>365</v>
      </c>
      <c r="C12" s="110" t="str">
        <f>'Exh CTM-6 (Tariff)'!B15</f>
        <v>08 (24) (324)</v>
      </c>
      <c r="D12" s="12">
        <v>0.12604934063119769</v>
      </c>
      <c r="F12" s="138">
        <f>+D12*(F61)</f>
        <v>9032211.7806892972</v>
      </c>
      <c r="G12" s="118">
        <f>'Exh CTM-6 (Rate Design)'!D43</f>
        <v>2762635966.1696987</v>
      </c>
      <c r="H12" s="139">
        <f>(+F12/G12)</f>
        <v>3.2694180092110192E-3</v>
      </c>
      <c r="I12" s="138">
        <f>+D12*(I61)</f>
        <v>11354033.175029518</v>
      </c>
      <c r="J12" s="118">
        <f>'Exh CTM-6 (Rate Design)'!E43</f>
        <v>2774967422.2693906</v>
      </c>
      <c r="K12" s="139">
        <f>(+I12/J12)</f>
        <v>4.0915915206471499E-3</v>
      </c>
    </row>
    <row r="13" spans="1:11" x14ac:dyDescent="0.2">
      <c r="A13" s="137">
        <f t="shared" si="0"/>
        <v>4</v>
      </c>
      <c r="B13" s="141"/>
      <c r="C13" s="110"/>
      <c r="D13" s="12"/>
      <c r="F13" s="138"/>
      <c r="G13" s="118"/>
      <c r="H13" s="139"/>
      <c r="I13" s="138"/>
      <c r="J13" s="118"/>
      <c r="K13" s="139"/>
    </row>
    <row r="14" spans="1:11" x14ac:dyDescent="0.2">
      <c r="A14" s="137">
        <f t="shared" si="0"/>
        <v>5</v>
      </c>
      <c r="B14" s="117" t="s">
        <v>364</v>
      </c>
      <c r="C14" s="110" t="str">
        <f>'Exh CTM-6 (Tariff)'!B22</f>
        <v>7A (11) (25)</v>
      </c>
      <c r="D14" s="12"/>
      <c r="F14" s="138">
        <v>2987882.1012702957</v>
      </c>
      <c r="G14" s="118">
        <f>'Exh CTM-6 (Rate Design)'!D61</f>
        <v>2960202274.8054705</v>
      </c>
      <c r="H14" s="139">
        <f>(+F14/G14)</f>
        <v>1.0093506537375539E-3</v>
      </c>
      <c r="I14" s="138">
        <v>3756111.0632187957</v>
      </c>
      <c r="J14" s="118">
        <f>'Exh CTM-6 (Rate Design)'!E61</f>
        <v>2968720174.6374388</v>
      </c>
      <c r="K14" s="139">
        <f>(+I14/J14)</f>
        <v>1.2652290691821497E-3</v>
      </c>
    </row>
    <row r="15" spans="1:11" x14ac:dyDescent="0.2">
      <c r="A15" s="137">
        <f t="shared" si="0"/>
        <v>6</v>
      </c>
      <c r="B15" s="117" t="s">
        <v>363</v>
      </c>
      <c r="C15" s="110" t="str">
        <f>C14</f>
        <v>7A (11) (25)</v>
      </c>
      <c r="D15" s="12"/>
      <c r="F15" s="159">
        <v>6952549.3294617664</v>
      </c>
      <c r="G15" s="118">
        <f>'Exh CTM-6 (Rate Design)'!D65</f>
        <v>4517887.0072913375</v>
      </c>
      <c r="H15" s="160">
        <f>(+F15/G15)</f>
        <v>1.5388940268406825</v>
      </c>
      <c r="I15" s="159">
        <v>8740153.2486382853</v>
      </c>
      <c r="J15" s="118">
        <f>'Exh CTM-6 (Rate Design)'!E65</f>
        <v>4515508.9451899873</v>
      </c>
      <c r="K15" s="160">
        <f>(+I15/J15)</f>
        <v>1.9355854134556583</v>
      </c>
    </row>
    <row r="16" spans="1:11" x14ac:dyDescent="0.2">
      <c r="A16" s="137">
        <f t="shared" si="0"/>
        <v>7</v>
      </c>
      <c r="B16" s="117" t="s">
        <v>362</v>
      </c>
      <c r="C16" s="110" t="str">
        <f>C15</f>
        <v>7A (11) (25)</v>
      </c>
      <c r="D16" s="12">
        <v>0.1394236987878181</v>
      </c>
      <c r="F16" s="161">
        <f>+D16*(F61)*H68</f>
        <v>9940431.4307320621</v>
      </c>
      <c r="G16" s="118"/>
      <c r="H16" s="139"/>
      <c r="I16" s="161">
        <f>+D16*(I61)*J68</f>
        <v>12496264.31185708</v>
      </c>
      <c r="J16" s="118"/>
      <c r="K16" s="142"/>
    </row>
    <row r="17" spans="1:11" x14ac:dyDescent="0.2">
      <c r="A17" s="137">
        <f t="shared" si="0"/>
        <v>8</v>
      </c>
      <c r="C17" s="110"/>
      <c r="D17" s="12"/>
      <c r="F17" s="138"/>
      <c r="G17" s="118"/>
      <c r="H17" s="139"/>
      <c r="I17" s="138"/>
      <c r="J17" s="118"/>
      <c r="K17" s="139"/>
    </row>
    <row r="18" spans="1:11" x14ac:dyDescent="0.2">
      <c r="A18" s="137">
        <f t="shared" si="0"/>
        <v>9</v>
      </c>
      <c r="B18" s="117" t="s">
        <v>361</v>
      </c>
      <c r="C18" s="110" t="str">
        <f>'Exh CTM-6 (Tariff)'!B35</f>
        <v>12 (26) (26P)</v>
      </c>
      <c r="D18" s="12"/>
      <c r="F18" s="138">
        <v>1703169.2224929873</v>
      </c>
      <c r="G18" s="118">
        <f>'Exh CTM-6 (Rate Design)'!D86+'Exh CTM-6 (Rate Design)'!D135</f>
        <v>2013891730.8000479</v>
      </c>
      <c r="H18" s="139">
        <f>(+F18/G18)</f>
        <v>8.4571042049831472E-4</v>
      </c>
      <c r="I18" s="138">
        <v>2140986.0978037021</v>
      </c>
      <c r="J18" s="118">
        <f>'Exh CTM-6 (Rate Design)'!E86+'Exh CTM-6 (Rate Design)'!E135</f>
        <v>2056791563.2414525</v>
      </c>
      <c r="K18" s="139">
        <f>(+I18/J18)</f>
        <v>1.0409348891093082E-3</v>
      </c>
    </row>
    <row r="19" spans="1:11" x14ac:dyDescent="0.2">
      <c r="A19" s="137">
        <f t="shared" si="0"/>
        <v>10</v>
      </c>
      <c r="B19" s="117" t="s">
        <v>360</v>
      </c>
      <c r="C19" s="110" t="str">
        <f>C18</f>
        <v>12 (26) (26P)</v>
      </c>
      <c r="D19" s="12"/>
      <c r="F19" s="159">
        <v>3963130.9517765744</v>
      </c>
      <c r="G19" s="118">
        <f>'Exh CTM-6 (Rate Design)'!D90+'Exh CTM-6 (Rate Design)'!D107+'Exh CTM-6 (Rate Design)'!D112+'Exh CTM-6 (Rate Design)'!D139</f>
        <v>4944273.2866841266</v>
      </c>
      <c r="H19" s="160">
        <f>(+F19/G19)</f>
        <v>0.80155984954352011</v>
      </c>
      <c r="I19" s="159">
        <v>4981893.8479345003</v>
      </c>
      <c r="J19" s="118">
        <f>'Exh CTM-6 (Rate Design)'!E90+'Exh CTM-6 (Rate Design)'!E107+'Exh CTM-6 (Rate Design)'!E112+'Exh CTM-6 (Rate Design)'!E139</f>
        <v>5032131.2804961493</v>
      </c>
      <c r="K19" s="160">
        <f>(+I19/J19)</f>
        <v>0.99001666892985041</v>
      </c>
    </row>
    <row r="20" spans="1:11" x14ac:dyDescent="0.2">
      <c r="A20" s="137">
        <f t="shared" si="0"/>
        <v>11</v>
      </c>
      <c r="B20" s="117" t="s">
        <v>359</v>
      </c>
      <c r="C20" s="110" t="str">
        <f>C19</f>
        <v>12 (26) (26P)</v>
      </c>
      <c r="D20" s="12">
        <v>7.9076246010100937E-2</v>
      </c>
      <c r="F20" s="138">
        <f>+D20*(F61)</f>
        <v>5666300.1742695617</v>
      </c>
      <c r="G20" s="118"/>
      <c r="H20" s="139"/>
      <c r="I20" s="138">
        <f>+D20*(I61)</f>
        <v>7122879.9457382029</v>
      </c>
      <c r="J20" s="118"/>
      <c r="K20" s="142"/>
    </row>
    <row r="21" spans="1:11" x14ac:dyDescent="0.2">
      <c r="A21" s="137">
        <f t="shared" si="0"/>
        <v>12</v>
      </c>
      <c r="C21" s="110"/>
      <c r="D21" s="162"/>
      <c r="F21" s="138"/>
      <c r="H21" s="142"/>
      <c r="I21" s="138"/>
      <c r="K21" s="139"/>
    </row>
    <row r="22" spans="1:11" x14ac:dyDescent="0.2">
      <c r="A22" s="137">
        <f t="shared" si="0"/>
        <v>13</v>
      </c>
      <c r="B22" s="117" t="s">
        <v>358</v>
      </c>
      <c r="C22" s="110" t="str">
        <f>'Exh CTM-6 (Tariff)'!B59</f>
        <v>29</v>
      </c>
      <c r="D22" s="162"/>
      <c r="F22" s="138">
        <v>15069.665448776928</v>
      </c>
      <c r="G22" s="118">
        <f>'Exh CTM-6 (Rate Design)'!D171</f>
        <v>14930059.630887466</v>
      </c>
      <c r="H22" s="139">
        <f>(+F22/G22)</f>
        <v>1.0093506537375541E-3</v>
      </c>
      <c r="I22" s="138">
        <v>18779.828427218767</v>
      </c>
      <c r="J22" s="118">
        <f>'Exh CTM-6 (Rate Design)'!E171</f>
        <v>14843026.361509496</v>
      </c>
      <c r="K22" s="139">
        <f>(+I22/J22)</f>
        <v>1.2652290691821495E-3</v>
      </c>
    </row>
    <row r="23" spans="1:11" x14ac:dyDescent="0.2">
      <c r="A23" s="137">
        <f t="shared" si="0"/>
        <v>14</v>
      </c>
      <c r="B23" s="117" t="s">
        <v>357</v>
      </c>
      <c r="C23" s="110" t="str">
        <f>C22</f>
        <v>29</v>
      </c>
      <c r="D23" s="162"/>
      <c r="F23" s="159">
        <v>35065.838898584116</v>
      </c>
      <c r="G23" s="118">
        <f>'Exh CTM-6 (Rate Design)'!D175</f>
        <v>6359.1483786280214</v>
      </c>
      <c r="H23" s="160">
        <f>(+F23/G23)</f>
        <v>5.5142350533027704</v>
      </c>
      <c r="I23" s="159">
        <v>43699.07483416301</v>
      </c>
      <c r="J23" s="118">
        <f>'Exh CTM-6 (Rate Design)'!E175</f>
        <v>6312.6225193658393</v>
      </c>
      <c r="K23" s="160">
        <f>(+I23/J23)</f>
        <v>6.9224913576097977</v>
      </c>
    </row>
    <row r="24" spans="1:11" x14ac:dyDescent="0.2">
      <c r="A24" s="137">
        <f t="shared" si="0"/>
        <v>15</v>
      </c>
      <c r="B24" s="117" t="s">
        <v>356</v>
      </c>
      <c r="C24" s="110" t="str">
        <f>C23</f>
        <v>29</v>
      </c>
      <c r="D24" s="285" t="s">
        <v>355</v>
      </c>
      <c r="F24" s="138">
        <f>+D16*(F61)*H69</f>
        <v>50135.504347361042</v>
      </c>
      <c r="G24" s="118"/>
      <c r="H24" s="139"/>
      <c r="I24" s="138">
        <f>+D16*(I61)*J69</f>
        <v>62478.903261381776</v>
      </c>
      <c r="J24" s="118"/>
      <c r="K24" s="142"/>
    </row>
    <row r="25" spans="1:11" x14ac:dyDescent="0.2">
      <c r="A25" s="137">
        <f t="shared" si="0"/>
        <v>16</v>
      </c>
      <c r="C25" s="110"/>
      <c r="D25" s="12"/>
      <c r="F25" s="138"/>
      <c r="G25" s="118"/>
      <c r="H25" s="140"/>
      <c r="I25" s="138"/>
      <c r="J25" s="118"/>
      <c r="K25" s="140"/>
    </row>
    <row r="26" spans="1:11" x14ac:dyDescent="0.2">
      <c r="A26" s="137">
        <f t="shared" si="0"/>
        <v>17</v>
      </c>
      <c r="B26" s="117" t="s">
        <v>354</v>
      </c>
      <c r="C26" s="110" t="str">
        <f>'Exh CTM-6 (Tariff)'!B74</f>
        <v>10 (31)</v>
      </c>
      <c r="D26" s="12"/>
      <c r="F26" s="138">
        <v>1188972.9138462045</v>
      </c>
      <c r="G26" s="118">
        <f>'Exh CTM-6 (Rate Design)'!D195</f>
        <v>1423586019.4788036</v>
      </c>
      <c r="H26" s="139">
        <f>(+F26/G26)</f>
        <v>8.3519569423806607E-4</v>
      </c>
      <c r="I26" s="138">
        <v>1494610.4271916316</v>
      </c>
      <c r="J26" s="118">
        <f>'Exh CTM-6 (Rate Design)'!E195</f>
        <v>1411297972.0883911</v>
      </c>
      <c r="K26" s="139">
        <f>(+I26/J26)</f>
        <v>1.0590325053609745E-3</v>
      </c>
    </row>
    <row r="27" spans="1:11" x14ac:dyDescent="0.2">
      <c r="A27" s="137">
        <f t="shared" si="0"/>
        <v>18</v>
      </c>
      <c r="B27" s="117" t="s">
        <v>353</v>
      </c>
      <c r="C27" s="110" t="str">
        <f>C26</f>
        <v>10 (31)</v>
      </c>
      <c r="D27" s="12"/>
      <c r="F27" s="159">
        <v>2766639.5643239007</v>
      </c>
      <c r="G27" s="118">
        <f>'Exh CTM-6 (Rate Design)'!D199+'Exh CTM-6 (Rate Design)'!D216+'Exh CTM-6 (Rate Design)'!D221</f>
        <v>3383993.0707753184</v>
      </c>
      <c r="H27" s="160">
        <f>(+F27/G27)</f>
        <v>0.81756655715906246</v>
      </c>
      <c r="I27" s="159">
        <v>3477832.2474504155</v>
      </c>
      <c r="J27" s="118">
        <f>'Exh CTM-6 (Rate Design)'!E199+'Exh CTM-6 (Rate Design)'!E216+'Exh CTM-6 (Rate Design)'!E221</f>
        <v>3344757.4708671868</v>
      </c>
      <c r="K27" s="160">
        <f>(+I27/J27)</f>
        <v>1.0397860764920355</v>
      </c>
    </row>
    <row r="28" spans="1:11" x14ac:dyDescent="0.2">
      <c r="A28" s="137">
        <f t="shared" si="0"/>
        <v>19</v>
      </c>
      <c r="B28" s="117" t="s">
        <v>352</v>
      </c>
      <c r="C28" s="110" t="str">
        <f>C27</f>
        <v>10 (31)</v>
      </c>
      <c r="D28" s="12">
        <v>5.5202685319212977E-2</v>
      </c>
      <c r="F28" s="138">
        <f>+D28*(F61)</f>
        <v>3955612.4781701053</v>
      </c>
      <c r="G28" s="118"/>
      <c r="H28" s="139"/>
      <c r="I28" s="138">
        <f>+D28*(I61)</f>
        <v>4972442.6746420469</v>
      </c>
      <c r="J28" s="118"/>
      <c r="K28" s="142"/>
    </row>
    <row r="29" spans="1:11" x14ac:dyDescent="0.2">
      <c r="A29" s="137">
        <f t="shared" si="0"/>
        <v>20</v>
      </c>
      <c r="C29" s="110"/>
      <c r="D29" s="12"/>
      <c r="F29" s="138"/>
      <c r="G29" s="118"/>
      <c r="H29" s="139"/>
      <c r="I29" s="138"/>
      <c r="J29" s="118"/>
      <c r="K29" s="139"/>
    </row>
    <row r="30" spans="1:11" x14ac:dyDescent="0.2">
      <c r="A30" s="137">
        <f t="shared" si="0"/>
        <v>21</v>
      </c>
      <c r="B30" s="117" t="s">
        <v>351</v>
      </c>
      <c r="C30" s="110" t="str">
        <f>'Exh CTM-6 (Tariff)'!B88</f>
        <v>35</v>
      </c>
      <c r="D30" s="12"/>
      <c r="F30" s="138">
        <v>3391.2976442694562</v>
      </c>
      <c r="G30" s="118">
        <f>'Exh CTM-6 (Rate Design)'!D243</f>
        <v>4407260.1568774413</v>
      </c>
      <c r="H30" s="139">
        <f>(+F30/G30)</f>
        <v>7.6947979550909967E-4</v>
      </c>
      <c r="I30" s="138">
        <v>4263.065004936846</v>
      </c>
      <c r="J30" s="118">
        <f>'Exh CTM-6 (Rate Design)'!E243</f>
        <v>4380281.1514552524</v>
      </c>
      <c r="K30" s="139">
        <f>(+I30/J30)</f>
        <v>9.7324004042994726E-4</v>
      </c>
    </row>
    <row r="31" spans="1:11" x14ac:dyDescent="0.2">
      <c r="A31" s="137">
        <f t="shared" si="0"/>
        <v>22</v>
      </c>
      <c r="B31" s="117" t="s">
        <v>350</v>
      </c>
      <c r="C31" s="110" t="str">
        <f>C30</f>
        <v>35</v>
      </c>
      <c r="D31" s="12"/>
      <c r="F31" s="159">
        <v>7891.2632304489653</v>
      </c>
      <c r="G31" s="118">
        <f>'Exh CTM-6 (Rate Design)'!D247</f>
        <v>8196.3679379811347</v>
      </c>
      <c r="H31" s="160">
        <f>(+F31/G31)</f>
        <v>0.96277562087978685</v>
      </c>
      <c r="I31" s="159">
        <v>9919.7922598500518</v>
      </c>
      <c r="J31" s="118">
        <f>'Exh CTM-6 (Rate Design)'!E247</f>
        <v>8146.3096768096348</v>
      </c>
      <c r="K31" s="160">
        <f>(+I31/J31)</f>
        <v>1.2177038012793753</v>
      </c>
    </row>
    <row r="32" spans="1:11" x14ac:dyDescent="0.2">
      <c r="A32" s="137">
        <f t="shared" si="0"/>
        <v>23</v>
      </c>
      <c r="B32" s="117" t="s">
        <v>349</v>
      </c>
      <c r="C32" s="110" t="str">
        <f>C31</f>
        <v>35</v>
      </c>
      <c r="D32" s="12">
        <v>1.5745416443070529E-4</v>
      </c>
      <c r="F32" s="138">
        <f>+D32*(F61)</f>
        <v>11282.560874718421</v>
      </c>
      <c r="G32" s="118"/>
      <c r="H32" s="139"/>
      <c r="I32" s="138">
        <f>+D32*(I61)</f>
        <v>14182.857264786899</v>
      </c>
      <c r="J32" s="118"/>
      <c r="K32" s="142"/>
    </row>
    <row r="33" spans="1:11" x14ac:dyDescent="0.2">
      <c r="A33" s="137">
        <f t="shared" si="0"/>
        <v>24</v>
      </c>
      <c r="C33" s="110"/>
      <c r="D33" s="12"/>
      <c r="F33" s="138"/>
      <c r="G33" s="118"/>
      <c r="H33" s="139"/>
      <c r="I33" s="138"/>
      <c r="J33" s="118"/>
      <c r="K33" s="139"/>
    </row>
    <row r="34" spans="1:11" x14ac:dyDescent="0.2">
      <c r="A34" s="137">
        <f t="shared" si="0"/>
        <v>25</v>
      </c>
      <c r="B34" s="117" t="s">
        <v>348</v>
      </c>
      <c r="C34" s="110" t="str">
        <f>'Exh CTM-6 (Tariff)'!B98</f>
        <v>43</v>
      </c>
      <c r="D34" s="12"/>
      <c r="F34" s="138">
        <v>36260.663584542061</v>
      </c>
      <c r="G34" s="118">
        <f>'Exh CTM-6 (Rate Design)'!D267</f>
        <v>122267424.6450724</v>
      </c>
      <c r="H34" s="139">
        <f>(+F34/G34)</f>
        <v>2.9656847430787388E-4</v>
      </c>
      <c r="I34" s="138">
        <v>45581.83391665954</v>
      </c>
      <c r="J34" s="118">
        <f>'Exh CTM-6 (Rate Design)'!E267</f>
        <v>121633779.10385114</v>
      </c>
      <c r="K34" s="139">
        <f>(+I34/J34)</f>
        <v>3.7474650752848589E-4</v>
      </c>
    </row>
    <row r="35" spans="1:11" x14ac:dyDescent="0.2">
      <c r="A35" s="137">
        <f t="shared" si="0"/>
        <v>26</v>
      </c>
      <c r="B35" s="117" t="s">
        <v>347</v>
      </c>
      <c r="C35" s="110" t="str">
        <f>C34</f>
        <v>43</v>
      </c>
      <c r="D35" s="12"/>
      <c r="F35" s="159">
        <v>84375.502026457048</v>
      </c>
      <c r="G35" s="118">
        <f>'Exh CTM-6 (Rate Design)'!D270</f>
        <v>579230.53698067076</v>
      </c>
      <c r="H35" s="160">
        <f>(+F35/G35)</f>
        <v>0.1456682557972124</v>
      </c>
      <c r="I35" s="159">
        <v>106065.0782365793</v>
      </c>
      <c r="J35" s="118">
        <f>'Exh CTM-6 (Rate Design)'!E270</f>
        <v>573967.09159726952</v>
      </c>
      <c r="K35" s="160">
        <f>(+I35/J35)</f>
        <v>0.18479296076263735</v>
      </c>
    </row>
    <row r="36" spans="1:11" x14ac:dyDescent="0.2">
      <c r="A36" s="137">
        <f t="shared" si="0"/>
        <v>27</v>
      </c>
      <c r="B36" s="117" t="s">
        <v>346</v>
      </c>
      <c r="C36" s="110" t="str">
        <f>C35</f>
        <v>43</v>
      </c>
      <c r="D36" s="12">
        <v>1.6835421379348947E-3</v>
      </c>
      <c r="F36" s="138">
        <f>+D36*(F61)</f>
        <v>120636.16561099912</v>
      </c>
      <c r="G36" s="118"/>
      <c r="H36" s="139"/>
      <c r="I36" s="138">
        <f>+D36*(I61)</f>
        <v>151646.91215323884</v>
      </c>
      <c r="J36" s="118"/>
      <c r="K36" s="142"/>
    </row>
    <row r="37" spans="1:11" x14ac:dyDescent="0.2">
      <c r="A37" s="137">
        <f t="shared" si="0"/>
        <v>28</v>
      </c>
      <c r="C37" s="110"/>
      <c r="D37" s="12"/>
      <c r="F37" s="138"/>
      <c r="G37" s="118"/>
      <c r="H37" s="140"/>
      <c r="I37" s="138"/>
      <c r="J37" s="118"/>
      <c r="K37" s="140"/>
    </row>
    <row r="38" spans="1:11" x14ac:dyDescent="0.2">
      <c r="A38" s="137">
        <f t="shared" si="0"/>
        <v>29</v>
      </c>
      <c r="B38" s="141" t="s">
        <v>345</v>
      </c>
      <c r="C38" s="110" t="str">
        <f>'Exh CTM-6 (Tariff)'!B125</f>
        <v>46</v>
      </c>
      <c r="D38" s="12"/>
      <c r="F38" s="138">
        <v>70516.392897441809</v>
      </c>
      <c r="G38" s="118">
        <f>'Exh CTM-6 (Rate Design)'!D289</f>
        <v>96933187.043131709</v>
      </c>
      <c r="H38" s="139">
        <f>(+F38/G38)</f>
        <v>7.2747420206110221E-4</v>
      </c>
      <c r="I38" s="138">
        <v>88624.475971321779</v>
      </c>
      <c r="J38" s="118">
        <f>'Exh CTM-6 (Rate Design)'!E289</f>
        <v>96918964.527943105</v>
      </c>
      <c r="K38" s="139">
        <f>(+I38/J38)</f>
        <v>9.1441831227747066E-4</v>
      </c>
    </row>
    <row r="39" spans="1:11" x14ac:dyDescent="0.2">
      <c r="A39" s="137">
        <f t="shared" si="0"/>
        <v>30</v>
      </c>
      <c r="B39" s="141" t="s">
        <v>344</v>
      </c>
      <c r="C39" s="110" t="str">
        <f>C38</f>
        <v>46</v>
      </c>
      <c r="D39" s="12"/>
      <c r="F39" s="159">
        <v>164085.6913151741</v>
      </c>
      <c r="G39" s="118">
        <f>'Exh CTM-6 (Rate Design)'!D291</f>
        <v>454913.76433003857</v>
      </c>
      <c r="H39" s="160">
        <f>(+F39/G39)</f>
        <v>0.36069625538111971</v>
      </c>
      <c r="I39" s="159">
        <v>206221.6714395629</v>
      </c>
      <c r="J39" s="118">
        <f>'Exh CTM-6 (Rate Design)'!E291</f>
        <v>453901.97661419428</v>
      </c>
      <c r="K39" s="160">
        <f>(+I39/J39)</f>
        <v>0.45433085129489609</v>
      </c>
    </row>
    <row r="40" spans="1:11" x14ac:dyDescent="0.2">
      <c r="A40" s="137">
        <f t="shared" si="0"/>
        <v>31</v>
      </c>
      <c r="B40" s="141" t="s">
        <v>343</v>
      </c>
      <c r="C40" s="110" t="str">
        <f>C39</f>
        <v>46</v>
      </c>
      <c r="D40" s="12">
        <v>2.1338763405404221E-2</v>
      </c>
      <c r="F40" s="138">
        <f>+D40*(F61)*H73</f>
        <v>234602.08421261591</v>
      </c>
      <c r="G40" s="118"/>
      <c r="H40" s="139"/>
      <c r="I40" s="138">
        <f>+D40*(I61)*J73</f>
        <v>294846.14741088467</v>
      </c>
      <c r="J40" s="118"/>
      <c r="K40" s="142"/>
    </row>
    <row r="41" spans="1:11" x14ac:dyDescent="0.2">
      <c r="A41" s="137">
        <f t="shared" si="0"/>
        <v>32</v>
      </c>
      <c r="B41" s="141"/>
      <c r="C41" s="110"/>
      <c r="D41" s="12"/>
      <c r="F41" s="138"/>
      <c r="G41" s="118"/>
      <c r="H41" s="139"/>
      <c r="I41" s="138"/>
      <c r="J41" s="118"/>
      <c r="K41" s="139"/>
    </row>
    <row r="42" spans="1:11" x14ac:dyDescent="0.2">
      <c r="A42" s="137">
        <f t="shared" si="0"/>
        <v>33</v>
      </c>
      <c r="B42" s="141" t="s">
        <v>342</v>
      </c>
      <c r="C42" s="110" t="str">
        <f>'Exh CTM-6 (Tariff)'!B133</f>
        <v>49</v>
      </c>
      <c r="D42" s="12"/>
      <c r="F42" s="138">
        <v>389084.64928533608</v>
      </c>
      <c r="G42" s="118">
        <f>'Exh CTM-6 (Rate Design)'!D307</f>
        <v>534843226.30681556</v>
      </c>
      <c r="H42" s="139">
        <f>(+F42/G42)</f>
        <v>7.274742020611021E-4</v>
      </c>
      <c r="I42" s="138">
        <v>489121.66272950947</v>
      </c>
      <c r="J42" s="118">
        <f>'Exh CTM-6 (Rate Design)'!E307</f>
        <v>534899242.67952603</v>
      </c>
      <c r="K42" s="139">
        <f>(+I42/J42)</f>
        <v>9.1441831227747077E-4</v>
      </c>
    </row>
    <row r="43" spans="1:11" x14ac:dyDescent="0.2">
      <c r="A43" s="137">
        <f t="shared" si="0"/>
        <v>34</v>
      </c>
      <c r="B43" s="141" t="s">
        <v>341</v>
      </c>
      <c r="C43" s="110" t="str">
        <f>C42</f>
        <v>49</v>
      </c>
      <c r="D43" s="12"/>
      <c r="F43" s="159">
        <v>905367.12152817077</v>
      </c>
      <c r="G43" s="118">
        <f>'Exh CTM-6 (Rate Design)'!D309</f>
        <v>1325042.9814690738</v>
      </c>
      <c r="H43" s="160">
        <f>(+F43/G43)</f>
        <v>0.68327377616414464</v>
      </c>
      <c r="I43" s="159">
        <v>1138144.8039029033</v>
      </c>
      <c r="J43" s="118">
        <f>'Exh CTM-6 (Rate Design)'!E309</f>
        <v>1321250.3262371249</v>
      </c>
      <c r="K43" s="160">
        <f>(+I43/J43)</f>
        <v>0.86141496528087924</v>
      </c>
    </row>
    <row r="44" spans="1:11" x14ac:dyDescent="0.2">
      <c r="A44" s="137">
        <f t="shared" si="0"/>
        <v>35</v>
      </c>
      <c r="B44" s="141" t="s">
        <v>340</v>
      </c>
      <c r="C44" s="110" t="str">
        <f>C43</f>
        <v>49</v>
      </c>
      <c r="D44" s="285" t="s">
        <v>339</v>
      </c>
      <c r="F44" s="138">
        <f>+D40*(F61)*H74</f>
        <v>1294451.7708135068</v>
      </c>
      <c r="G44" s="118"/>
      <c r="H44" s="139"/>
      <c r="I44" s="138">
        <f>+D40*(I61)*J74</f>
        <v>1627266.4666324127</v>
      </c>
      <c r="J44" s="118"/>
      <c r="K44" s="142"/>
    </row>
    <row r="45" spans="1:11" x14ac:dyDescent="0.2">
      <c r="A45" s="137">
        <f t="shared" si="0"/>
        <v>36</v>
      </c>
      <c r="B45" s="141"/>
      <c r="C45" s="110"/>
      <c r="D45" s="12"/>
      <c r="F45" s="138"/>
      <c r="G45" s="118"/>
      <c r="H45" s="140"/>
      <c r="I45" s="138"/>
      <c r="J45" s="118"/>
      <c r="K45" s="140"/>
    </row>
    <row r="46" spans="1:11" x14ac:dyDescent="0.2">
      <c r="A46" s="137">
        <f t="shared" si="0"/>
        <v>37</v>
      </c>
      <c r="B46" s="117" t="s">
        <v>338</v>
      </c>
      <c r="C46" s="110" t="s">
        <v>170</v>
      </c>
      <c r="D46" s="12">
        <v>1.5694108582290553E-3</v>
      </c>
      <c r="F46" s="138">
        <f>+D46*(F61)</f>
        <v>112457.95631658979</v>
      </c>
      <c r="G46" s="118">
        <f>'Exh CTM-6 (Rate Design)'!D381</f>
        <v>67255417.982360825</v>
      </c>
      <c r="H46" s="139">
        <f>(+F46/G46)</f>
        <v>1.6721025560510871E-3</v>
      </c>
      <c r="I46" s="138">
        <f>+D46*(I61)</f>
        <v>141366.41144137757</v>
      </c>
      <c r="J46" s="118">
        <f>'Exh CTM-6 (Rate Design)'!E381</f>
        <v>67027608.143863305</v>
      </c>
      <c r="K46" s="139">
        <f>(+I46/J46)</f>
        <v>2.1090773691037688E-3</v>
      </c>
    </row>
    <row r="47" spans="1:11" x14ac:dyDescent="0.2">
      <c r="A47" s="137">
        <f t="shared" si="0"/>
        <v>38</v>
      </c>
      <c r="C47" s="110"/>
      <c r="D47" s="12"/>
      <c r="F47" s="138"/>
      <c r="G47" s="118"/>
      <c r="H47" s="139"/>
      <c r="I47" s="138"/>
      <c r="J47" s="118"/>
      <c r="K47" s="139"/>
    </row>
    <row r="48" spans="1:11" x14ac:dyDescent="0.2">
      <c r="A48" s="137">
        <f t="shared" si="0"/>
        <v>39</v>
      </c>
      <c r="B48" s="141" t="s">
        <v>337</v>
      </c>
      <c r="C48" s="110">
        <v>5</v>
      </c>
      <c r="D48" s="12">
        <v>2.8286238246504563E-4</v>
      </c>
      <c r="F48" s="138">
        <f>+D48*(F61)</f>
        <v>20268.832271719843</v>
      </c>
      <c r="G48" s="118">
        <f>'Exh CTM-6 (Rate Design)'!D361</f>
        <v>6714960.2368700616</v>
      </c>
      <c r="H48" s="139">
        <f>(+F48/G48)</f>
        <v>3.018459016395819E-3</v>
      </c>
      <c r="I48" s="138">
        <f>+D48*(I61)</f>
        <v>25479.14061583854</v>
      </c>
      <c r="J48" s="118">
        <f>'Exh CTM-6 (Rate Design)'!E361</f>
        <v>6710049.8818741431</v>
      </c>
      <c r="K48" s="139">
        <f>(+I48/J48)</f>
        <v>3.797161133580443E-3</v>
      </c>
    </row>
    <row r="49" spans="1:11" x14ac:dyDescent="0.2">
      <c r="A49" s="137">
        <f t="shared" si="0"/>
        <v>40</v>
      </c>
      <c r="C49" s="110"/>
      <c r="D49" s="12"/>
      <c r="F49" s="138"/>
      <c r="H49" s="140"/>
      <c r="I49" s="138"/>
      <c r="K49" s="140"/>
    </row>
    <row r="50" spans="1:11" x14ac:dyDescent="0.2">
      <c r="A50" s="137">
        <f t="shared" si="0"/>
        <v>41</v>
      </c>
      <c r="B50" s="117" t="s">
        <v>226</v>
      </c>
      <c r="C50" s="110"/>
      <c r="D50" s="12"/>
      <c r="F50" s="143">
        <f>SUM(F10,F12,F16,F20,F24,F28,F32,F36,F40,F44,F46,F48)</f>
        <v>71656160.480174646</v>
      </c>
      <c r="G50" s="118"/>
      <c r="H50" s="139"/>
      <c r="I50" s="143">
        <f>SUM(I10,I12,I16,I20,I24,I28,I32,I36,I40,I44,I46,I48)</f>
        <v>90076101.296315312</v>
      </c>
      <c r="J50" s="118"/>
      <c r="K50" s="140"/>
    </row>
    <row r="51" spans="1:11" x14ac:dyDescent="0.2">
      <c r="A51" s="137">
        <f t="shared" si="0"/>
        <v>42</v>
      </c>
      <c r="C51" s="110"/>
      <c r="D51" s="12"/>
      <c r="F51" s="138"/>
      <c r="G51" s="118"/>
      <c r="H51" s="139"/>
      <c r="I51" s="138"/>
      <c r="J51" s="118"/>
      <c r="K51" s="139"/>
    </row>
    <row r="52" spans="1:11" x14ac:dyDescent="0.2">
      <c r="A52" s="137">
        <f t="shared" si="0"/>
        <v>43</v>
      </c>
      <c r="B52" s="117" t="s">
        <v>336</v>
      </c>
      <c r="C52" s="110" t="str">
        <f>'Exh CTM-6 (Tariff)'!B110</f>
        <v>Special Contract</v>
      </c>
      <c r="D52" s="12">
        <v>0</v>
      </c>
      <c r="F52" s="138">
        <f>+D52*(F61)</f>
        <v>0</v>
      </c>
      <c r="G52" s="118">
        <f>'Exh CTM-6 (Rate Design)'!D346</f>
        <v>304773055.46200001</v>
      </c>
      <c r="H52" s="139">
        <f>(+F52/G52)</f>
        <v>0</v>
      </c>
      <c r="I52" s="138">
        <f>+D52*(I61)</f>
        <v>0</v>
      </c>
      <c r="J52" s="118">
        <f>'Exh CTM-6 (Rate Design)'!E346</f>
        <v>304773055.46200001</v>
      </c>
      <c r="K52" s="139">
        <f>(+I52/J52)</f>
        <v>0</v>
      </c>
    </row>
    <row r="53" spans="1:11" x14ac:dyDescent="0.2">
      <c r="A53" s="137">
        <f t="shared" si="0"/>
        <v>44</v>
      </c>
      <c r="C53" s="110"/>
      <c r="D53" s="12"/>
      <c r="F53" s="138"/>
      <c r="H53" s="144"/>
      <c r="I53" s="138"/>
      <c r="K53" s="144"/>
    </row>
    <row r="54" spans="1:11" x14ac:dyDescent="0.2">
      <c r="A54" s="137">
        <f t="shared" si="0"/>
        <v>45</v>
      </c>
      <c r="B54" s="117" t="s">
        <v>335</v>
      </c>
      <c r="C54" s="110" t="str">
        <f>'Exh CTM-6 (Tariff)'!B141</f>
        <v>449 / 459</v>
      </c>
      <c r="D54" s="12">
        <v>0</v>
      </c>
      <c r="F54" s="138">
        <f>+D54*(F61)</f>
        <v>0</v>
      </c>
      <c r="G54" s="118">
        <f>'Exh CTM-6 (Rate Design)'!D325</f>
        <v>1967511960.3194919</v>
      </c>
      <c r="H54" s="139">
        <f>(+F54/G54)</f>
        <v>0</v>
      </c>
      <c r="I54" s="138">
        <f>+D54*(I61)</f>
        <v>0</v>
      </c>
      <c r="J54" s="118">
        <f>'Exh CTM-6 (Rate Design)'!E325</f>
        <v>1964993565.6779518</v>
      </c>
      <c r="K54" s="139">
        <f>(+I54/J54)</f>
        <v>0</v>
      </c>
    </row>
    <row r="55" spans="1:11" x14ac:dyDescent="0.2">
      <c r="A55" s="137">
        <f t="shared" si="0"/>
        <v>46</v>
      </c>
      <c r="D55" s="12"/>
      <c r="F55" s="145"/>
      <c r="H55" s="142"/>
      <c r="I55" s="145"/>
      <c r="K55" s="142"/>
    </row>
    <row r="56" spans="1:11" ht="12" thickBot="1" x14ac:dyDescent="0.25">
      <c r="A56" s="137">
        <f t="shared" si="0"/>
        <v>47</v>
      </c>
      <c r="B56" s="117" t="s">
        <v>308</v>
      </c>
      <c r="D56" s="15">
        <f>SUM(D10:D55)</f>
        <v>1</v>
      </c>
      <c r="F56" s="14">
        <f>SUM(F50:F54)</f>
        <v>71656160.480174646</v>
      </c>
      <c r="H56" s="140"/>
      <c r="I56" s="13">
        <f>SUM(I50:I54)</f>
        <v>90076101.296315312</v>
      </c>
      <c r="K56" s="140"/>
    </row>
    <row r="57" spans="1:11" ht="12" thickTop="1" x14ac:dyDescent="0.2">
      <c r="F57" s="138"/>
      <c r="G57" s="118"/>
      <c r="H57" s="142"/>
      <c r="I57" s="138"/>
      <c r="J57" s="118"/>
      <c r="K57" s="142"/>
    </row>
    <row r="58" spans="1:11" ht="12" thickBot="1" x14ac:dyDescent="0.25">
      <c r="A58" s="146"/>
      <c r="B58" s="123"/>
      <c r="C58" s="123"/>
      <c r="D58" s="123"/>
      <c r="F58" s="148"/>
      <c r="G58" s="123"/>
      <c r="H58" s="149"/>
      <c r="I58" s="148"/>
      <c r="J58" s="123"/>
      <c r="K58" s="149"/>
    </row>
    <row r="60" spans="1:11" ht="22.5" x14ac:dyDescent="0.2">
      <c r="F60" s="150" t="s">
        <v>334</v>
      </c>
      <c r="I60" s="150" t="s">
        <v>334</v>
      </c>
    </row>
    <row r="61" spans="1:11" x14ac:dyDescent="0.2">
      <c r="D61" s="152" t="s">
        <v>333</v>
      </c>
      <c r="F61" s="163">
        <v>71656160.480174631</v>
      </c>
      <c r="G61" s="163">
        <f>'Exh CTM-6 (Rate Design)'!$D$387</f>
        <v>23558158394.432896</v>
      </c>
      <c r="I61" s="163">
        <v>90076101.296315327</v>
      </c>
      <c r="J61" s="163">
        <f>'Exh CTM-6 (Rate Design)'!$E$387</f>
        <v>23775605944.94062</v>
      </c>
    </row>
    <row r="62" spans="1:11" x14ac:dyDescent="0.2">
      <c r="C62" s="117" t="s">
        <v>165</v>
      </c>
      <c r="E62" s="118"/>
      <c r="F62" s="118">
        <f>F61-F56</f>
        <v>0</v>
      </c>
      <c r="G62" s="118">
        <f>G61-SUM(G10,G12,G14,G18,G22,G26,G30,G34,G38,G42,G46,G48,G52,G54)</f>
        <v>0</v>
      </c>
      <c r="H62" s="118"/>
      <c r="I62" s="118">
        <f>I61-I56</f>
        <v>0</v>
      </c>
      <c r="J62" s="118">
        <f>J61-SUM(J10,J12,J14,J18,J22,J26,J30,J34,J38,J42,J46,J48,J52,J54)</f>
        <v>0</v>
      </c>
      <c r="K62" s="118"/>
    </row>
    <row r="63" spans="1:11" x14ac:dyDescent="0.2">
      <c r="G63" s="163">
        <f>'Exh CTM-6 (Rate Design)'!$D$388-'Exh CTM-6 (Rate Design)'!$D$363-'Exh CTM-6 (Rate Design)'!$D$340</f>
        <v>15219896.163847173</v>
      </c>
      <c r="J63" s="163">
        <f>'Exh CTM-6 (Rate Design)'!$E$388-'Exh CTM-6 (Rate Design)'!$E$363-'Exh CTM-6 (Rate Design)'!$E$340</f>
        <v>15255976.023198087</v>
      </c>
    </row>
    <row r="64" spans="1:11" x14ac:dyDescent="0.2">
      <c r="F64" s="117" t="s">
        <v>165</v>
      </c>
      <c r="G64" s="118">
        <f>G63-SUM(,G15,G19,G23,G27,G31,G35,G39,G43)</f>
        <v>0</v>
      </c>
      <c r="J64" s="118">
        <f>J63-SUM(,J15,J19,J23,J27,J31,J35,J39,J43)</f>
        <v>0</v>
      </c>
    </row>
    <row r="65" spans="2:10" x14ac:dyDescent="0.2">
      <c r="B65" s="117" t="s">
        <v>332</v>
      </c>
      <c r="G65" s="163"/>
    </row>
    <row r="66" spans="2:10" x14ac:dyDescent="0.2">
      <c r="G66" s="125"/>
    </row>
    <row r="67" spans="2:10" ht="15.75" customHeight="1" x14ac:dyDescent="0.25">
      <c r="F67" s="151"/>
      <c r="G67" s="384" t="s">
        <v>331</v>
      </c>
      <c r="H67" s="388"/>
      <c r="I67" s="384" t="s">
        <v>330</v>
      </c>
      <c r="J67" s="386"/>
    </row>
    <row r="68" spans="2:10" x14ac:dyDescent="0.2">
      <c r="F68" s="152" t="s">
        <v>329</v>
      </c>
      <c r="G68" s="286">
        <v>2960202274.8054705</v>
      </c>
      <c r="H68" s="10">
        <f>G68/G70</f>
        <v>0.99498171578518502</v>
      </c>
      <c r="I68" s="286">
        <v>2968720174.6374388</v>
      </c>
      <c r="J68" s="10">
        <f>I68/I70</f>
        <v>0.99502506722279604</v>
      </c>
    </row>
    <row r="69" spans="2:10" x14ac:dyDescent="0.2">
      <c r="F69" s="152" t="s">
        <v>328</v>
      </c>
      <c r="G69" s="286">
        <v>14930059.630887466</v>
      </c>
      <c r="H69" s="10">
        <f>G69/G70</f>
        <v>5.0182842148149293E-3</v>
      </c>
      <c r="I69" s="286">
        <v>14843026.361509496</v>
      </c>
      <c r="J69" s="10">
        <f>I69/I70</f>
        <v>4.9749327772040481E-3</v>
      </c>
    </row>
    <row r="70" spans="2:10" ht="12" thickBot="1" x14ac:dyDescent="0.25">
      <c r="G70" s="153">
        <f>SUM(G68:G69)</f>
        <v>2975132334.436358</v>
      </c>
      <c r="H70" s="9">
        <f>SUM(H68:H69)</f>
        <v>1</v>
      </c>
      <c r="I70" s="153">
        <f>SUM(I68:I69)</f>
        <v>2983563200.9989481</v>
      </c>
      <c r="J70" s="9">
        <f>SUM(J68:J69)</f>
        <v>1</v>
      </c>
    </row>
    <row r="71" spans="2:10" ht="12" thickTop="1" x14ac:dyDescent="0.2">
      <c r="G71" s="154"/>
      <c r="H71" s="155"/>
      <c r="I71" s="154"/>
      <c r="J71" s="155"/>
    </row>
    <row r="72" spans="2:10" x14ac:dyDescent="0.2">
      <c r="F72" s="12"/>
      <c r="G72" s="11"/>
      <c r="H72" s="10"/>
      <c r="I72" s="11"/>
      <c r="J72" s="10"/>
    </row>
    <row r="73" spans="2:10" x14ac:dyDescent="0.2">
      <c r="F73" s="152" t="s">
        <v>327</v>
      </c>
      <c r="G73" s="286">
        <v>96933187.043131709</v>
      </c>
      <c r="H73" s="10">
        <f>G73/G75</f>
        <v>0.15342957570883461</v>
      </c>
      <c r="I73" s="286">
        <v>96918964.527943105</v>
      </c>
      <c r="J73" s="10">
        <f>I73/I75</f>
        <v>0.15339691611026648</v>
      </c>
    </row>
    <row r="74" spans="2:10" x14ac:dyDescent="0.2">
      <c r="F74" s="152" t="s">
        <v>326</v>
      </c>
      <c r="G74" s="286">
        <v>534843226.30681556</v>
      </c>
      <c r="H74" s="10">
        <f>G74/G75</f>
        <v>0.84657042429116547</v>
      </c>
      <c r="I74" s="286">
        <v>534899242.67952603</v>
      </c>
      <c r="J74" s="10">
        <f>I74/I75</f>
        <v>0.8466030838897336</v>
      </c>
    </row>
    <row r="75" spans="2:10" ht="12" thickBot="1" x14ac:dyDescent="0.25">
      <c r="G75" s="153">
        <f>SUM(G73:G74)</f>
        <v>631776413.34994721</v>
      </c>
      <c r="H75" s="9">
        <f>SUM(H73:H74)</f>
        <v>1</v>
      </c>
      <c r="I75" s="153">
        <f>SUM(I73:I74)</f>
        <v>631818207.20746911</v>
      </c>
      <c r="J75" s="9">
        <f>SUM(J73:J74)</f>
        <v>1</v>
      </c>
    </row>
    <row r="76" spans="2:10" ht="12" thickTop="1" x14ac:dyDescent="0.2">
      <c r="G76" s="156"/>
      <c r="H76" s="157"/>
      <c r="I76" s="158"/>
      <c r="J76" s="157"/>
    </row>
  </sheetData>
  <mergeCells count="8">
    <mergeCell ref="A1:K1"/>
    <mergeCell ref="A2:K2"/>
    <mergeCell ref="A3:K3"/>
    <mergeCell ref="I67:J67"/>
    <mergeCell ref="G67:H67"/>
    <mergeCell ref="I7:K7"/>
    <mergeCell ref="F7:H7"/>
    <mergeCell ref="I5:K5"/>
  </mergeCells>
  <printOptions horizontalCentered="1"/>
  <pageMargins left="0.7" right="0.7" top="0.75" bottom="0.75" header="0.3" footer="0.3"/>
  <pageSetup scale="58" orientation="portrait" r:id="rId1"/>
  <headerFooter alignWithMargins="0">
    <oddFooter>&amp;R&amp;F
&amp;A
&amp;P of &amp;N</oddFoot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8"/>
  <sheetViews>
    <sheetView workbookViewId="0">
      <pane ySplit="9" topLeftCell="A10" activePane="bottomLeft" state="frozen"/>
      <selection sqref="A1:XFD1048576"/>
      <selection pane="bottomLeft" sqref="A1:J1"/>
    </sheetView>
  </sheetViews>
  <sheetFormatPr defaultColWidth="8" defaultRowHeight="11.25" x14ac:dyDescent="0.2"/>
  <cols>
    <col min="1" max="1" width="6.125" style="137" customWidth="1"/>
    <col min="2" max="2" width="59.75" style="117" bestFit="1" customWidth="1"/>
    <col min="3" max="3" width="12.75" style="117" bestFit="1" customWidth="1"/>
    <col min="4" max="4" width="13.375" style="118" customWidth="1"/>
    <col min="5" max="5" width="9.875" style="117" bestFit="1" customWidth="1"/>
    <col min="6" max="6" width="11.75" style="117" bestFit="1" customWidth="1"/>
    <col min="7" max="7" width="8.75" style="117" bestFit="1" customWidth="1"/>
    <col min="8" max="8" width="10.25" style="117" bestFit="1" customWidth="1"/>
    <col min="9" max="9" width="11.75" style="117" bestFit="1" customWidth="1"/>
    <col min="10" max="10" width="8.75" style="117" bestFit="1" customWidth="1"/>
    <col min="11" max="16384" width="8" style="117"/>
  </cols>
  <sheetData>
    <row r="1" spans="1:10" s="125" customFormat="1" ht="15.75" x14ac:dyDescent="0.25">
      <c r="A1" s="377" t="str">
        <f>'Exh CTM-6 (141CGR)'!A1</f>
        <v>Puget Sound Energy</v>
      </c>
      <c r="B1" s="380"/>
      <c r="C1" s="380"/>
      <c r="D1" s="380"/>
      <c r="E1" s="380"/>
      <c r="F1" s="380"/>
      <c r="G1" s="380"/>
      <c r="H1" s="380"/>
      <c r="I1" s="380"/>
      <c r="J1" s="380"/>
    </row>
    <row r="2" spans="1:10" s="125" customFormat="1" ht="15.75" customHeight="1" x14ac:dyDescent="0.25">
      <c r="A2" s="377" t="str">
        <f>'Exh CTM-6 (141CGR)'!A2</f>
        <v>2024 General Rate Case Docket No. UE-240004 and UG-240005</v>
      </c>
      <c r="B2" s="380"/>
      <c r="C2" s="380"/>
      <c r="D2" s="380"/>
      <c r="E2" s="380"/>
      <c r="F2" s="380"/>
      <c r="G2" s="380"/>
      <c r="H2" s="380"/>
      <c r="I2" s="380"/>
      <c r="J2" s="380"/>
    </row>
    <row r="3" spans="1:10" s="125" customFormat="1" ht="15.75" x14ac:dyDescent="0.25">
      <c r="A3" s="379" t="s">
        <v>382</v>
      </c>
      <c r="B3" s="380"/>
      <c r="C3" s="380"/>
      <c r="D3" s="380"/>
      <c r="E3" s="380"/>
      <c r="F3" s="380"/>
      <c r="G3" s="380"/>
      <c r="H3" s="380"/>
      <c r="I3" s="380"/>
      <c r="J3" s="380"/>
    </row>
    <row r="4" spans="1:10" s="125" customFormat="1" ht="12" thickBot="1" x14ac:dyDescent="0.25">
      <c r="A4" s="126"/>
      <c r="B4" s="126"/>
      <c r="C4" s="126"/>
      <c r="D4" s="126"/>
      <c r="E4" s="126"/>
      <c r="F4" s="126"/>
      <c r="G4" s="126"/>
    </row>
    <row r="5" spans="1:10" s="125" customFormat="1" ht="25.5" customHeight="1" thickBot="1" x14ac:dyDescent="0.3">
      <c r="A5" s="127"/>
      <c r="B5" s="126"/>
      <c r="C5" s="126"/>
      <c r="D5" s="126"/>
      <c r="E5" s="126"/>
      <c r="F5" s="126"/>
      <c r="G5" s="126"/>
      <c r="H5" s="392" t="s">
        <v>425</v>
      </c>
      <c r="I5" s="393"/>
      <c r="J5" s="394"/>
    </row>
    <row r="6" spans="1:10" s="125" customFormat="1" ht="12" thickBot="1" x14ac:dyDescent="0.25">
      <c r="A6" s="127"/>
      <c r="B6" s="126"/>
      <c r="C6" s="126"/>
      <c r="D6" s="126"/>
      <c r="E6" s="126"/>
      <c r="F6" s="126"/>
      <c r="G6" s="126"/>
    </row>
    <row r="7" spans="1:10" s="125" customFormat="1" ht="12.75" customHeight="1" thickBot="1" x14ac:dyDescent="0.25">
      <c r="A7" s="126"/>
      <c r="B7" s="126"/>
      <c r="C7" s="126"/>
      <c r="D7" s="128"/>
      <c r="E7" s="389" t="s">
        <v>433</v>
      </c>
      <c r="F7" s="390"/>
      <c r="G7" s="391"/>
      <c r="H7" s="389" t="s">
        <v>434</v>
      </c>
      <c r="I7" s="390"/>
      <c r="J7" s="391"/>
    </row>
    <row r="8" spans="1:10" s="133" customFormat="1" ht="57" thickBot="1" x14ac:dyDescent="0.25">
      <c r="A8" s="129" t="s">
        <v>147</v>
      </c>
      <c r="B8" s="129" t="s">
        <v>373</v>
      </c>
      <c r="C8" s="129" t="s">
        <v>372</v>
      </c>
      <c r="D8" s="98" t="s">
        <v>435</v>
      </c>
      <c r="E8" s="130" t="s">
        <v>334</v>
      </c>
      <c r="F8" s="131" t="s">
        <v>429</v>
      </c>
      <c r="G8" s="132" t="s">
        <v>430</v>
      </c>
      <c r="H8" s="130" t="s">
        <v>334</v>
      </c>
      <c r="I8" s="131" t="s">
        <v>431</v>
      </c>
      <c r="J8" s="132" t="s">
        <v>432</v>
      </c>
    </row>
    <row r="9" spans="1:10" s="136" customFormat="1" ht="39" customHeight="1" x14ac:dyDescent="0.2">
      <c r="A9" s="134"/>
      <c r="B9" s="135" t="s">
        <v>137</v>
      </c>
      <c r="C9" s="135" t="s">
        <v>136</v>
      </c>
      <c r="D9" s="135" t="s">
        <v>135</v>
      </c>
      <c r="E9" s="103" t="s">
        <v>370</v>
      </c>
      <c r="F9" s="104" t="s">
        <v>197</v>
      </c>
      <c r="G9" s="105" t="s">
        <v>369</v>
      </c>
      <c r="H9" s="103" t="s">
        <v>368</v>
      </c>
      <c r="I9" s="104" t="s">
        <v>130</v>
      </c>
      <c r="J9" s="105" t="s">
        <v>367</v>
      </c>
    </row>
    <row r="10" spans="1:10" x14ac:dyDescent="0.2">
      <c r="A10" s="137">
        <v>1</v>
      </c>
      <c r="B10" s="117" t="s">
        <v>366</v>
      </c>
      <c r="C10" s="137" t="str">
        <f>'Exh CTM-6 (Tariff)'!B8</f>
        <v>7 (307) (317) (327)</v>
      </c>
      <c r="D10" s="16">
        <v>0.86611590987321152</v>
      </c>
      <c r="E10" s="138">
        <f>D10*$E$45</f>
        <v>6646098.5128571149</v>
      </c>
      <c r="F10" s="118">
        <f>'Exh CTM-6 (Rate Design)'!$D$23</f>
        <v>11278205851.395365</v>
      </c>
      <c r="G10" s="139">
        <f>(+E10/F10)</f>
        <v>5.8928686002258457E-4</v>
      </c>
      <c r="H10" s="138">
        <f>D10*$H$45</f>
        <v>6646098.5128571149</v>
      </c>
      <c r="I10" s="118">
        <f>'Exh CTM-6 (Rate Design)'!$E$23</f>
        <v>11447649239.71397</v>
      </c>
      <c r="J10" s="139">
        <f>(+H10/I10)</f>
        <v>5.8056447867048497E-4</v>
      </c>
    </row>
    <row r="11" spans="1:10" x14ac:dyDescent="0.2">
      <c r="A11" s="137">
        <f t="shared" ref="A11:A41" si="0">+A10+1</f>
        <v>2</v>
      </c>
      <c r="C11" s="107"/>
      <c r="D11" s="16"/>
      <c r="E11" s="138"/>
      <c r="F11" s="118"/>
      <c r="G11" s="140"/>
      <c r="H11" s="138"/>
      <c r="I11" s="118"/>
      <c r="J11" s="140"/>
    </row>
    <row r="12" spans="1:10" x14ac:dyDescent="0.2">
      <c r="A12" s="137">
        <f t="shared" si="0"/>
        <v>3</v>
      </c>
      <c r="B12" s="141" t="s">
        <v>365</v>
      </c>
      <c r="C12" s="110" t="str">
        <f>'Exh CTM-6 (Tariff)'!B15</f>
        <v>08 (24) (324)</v>
      </c>
      <c r="D12" s="16">
        <v>0.10342455082934791</v>
      </c>
      <c r="E12" s="138">
        <f>D12*$E$45</f>
        <v>793623.28485625726</v>
      </c>
      <c r="F12" s="118">
        <f>'Exh CTM-6 (Rate Design)'!$D$43</f>
        <v>2762635966.1696987</v>
      </c>
      <c r="G12" s="139">
        <f>(+E12/F12)</f>
        <v>2.8727030798653835E-4</v>
      </c>
      <c r="H12" s="138">
        <f>D12*$H$45</f>
        <v>793623.28485625726</v>
      </c>
      <c r="I12" s="118">
        <f>'Exh CTM-6 (Rate Design)'!$E$43</f>
        <v>2774967422.2693906</v>
      </c>
      <c r="J12" s="139">
        <f>(+H12/I12)</f>
        <v>2.8599373040827478E-4</v>
      </c>
    </row>
    <row r="13" spans="1:10" x14ac:dyDescent="0.2">
      <c r="A13" s="137">
        <f t="shared" si="0"/>
        <v>4</v>
      </c>
      <c r="B13" s="141"/>
      <c r="C13" s="110"/>
      <c r="D13" s="16"/>
      <c r="E13" s="138"/>
      <c r="F13" s="118"/>
      <c r="G13" s="139"/>
      <c r="H13" s="138"/>
      <c r="I13" s="118"/>
      <c r="J13" s="139"/>
    </row>
    <row r="14" spans="1:10" x14ac:dyDescent="0.2">
      <c r="A14" s="137">
        <f t="shared" si="0"/>
        <v>5</v>
      </c>
      <c r="B14" s="117" t="s">
        <v>364</v>
      </c>
      <c r="C14" s="110" t="str">
        <f>'Exh CTM-6 (Tariff)'!B22</f>
        <v>7A (11) (25)</v>
      </c>
      <c r="D14" s="16">
        <v>1.0049208002569518E-2</v>
      </c>
      <c r="E14" s="138">
        <f>D14*$E$45*E50</f>
        <v>71866.927337495828</v>
      </c>
      <c r="F14" s="118">
        <f>'Exh CTM-6 (Rate Design)'!$D$61</f>
        <v>2960202274.8054705</v>
      </c>
      <c r="G14" s="139">
        <f>(+E14/F14)</f>
        <v>2.4277708300260852E-5</v>
      </c>
      <c r="H14" s="138">
        <f>D14*$H$45*G50</f>
        <v>71960.31240351373</v>
      </c>
      <c r="I14" s="118">
        <f>'Exh CTM-6 (Rate Design)'!$E$61</f>
        <v>2968720174.6374388</v>
      </c>
      <c r="J14" s="139">
        <f>(+H14/I14)</f>
        <v>2.4239506646092717E-5</v>
      </c>
    </row>
    <row r="15" spans="1:10" x14ac:dyDescent="0.2">
      <c r="A15" s="137">
        <f t="shared" si="0"/>
        <v>6</v>
      </c>
      <c r="C15" s="110"/>
      <c r="D15" s="16"/>
      <c r="E15" s="138"/>
      <c r="F15" s="118"/>
      <c r="G15" s="139"/>
      <c r="H15" s="138"/>
      <c r="I15" s="118"/>
      <c r="J15" s="139"/>
    </row>
    <row r="16" spans="1:10" x14ac:dyDescent="0.2">
      <c r="A16" s="137">
        <f t="shared" si="0"/>
        <v>7</v>
      </c>
      <c r="B16" s="117" t="s">
        <v>361</v>
      </c>
      <c r="C16" s="110" t="str">
        <f>'Exh CTM-6 (Tariff)'!B35</f>
        <v>12 (26) (26P)</v>
      </c>
      <c r="D16" s="16">
        <v>4.6888790030010907E-3</v>
      </c>
      <c r="E16" s="138">
        <f>D16*$E$45</f>
        <v>35979.886079421325</v>
      </c>
      <c r="F16" s="118">
        <f>'Exh CTM-6 (Rate Design)'!$D$86+'Exh CTM-6 (Rate Design)'!$D$135</f>
        <v>2013891730.8000479</v>
      </c>
      <c r="G16" s="139">
        <f>(+E16/F16)</f>
        <v>1.7865849255524671E-5</v>
      </c>
      <c r="H16" s="138">
        <f>D16*$H$45</f>
        <v>35979.886079421325</v>
      </c>
      <c r="I16" s="118">
        <f>'Exh CTM-6 (Rate Design)'!$E$86+'Exh CTM-6 (Rate Design)'!$E$135</f>
        <v>2056791563.2414525</v>
      </c>
      <c r="J16" s="139">
        <f>(+H16/I16)</f>
        <v>1.7493209677852782E-5</v>
      </c>
    </row>
    <row r="17" spans="1:10" x14ac:dyDescent="0.2">
      <c r="A17" s="137">
        <f t="shared" si="0"/>
        <v>8</v>
      </c>
      <c r="C17" s="110"/>
      <c r="D17" s="16"/>
      <c r="E17" s="138"/>
      <c r="F17" s="118"/>
      <c r="G17" s="142"/>
      <c r="H17" s="138"/>
      <c r="I17" s="118"/>
      <c r="J17" s="142"/>
    </row>
    <row r="18" spans="1:10" x14ac:dyDescent="0.2">
      <c r="A18" s="137">
        <f t="shared" si="0"/>
        <v>9</v>
      </c>
      <c r="B18" s="117" t="s">
        <v>358</v>
      </c>
      <c r="C18" s="110" t="str">
        <f>'Exh CTM-6 (Tariff)'!B59</f>
        <v>29</v>
      </c>
      <c r="D18" s="285" t="s">
        <v>355</v>
      </c>
      <c r="E18" s="138">
        <f>D14*$E$45*E51</f>
        <v>5245.1838706287517</v>
      </c>
      <c r="F18" s="118">
        <f>'Exh CTM-6 (Rate Design)'!$D$171</f>
        <v>14930059.630887466</v>
      </c>
      <c r="G18" s="139">
        <f>(+E18/F18)</f>
        <v>3.51317007453705E-4</v>
      </c>
      <c r="H18" s="138">
        <f>D14*$H$45*G51</f>
        <v>5151.7988046108512</v>
      </c>
      <c r="I18" s="118">
        <f>'Exh CTM-6 (Rate Design)'!$E$171</f>
        <v>14843026.361509496</v>
      </c>
      <c r="J18" s="139">
        <f>(+H18/I18)</f>
        <v>3.470854715969747E-4</v>
      </c>
    </row>
    <row r="19" spans="1:10" x14ac:dyDescent="0.2">
      <c r="A19" s="137">
        <f t="shared" si="0"/>
        <v>10</v>
      </c>
      <c r="C19" s="110"/>
      <c r="D19" s="16"/>
      <c r="E19" s="138"/>
      <c r="F19" s="118"/>
      <c r="G19" s="140"/>
      <c r="H19" s="138"/>
      <c r="I19" s="118"/>
      <c r="J19" s="140"/>
    </row>
    <row r="20" spans="1:10" x14ac:dyDescent="0.2">
      <c r="A20" s="137">
        <f t="shared" si="0"/>
        <v>11</v>
      </c>
      <c r="B20" s="117" t="s">
        <v>354</v>
      </c>
      <c r="C20" s="110" t="str">
        <f>'Exh CTM-6 (Tariff)'!B74</f>
        <v>10 (31)</v>
      </c>
      <c r="D20" s="16">
        <v>3.8511153238919202E-3</v>
      </c>
      <c r="E20" s="138">
        <f>D20*$E$45</f>
        <v>29551.347037033538</v>
      </c>
      <c r="F20" s="118">
        <f>'Exh CTM-6 (Rate Design)'!$D$195</f>
        <v>1423586019.4788036</v>
      </c>
      <c r="G20" s="139">
        <f>(+E20/F20)</f>
        <v>2.0758385255745017E-5</v>
      </c>
      <c r="H20" s="138">
        <f>D20*$H$45</f>
        <v>29551.347037033538</v>
      </c>
      <c r="I20" s="118">
        <f>'Exh CTM-6 (Rate Design)'!$E$195</f>
        <v>1411297972.0883911</v>
      </c>
      <c r="J20" s="139">
        <f>(+H20/I20)</f>
        <v>2.0939126691512533E-5</v>
      </c>
    </row>
    <row r="21" spans="1:10" x14ac:dyDescent="0.2">
      <c r="A21" s="137">
        <f t="shared" si="0"/>
        <v>12</v>
      </c>
      <c r="C21" s="110"/>
      <c r="D21" s="16"/>
      <c r="E21" s="138"/>
      <c r="G21" s="139"/>
      <c r="H21" s="138"/>
      <c r="J21" s="139"/>
    </row>
    <row r="22" spans="1:10" x14ac:dyDescent="0.2">
      <c r="A22" s="137">
        <f t="shared" si="0"/>
        <v>13</v>
      </c>
      <c r="B22" s="117" t="s">
        <v>351</v>
      </c>
      <c r="C22" s="110" t="str">
        <f>'Exh CTM-6 (Tariff)'!B88</f>
        <v>35</v>
      </c>
      <c r="D22" s="16">
        <v>1.2329418520514705E-6</v>
      </c>
      <c r="E22" s="138">
        <f>D22*$E$45</f>
        <v>9.4609196251320569</v>
      </c>
      <c r="F22" s="118">
        <f>'Exh CTM-6 (Rate Design)'!$D$243</f>
        <v>4407260.1568774413</v>
      </c>
      <c r="G22" s="139">
        <f>(+E22/F22)</f>
        <v>2.1466669287422211E-6</v>
      </c>
      <c r="H22" s="138">
        <f>D22*$H$45</f>
        <v>9.4609196251320569</v>
      </c>
      <c r="I22" s="118">
        <f>'Exh CTM-6 (Rate Design)'!$E$243</f>
        <v>4380281.1514552524</v>
      </c>
      <c r="J22" s="139">
        <f>(+H22/I22)</f>
        <v>2.1598886687875901E-6</v>
      </c>
    </row>
    <row r="23" spans="1:10" x14ac:dyDescent="0.2">
      <c r="A23" s="137">
        <f t="shared" si="0"/>
        <v>14</v>
      </c>
      <c r="C23" s="110"/>
      <c r="D23" s="16"/>
      <c r="E23" s="138"/>
      <c r="F23" s="118"/>
      <c r="G23" s="139"/>
      <c r="H23" s="138"/>
      <c r="I23" s="118"/>
      <c r="J23" s="139"/>
    </row>
    <row r="24" spans="1:10" x14ac:dyDescent="0.2">
      <c r="A24" s="137">
        <f t="shared" si="0"/>
        <v>15</v>
      </c>
      <c r="B24" s="117" t="s">
        <v>348</v>
      </c>
      <c r="C24" s="110" t="str">
        <f>'Exh CTM-6 (Tariff)'!B98</f>
        <v>43</v>
      </c>
      <c r="D24" s="16">
        <v>4.4896808232113586E-4</v>
      </c>
      <c r="E24" s="138">
        <f>D24*$E$45</f>
        <v>3445.1348488352037</v>
      </c>
      <c r="F24" s="118">
        <f>'Exh CTM-6 (Rate Design)'!$D$267</f>
        <v>122267424.6450724</v>
      </c>
      <c r="G24" s="139">
        <f>(+E24/F24)</f>
        <v>2.817704600253105E-5</v>
      </c>
      <c r="H24" s="138">
        <f>D24*$H$45</f>
        <v>3445.1348488352037</v>
      </c>
      <c r="I24" s="118">
        <f>'Exh CTM-6 (Rate Design)'!$E$267</f>
        <v>121633779.10385114</v>
      </c>
      <c r="J24" s="139">
        <f>(+H24/I24)</f>
        <v>2.8323833019228493E-5</v>
      </c>
    </row>
    <row r="25" spans="1:10" ht="12" customHeight="1" x14ac:dyDescent="0.2">
      <c r="A25" s="137">
        <f t="shared" si="0"/>
        <v>16</v>
      </c>
      <c r="C25" s="110"/>
      <c r="D25" s="16"/>
      <c r="E25" s="138"/>
      <c r="F25" s="118"/>
      <c r="G25" s="140"/>
      <c r="H25" s="138"/>
      <c r="I25" s="118"/>
      <c r="J25" s="140"/>
    </row>
    <row r="26" spans="1:10" x14ac:dyDescent="0.2">
      <c r="A26" s="137">
        <f t="shared" si="0"/>
        <v>17</v>
      </c>
      <c r="B26" s="141" t="s">
        <v>345</v>
      </c>
      <c r="C26" s="110" t="str">
        <f>'Exh CTM-6 (Tariff)'!B125</f>
        <v>46</v>
      </c>
      <c r="D26" s="16">
        <v>2.5155496896653181E-3</v>
      </c>
      <c r="E26" s="138">
        <f>D26*$E$45*E55</f>
        <v>5035.5518573621002</v>
      </c>
      <c r="F26" s="118">
        <f>'Exh CTM-6 (Rate Design)'!$D$289</f>
        <v>96933187.043131709</v>
      </c>
      <c r="G26" s="139">
        <f>(+E26/F26)</f>
        <v>5.1948687657628185E-5</v>
      </c>
      <c r="H26" s="138">
        <f>D26*$H$45*G55</f>
        <v>5035.5518573621002</v>
      </c>
      <c r="I26" s="118">
        <f>'Exh CTM-6 (Rate Design)'!$E$289</f>
        <v>96918964.527943105</v>
      </c>
      <c r="J26" s="139">
        <f>(+H26/I26)</f>
        <v>5.1956310943770761E-5</v>
      </c>
    </row>
    <row r="27" spans="1:10" x14ac:dyDescent="0.2">
      <c r="A27" s="137">
        <f t="shared" si="0"/>
        <v>18</v>
      </c>
      <c r="B27" s="141"/>
      <c r="C27" s="110"/>
      <c r="D27" s="16"/>
      <c r="E27" s="138"/>
      <c r="F27" s="118"/>
      <c r="G27" s="139"/>
      <c r="H27" s="138"/>
      <c r="I27" s="118"/>
      <c r="J27" s="139"/>
    </row>
    <row r="28" spans="1:10" x14ac:dyDescent="0.2">
      <c r="A28" s="137">
        <f t="shared" si="0"/>
        <v>19</v>
      </c>
      <c r="B28" s="141" t="s">
        <v>342</v>
      </c>
      <c r="C28" s="110" t="str">
        <f>'Exh CTM-6 (Tariff)'!B133</f>
        <v>49</v>
      </c>
      <c r="D28" s="285" t="s">
        <v>339</v>
      </c>
      <c r="E28" s="138">
        <f>D26*$E$45*E56</f>
        <v>14267.396929192619</v>
      </c>
      <c r="F28" s="118">
        <f>'Exh CTM-6 (Rate Design)'!$D$307</f>
        <v>534843226.30681556</v>
      </c>
      <c r="G28" s="139">
        <f>(+E28/F28)</f>
        <v>2.6675848599058547E-5</v>
      </c>
      <c r="H28" s="138">
        <f>D26*$H$45*G56</f>
        <v>14267.396929192619</v>
      </c>
      <c r="I28" s="118">
        <f>'Exh CTM-6 (Rate Design)'!$E$307</f>
        <v>534899242.67952603</v>
      </c>
      <c r="J28" s="139">
        <f>(+H28/I28)</f>
        <v>2.6673055018215156E-5</v>
      </c>
    </row>
    <row r="29" spans="1:10" x14ac:dyDescent="0.2">
      <c r="A29" s="137">
        <f t="shared" si="0"/>
        <v>20</v>
      </c>
      <c r="B29" s="141"/>
      <c r="C29" s="110"/>
      <c r="D29" s="16"/>
      <c r="E29" s="138"/>
      <c r="F29" s="118"/>
      <c r="G29" s="140"/>
      <c r="H29" s="138"/>
      <c r="I29" s="118"/>
      <c r="J29" s="140"/>
    </row>
    <row r="30" spans="1:10" x14ac:dyDescent="0.2">
      <c r="A30" s="137">
        <f t="shared" si="0"/>
        <v>21</v>
      </c>
      <c r="B30" s="117" t="s">
        <v>381</v>
      </c>
      <c r="C30" s="110" t="str">
        <f>'Exh CTM-6 (141CGR)'!C46</f>
        <v>03, 50-59</v>
      </c>
      <c r="D30" s="16">
        <v>7.0288472581990754E-3</v>
      </c>
      <c r="E30" s="138">
        <f>D30*$E$45</f>
        <v>53935.519227045588</v>
      </c>
      <c r="F30" s="118">
        <f>'Exh CTM-6 (Rate Design)'!$D$381</f>
        <v>67255417.982360825</v>
      </c>
      <c r="G30" s="139">
        <f>(+E30/F30)</f>
        <v>8.019505468123228E-4</v>
      </c>
      <c r="H30" s="138">
        <f>D30*$H$45</f>
        <v>53935.519227045588</v>
      </c>
      <c r="I30" s="118">
        <f>'Exh CTM-6 (Rate Design)'!$E$381</f>
        <v>67027608.143863305</v>
      </c>
      <c r="J30" s="139">
        <f>(+H30/I30)</f>
        <v>8.0467617330581473E-4</v>
      </c>
    </row>
    <row r="31" spans="1:10" x14ac:dyDescent="0.2">
      <c r="A31" s="137">
        <f t="shared" si="0"/>
        <v>22</v>
      </c>
      <c r="C31" s="110"/>
      <c r="D31" s="16"/>
      <c r="E31" s="138"/>
      <c r="F31" s="118"/>
      <c r="G31" s="139"/>
      <c r="H31" s="138"/>
      <c r="I31" s="118"/>
      <c r="J31" s="139"/>
    </row>
    <row r="32" spans="1:10" x14ac:dyDescent="0.2">
      <c r="A32" s="137">
        <f t="shared" si="0"/>
        <v>23</v>
      </c>
      <c r="B32" s="141" t="s">
        <v>380</v>
      </c>
      <c r="C32" s="110">
        <f>'Exh CTM-6 (141CGR)'!C48</f>
        <v>5</v>
      </c>
      <c r="D32" s="16">
        <v>6.5037878341531376E-6</v>
      </c>
      <c r="E32" s="138">
        <f>D32*$E$45</f>
        <v>49.906501150441784</v>
      </c>
      <c r="F32" s="118">
        <f>'Exh CTM-6 (Rate Design)'!$D$361</f>
        <v>6714960.2368700616</v>
      </c>
      <c r="G32" s="139">
        <f>(+E32/F32)</f>
        <v>7.43213651160858E-6</v>
      </c>
      <c r="H32" s="138">
        <f>D32*$H$45</f>
        <v>49.906501150441784</v>
      </c>
      <c r="I32" s="118">
        <f>'Exh CTM-6 (Rate Design)'!$E$361</f>
        <v>6710049.8818741431</v>
      </c>
      <c r="J32" s="139">
        <f>(+H32/I32)</f>
        <v>7.43757528319636E-6</v>
      </c>
    </row>
    <row r="33" spans="1:10" x14ac:dyDescent="0.2">
      <c r="A33" s="137">
        <f t="shared" si="0"/>
        <v>24</v>
      </c>
      <c r="C33" s="110"/>
      <c r="D33" s="16"/>
      <c r="E33" s="138"/>
      <c r="F33" s="118"/>
      <c r="G33" s="140"/>
      <c r="H33" s="138"/>
      <c r="I33" s="118"/>
      <c r="J33" s="140"/>
    </row>
    <row r="34" spans="1:10" x14ac:dyDescent="0.2">
      <c r="A34" s="137">
        <f t="shared" si="0"/>
        <v>25</v>
      </c>
      <c r="B34" s="117" t="s">
        <v>226</v>
      </c>
      <c r="C34" s="110"/>
      <c r="D34" s="17">
        <f>SUM(D10:D32)</f>
        <v>0.99813076479189355</v>
      </c>
      <c r="E34" s="143">
        <f>SUM(E10,E12,E14,E16,E18,E20,E22,E24,E26,E28,E30,E32)</f>
        <v>7659108.1123211617</v>
      </c>
      <c r="G34" s="139"/>
      <c r="H34" s="143">
        <f>SUM(H10,H12,H14,H16,H18,H20,H22,H24,H26,H28,H30,H32)</f>
        <v>7659108.1123211626</v>
      </c>
      <c r="J34" s="140"/>
    </row>
    <row r="35" spans="1:10" x14ac:dyDescent="0.2">
      <c r="A35" s="137">
        <f t="shared" si="0"/>
        <v>26</v>
      </c>
      <c r="C35" s="110"/>
      <c r="D35" s="16"/>
      <c r="E35" s="138"/>
      <c r="G35" s="139"/>
      <c r="H35" s="138"/>
      <c r="J35" s="139"/>
    </row>
    <row r="36" spans="1:10" x14ac:dyDescent="0.2">
      <c r="A36" s="137">
        <f t="shared" si="0"/>
        <v>27</v>
      </c>
      <c r="B36" s="117" t="s">
        <v>379</v>
      </c>
      <c r="C36" s="110" t="str">
        <f>'Exh CTM-6 (Tariff)'!B110</f>
        <v>Special Contract</v>
      </c>
      <c r="D36" s="16">
        <v>3.9802127111032514E-4</v>
      </c>
      <c r="E36" s="138">
        <f>D36*$E$45</f>
        <v>3054.1969589255868</v>
      </c>
      <c r="F36" s="118">
        <f>'Exh CTM-6 (Rate Design)'!$D$346</f>
        <v>304773055.46200001</v>
      </c>
      <c r="G36" s="139">
        <f>(+E36/F36)</f>
        <v>1.0021217112831002E-5</v>
      </c>
      <c r="H36" s="138">
        <f>D36*$H$45</f>
        <v>3054.1969589255868</v>
      </c>
      <c r="I36" s="118">
        <f>'Exh CTM-6 (Rate Design)'!$E$346</f>
        <v>304773055.46200001</v>
      </c>
      <c r="J36" s="139">
        <f>(+H36/I36)</f>
        <v>1.0021217112831002E-5</v>
      </c>
    </row>
    <row r="37" spans="1:10" x14ac:dyDescent="0.2">
      <c r="A37" s="137">
        <f t="shared" si="0"/>
        <v>28</v>
      </c>
      <c r="C37" s="110"/>
      <c r="D37" s="16"/>
      <c r="E37" s="138"/>
      <c r="G37" s="144"/>
      <c r="H37" s="138"/>
      <c r="J37" s="144"/>
    </row>
    <row r="38" spans="1:10" x14ac:dyDescent="0.2">
      <c r="A38" s="137">
        <f t="shared" si="0"/>
        <v>29</v>
      </c>
      <c r="B38" s="117" t="s">
        <v>378</v>
      </c>
      <c r="C38" s="110" t="str">
        <f>'Exh CTM-6 (Tariff)'!B141</f>
        <v>449 / 459</v>
      </c>
      <c r="D38" s="16">
        <v>1.4712139369960418E-3</v>
      </c>
      <c r="E38" s="138">
        <f>D38*$E$45</f>
        <v>11289.288936160296</v>
      </c>
      <c r="F38" s="118">
        <f>'Exh CTM-6 (Rate Design)'!$D$325</f>
        <v>1967511960.3194919</v>
      </c>
      <c r="G38" s="139">
        <f>(+E38/F38)</f>
        <v>5.7378502209090002E-6</v>
      </c>
      <c r="H38" s="138">
        <f>D38*$H$45</f>
        <v>11289.288936160296</v>
      </c>
      <c r="I38" s="118">
        <f>'Exh CTM-6 (Rate Design)'!$E$325</f>
        <v>1964993565.6779518</v>
      </c>
      <c r="J38" s="139">
        <f>(+H38/I38)</f>
        <v>5.745204021706465E-6</v>
      </c>
    </row>
    <row r="39" spans="1:10" x14ac:dyDescent="0.2">
      <c r="A39" s="137">
        <f t="shared" si="0"/>
        <v>30</v>
      </c>
      <c r="E39" s="145"/>
      <c r="G39" s="142"/>
      <c r="H39" s="145"/>
      <c r="J39" s="142"/>
    </row>
    <row r="40" spans="1:10" ht="12" thickBot="1" x14ac:dyDescent="0.25">
      <c r="A40" s="137">
        <f t="shared" si="0"/>
        <v>31</v>
      </c>
      <c r="B40" s="117" t="s">
        <v>308</v>
      </c>
      <c r="D40" s="15">
        <f>SUM(D34:D38)</f>
        <v>0.99999999999999989</v>
      </c>
      <c r="E40" s="14">
        <f>SUM(E34:E38)</f>
        <v>7673451.5982162477</v>
      </c>
      <c r="G40" s="140"/>
      <c r="H40" s="14">
        <f>SUM(H34:H38)</f>
        <v>7673451.5982162487</v>
      </c>
      <c r="J40" s="140"/>
    </row>
    <row r="41" spans="1:10" ht="12" thickTop="1" x14ac:dyDescent="0.2">
      <c r="A41" s="137">
        <f t="shared" si="0"/>
        <v>32</v>
      </c>
      <c r="E41" s="138"/>
      <c r="F41" s="118"/>
      <c r="G41" s="142"/>
      <c r="H41" s="138"/>
      <c r="I41" s="118"/>
      <c r="J41" s="142"/>
    </row>
    <row r="42" spans="1:10" ht="12" thickBot="1" x14ac:dyDescent="0.25">
      <c r="A42" s="146"/>
      <c r="B42" s="123"/>
      <c r="C42" s="123"/>
      <c r="D42" s="147"/>
      <c r="E42" s="148"/>
      <c r="F42" s="123"/>
      <c r="G42" s="149"/>
      <c r="H42" s="148"/>
      <c r="I42" s="123"/>
      <c r="J42" s="149"/>
    </row>
    <row r="44" spans="1:10" ht="22.5" x14ac:dyDescent="0.2">
      <c r="B44" s="137"/>
      <c r="C44" s="137"/>
      <c r="E44" s="150" t="s">
        <v>334</v>
      </c>
      <c r="H44" s="150" t="s">
        <v>334</v>
      </c>
    </row>
    <row r="45" spans="1:10" x14ac:dyDescent="0.2">
      <c r="D45" s="152" t="s">
        <v>377</v>
      </c>
      <c r="E45" s="163">
        <v>7673451.5982162477</v>
      </c>
      <c r="F45" s="163">
        <f>'Exh CTM-6 (Rate Design)'!$D$387</f>
        <v>23558158394.432896</v>
      </c>
      <c r="H45" s="163">
        <v>7673451.5982162477</v>
      </c>
      <c r="I45" s="163">
        <f>'Exh CTM-6 (Rate Design)'!$E$387</f>
        <v>23775605944.94062</v>
      </c>
    </row>
    <row r="46" spans="1:10" x14ac:dyDescent="0.2">
      <c r="C46" s="117" t="s">
        <v>165</v>
      </c>
      <c r="E46" s="118">
        <f>E45-E40</f>
        <v>0</v>
      </c>
      <c r="F46" s="118">
        <f>F45-SUM(F10,F12,F14,F16,F18,F20,F22,F24,F26,F28,F30,F32,F36,F38)</f>
        <v>0</v>
      </c>
      <c r="G46" s="118"/>
      <c r="H46" s="118">
        <f>H45-H40</f>
        <v>0</v>
      </c>
      <c r="I46" s="118">
        <f>I45-SUM(I10,I12,I14,I16,I18,I20,I22,I24,I26,I28,I30,I32,I36,I38)</f>
        <v>0</v>
      </c>
      <c r="J46" s="118"/>
    </row>
    <row r="47" spans="1:10" x14ac:dyDescent="0.2">
      <c r="F47" s="152"/>
      <c r="I47" s="163"/>
    </row>
    <row r="48" spans="1:10" x14ac:dyDescent="0.2">
      <c r="F48" s="152"/>
      <c r="I48" s="118"/>
    </row>
    <row r="49" spans="2:7" ht="15.75" x14ac:dyDescent="0.25">
      <c r="B49" s="125"/>
      <c r="C49" s="151"/>
      <c r="D49" s="384" t="s">
        <v>376</v>
      </c>
      <c r="E49" s="388"/>
      <c r="F49" s="384" t="s">
        <v>375</v>
      </c>
      <c r="G49" s="386"/>
    </row>
    <row r="50" spans="2:7" x14ac:dyDescent="0.2">
      <c r="C50" s="152" t="s">
        <v>329</v>
      </c>
      <c r="D50" s="286">
        <v>8447.6075000000001</v>
      </c>
      <c r="E50" s="10">
        <f>D50/D52</f>
        <v>0.93197976571446639</v>
      </c>
      <c r="F50" s="286">
        <v>8621.2691666666669</v>
      </c>
      <c r="G50" s="10">
        <f>F50/F52</f>
        <v>0.93319079553267303</v>
      </c>
    </row>
    <row r="51" spans="2:7" x14ac:dyDescent="0.2">
      <c r="C51" s="152" t="s">
        <v>328</v>
      </c>
      <c r="D51" s="286">
        <v>616.54583333333323</v>
      </c>
      <c r="E51" s="10">
        <f>D51/D52</f>
        <v>6.8020234285533554E-2</v>
      </c>
      <c r="F51" s="286">
        <v>617.21583333333331</v>
      </c>
      <c r="G51" s="10">
        <f>F51/F52</f>
        <v>6.680920446732698E-2</v>
      </c>
    </row>
    <row r="52" spans="2:7" ht="12" thickBot="1" x14ac:dyDescent="0.25">
      <c r="D52" s="153">
        <f>SUM(D50:D51)</f>
        <v>9064.1533333333336</v>
      </c>
      <c r="E52" s="9">
        <f>SUM(E50:E51)</f>
        <v>1</v>
      </c>
      <c r="F52" s="153">
        <f>SUM(F50:F51)</f>
        <v>9238.4850000000006</v>
      </c>
      <c r="G52" s="9">
        <f>SUM(G50:G51)</f>
        <v>1</v>
      </c>
    </row>
    <row r="53" spans="2:7" ht="12" thickTop="1" x14ac:dyDescent="0.2">
      <c r="D53" s="154"/>
      <c r="E53" s="155"/>
      <c r="F53" s="154"/>
      <c r="G53" s="155"/>
    </row>
    <row r="54" spans="2:7" x14ac:dyDescent="0.2">
      <c r="B54" s="12"/>
      <c r="C54" s="12"/>
      <c r="D54" s="11"/>
      <c r="E54" s="10"/>
      <c r="F54" s="11"/>
      <c r="G54" s="10"/>
    </row>
    <row r="55" spans="2:7" x14ac:dyDescent="0.2">
      <c r="C55" s="152" t="s">
        <v>327</v>
      </c>
      <c r="D55" s="286">
        <v>6</v>
      </c>
      <c r="E55" s="10">
        <f>D55/D57</f>
        <v>0.2608695652173913</v>
      </c>
      <c r="F55" s="286">
        <v>6</v>
      </c>
      <c r="G55" s="10">
        <f>F55/F57</f>
        <v>0.2608695652173913</v>
      </c>
    </row>
    <row r="56" spans="2:7" x14ac:dyDescent="0.2">
      <c r="C56" s="152" t="s">
        <v>326</v>
      </c>
      <c r="D56" s="286">
        <v>17</v>
      </c>
      <c r="E56" s="10">
        <f>D56/D57</f>
        <v>0.73913043478260865</v>
      </c>
      <c r="F56" s="286">
        <v>17</v>
      </c>
      <c r="G56" s="10">
        <f>F56/F57</f>
        <v>0.73913043478260865</v>
      </c>
    </row>
    <row r="57" spans="2:7" ht="12" thickBot="1" x14ac:dyDescent="0.25">
      <c r="D57" s="153">
        <f>SUM(D55:D56)</f>
        <v>23</v>
      </c>
      <c r="E57" s="9">
        <f>SUM(E55:E56)</f>
        <v>1</v>
      </c>
      <c r="F57" s="153">
        <f>SUM(F55:F56)</f>
        <v>23</v>
      </c>
      <c r="G57" s="9">
        <f>SUM(G55:G56)</f>
        <v>1</v>
      </c>
    </row>
    <row r="58" spans="2:7" ht="12" thickTop="1" x14ac:dyDescent="0.2">
      <c r="D58" s="156"/>
      <c r="E58" s="157"/>
      <c r="F58" s="158"/>
      <c r="G58" s="157"/>
    </row>
  </sheetData>
  <mergeCells count="8">
    <mergeCell ref="A1:J1"/>
    <mergeCell ref="A2:J2"/>
    <mergeCell ref="A3:J3"/>
    <mergeCell ref="D49:E49"/>
    <mergeCell ref="F49:G49"/>
    <mergeCell ref="H5:J5"/>
    <mergeCell ref="E7:G7"/>
    <mergeCell ref="H7:J7"/>
  </mergeCells>
  <printOptions horizontalCentered="1"/>
  <pageMargins left="0.7" right="0.7" top="0.75" bottom="0.75" header="0.3" footer="0.3"/>
  <pageSetup scale="55" orientation="portrait" horizontalDpi="360" verticalDpi="360" r:id="rId1"/>
  <headerFooter alignWithMargins="0">
    <oddFooter>&amp;R&amp;F
&amp;A
&amp;P of &amp;N</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02"/>
  <sheetViews>
    <sheetView zoomScaleNormal="100" workbookViewId="0">
      <pane ySplit="9" topLeftCell="A10" activePane="bottomLeft" state="frozen"/>
      <selection sqref="A1:XFD1048576"/>
      <selection pane="bottomLeft" sqref="A1:J1"/>
    </sheetView>
  </sheetViews>
  <sheetFormatPr defaultColWidth="8" defaultRowHeight="11.25" x14ac:dyDescent="0.2"/>
  <cols>
    <col min="1" max="1" width="6.125" style="37" customWidth="1"/>
    <col min="2" max="2" width="28.625" style="39" bestFit="1" customWidth="1"/>
    <col min="3" max="3" width="12.5" style="39" bestFit="1" customWidth="1"/>
    <col min="4" max="4" width="12.375" style="69" bestFit="1" customWidth="1"/>
    <col min="5" max="5" width="11.875" style="69" bestFit="1" customWidth="1"/>
    <col min="6" max="6" width="11.25" style="69" customWidth="1"/>
    <col min="7" max="7" width="13.625" style="39" bestFit="1" customWidth="1"/>
    <col min="8" max="8" width="11.875" style="69" customWidth="1"/>
    <col min="9" max="9" width="11.25" style="69" bestFit="1" customWidth="1"/>
    <col min="10" max="10" width="9.375" style="69" customWidth="1"/>
    <col min="11" max="11" width="10.25" style="39" bestFit="1" customWidth="1"/>
    <col min="12" max="12" width="13.625" style="39" bestFit="1" customWidth="1"/>
    <col min="13" max="13" width="9.375" style="39" bestFit="1" customWidth="1"/>
    <col min="14" max="16" width="11.25" style="39" bestFit="1" customWidth="1"/>
    <col min="17" max="17" width="11" style="39" customWidth="1"/>
    <col min="18" max="16384" width="8" style="39"/>
  </cols>
  <sheetData>
    <row r="1" spans="1:15" s="26" customFormat="1" ht="15.75" x14ac:dyDescent="0.25">
      <c r="A1" s="363" t="str">
        <f>'Exh CTM-6 (141DCARB)'!A1</f>
        <v>Puget Sound Energy</v>
      </c>
      <c r="B1" s="380"/>
      <c r="C1" s="380"/>
      <c r="D1" s="380"/>
      <c r="E1" s="380"/>
      <c r="F1" s="380"/>
      <c r="G1" s="380"/>
      <c r="H1" s="380"/>
      <c r="I1" s="380"/>
      <c r="J1" s="380"/>
      <c r="K1" s="282"/>
      <c r="L1" s="282"/>
      <c r="M1" s="282"/>
      <c r="N1" s="282"/>
      <c r="O1" s="283"/>
    </row>
    <row r="2" spans="1:15" s="26" customFormat="1" ht="15.75" x14ac:dyDescent="0.25">
      <c r="A2" s="363" t="str">
        <f>'Exh CTM-6 (141DCARB)'!A2</f>
        <v>2024 General Rate Case Docket No. UE-240004 and UG-240005</v>
      </c>
      <c r="B2" s="380"/>
      <c r="C2" s="380"/>
      <c r="D2" s="380"/>
      <c r="E2" s="380"/>
      <c r="F2" s="380"/>
      <c r="G2" s="380"/>
      <c r="H2" s="380"/>
      <c r="I2" s="380"/>
      <c r="J2" s="380"/>
      <c r="K2" s="282"/>
      <c r="L2" s="282"/>
      <c r="M2" s="282"/>
      <c r="N2" s="282"/>
      <c r="O2" s="283"/>
    </row>
    <row r="3" spans="1:15" s="26" customFormat="1" ht="15.75" x14ac:dyDescent="0.25">
      <c r="A3" s="371" t="s">
        <v>386</v>
      </c>
      <c r="B3" s="380"/>
      <c r="C3" s="380"/>
      <c r="D3" s="380"/>
      <c r="E3" s="380"/>
      <c r="F3" s="380"/>
      <c r="G3" s="380"/>
      <c r="H3" s="380"/>
      <c r="I3" s="380"/>
      <c r="J3" s="380"/>
      <c r="K3" s="282"/>
      <c r="L3" s="282"/>
      <c r="M3" s="282"/>
      <c r="N3" s="282"/>
      <c r="O3" s="283"/>
    </row>
    <row r="4" spans="1:15" s="26" customFormat="1" ht="12" thickBot="1" x14ac:dyDescent="0.25">
      <c r="A4" s="28"/>
      <c r="B4" s="28"/>
      <c r="C4" s="28"/>
      <c r="D4" s="28"/>
      <c r="E4" s="28"/>
      <c r="F4" s="28"/>
      <c r="G4" s="28"/>
      <c r="H4" s="28"/>
      <c r="I4" s="28"/>
      <c r="J4" s="28"/>
      <c r="K4" s="28"/>
      <c r="L4" s="28"/>
      <c r="M4" s="28"/>
      <c r="N4" s="28"/>
      <c r="O4" s="28"/>
    </row>
    <row r="5" spans="1:15" s="26" customFormat="1" ht="25.5" customHeight="1" thickBot="1" x14ac:dyDescent="0.3">
      <c r="A5" s="95"/>
      <c r="B5" s="28"/>
      <c r="C5" s="28"/>
      <c r="D5" s="28"/>
      <c r="E5" s="28"/>
      <c r="F5" s="28"/>
      <c r="G5" s="28"/>
      <c r="H5" s="395" t="s">
        <v>425</v>
      </c>
      <c r="I5" s="396"/>
      <c r="J5" s="397"/>
    </row>
    <row r="6" spans="1:15" s="26" customFormat="1" ht="12" thickBot="1" x14ac:dyDescent="0.25">
      <c r="A6" s="95"/>
      <c r="B6" s="28"/>
      <c r="C6" s="28"/>
      <c r="D6" s="28"/>
      <c r="E6" s="28"/>
      <c r="F6" s="28"/>
      <c r="G6" s="28"/>
    </row>
    <row r="7" spans="1:15" s="26" customFormat="1" ht="12.75" customHeight="1" thickBot="1" x14ac:dyDescent="0.25">
      <c r="A7" s="28"/>
      <c r="B7" s="28"/>
      <c r="C7" s="28"/>
      <c r="D7" s="96"/>
      <c r="E7" s="398" t="s">
        <v>426</v>
      </c>
      <c r="F7" s="399"/>
      <c r="G7" s="400"/>
      <c r="H7" s="398" t="s">
        <v>427</v>
      </c>
      <c r="I7" s="399"/>
      <c r="J7" s="400"/>
    </row>
    <row r="8" spans="1:15" s="36" customFormat="1" ht="68.25" thickBot="1" x14ac:dyDescent="0.25">
      <c r="A8" s="97" t="s">
        <v>147</v>
      </c>
      <c r="B8" s="97" t="s">
        <v>373</v>
      </c>
      <c r="C8" s="97" t="s">
        <v>372</v>
      </c>
      <c r="D8" s="98" t="s">
        <v>428</v>
      </c>
      <c r="E8" s="99" t="s">
        <v>334</v>
      </c>
      <c r="F8" s="100" t="s">
        <v>429</v>
      </c>
      <c r="G8" s="101" t="s">
        <v>430</v>
      </c>
      <c r="H8" s="99" t="s">
        <v>334</v>
      </c>
      <c r="I8" s="100" t="s">
        <v>431</v>
      </c>
      <c r="J8" s="101" t="s">
        <v>432</v>
      </c>
    </row>
    <row r="9" spans="1:15" s="38" customFormat="1" ht="39" customHeight="1" x14ac:dyDescent="0.2">
      <c r="B9" s="102" t="s">
        <v>137</v>
      </c>
      <c r="C9" s="102" t="s">
        <v>136</v>
      </c>
      <c r="D9" s="102" t="s">
        <v>135</v>
      </c>
      <c r="E9" s="103" t="s">
        <v>370</v>
      </c>
      <c r="F9" s="104" t="s">
        <v>197</v>
      </c>
      <c r="G9" s="105" t="s">
        <v>369</v>
      </c>
      <c r="H9" s="103" t="s">
        <v>368</v>
      </c>
      <c r="I9" s="104" t="s">
        <v>130</v>
      </c>
      <c r="J9" s="105" t="s">
        <v>367</v>
      </c>
    </row>
    <row r="10" spans="1:15" x14ac:dyDescent="0.2">
      <c r="A10" s="37">
        <v>1</v>
      </c>
      <c r="B10" s="39" t="s">
        <v>366</v>
      </c>
      <c r="C10" s="137" t="str">
        <f>'Exh CTM-6 (Tariff)'!B8</f>
        <v>7 (307) (317) (327)</v>
      </c>
      <c r="D10" s="21">
        <v>0.57817117426856124</v>
      </c>
      <c r="E10" s="20">
        <f>D10*$E$61</f>
        <v>15926650.538183255</v>
      </c>
      <c r="F10" s="118">
        <f>'Exh CTM-6 (Rate Design)'!D23</f>
        <v>11278205851.395365</v>
      </c>
      <c r="G10" s="106">
        <f>(+E10/F10)</f>
        <v>1.4121617168578967E-3</v>
      </c>
      <c r="H10" s="20">
        <f>$H$61*$D10</f>
        <v>19885010.849828102</v>
      </c>
      <c r="I10" s="118">
        <f>'Exh CTM-6 (Rate Design)'!E23</f>
        <v>11447649239.71397</v>
      </c>
      <c r="J10" s="106">
        <f>(+H10/I10)</f>
        <v>1.7370387957768129E-3</v>
      </c>
    </row>
    <row r="11" spans="1:15" x14ac:dyDescent="0.2">
      <c r="A11" s="37">
        <f t="shared" ref="A11:A56" si="0">+A10+1</f>
        <v>2</v>
      </c>
      <c r="C11" s="107"/>
      <c r="D11" s="21" t="str">
        <f>IFERROR(HLOOKUP($C11,#REF!, 4, FALSE), "")</f>
        <v/>
      </c>
      <c r="E11" s="108"/>
      <c r="F11" s="118"/>
      <c r="G11" s="109"/>
      <c r="H11" s="108"/>
      <c r="I11" s="118"/>
      <c r="J11" s="109"/>
    </row>
    <row r="12" spans="1:15" x14ac:dyDescent="0.2">
      <c r="A12" s="37">
        <f t="shared" si="0"/>
        <v>3</v>
      </c>
      <c r="B12" s="43" t="s">
        <v>365</v>
      </c>
      <c r="C12" s="110" t="str">
        <f>'Exh CTM-6 (Tariff)'!B15</f>
        <v>08 (24) (324)</v>
      </c>
      <c r="D12" s="21">
        <v>0.12368876381308863</v>
      </c>
      <c r="E12" s="20">
        <f>D12*$E$61</f>
        <v>3407205.0016037403</v>
      </c>
      <c r="F12" s="118">
        <f>'Exh CTM-6 (Rate Design)'!D43</f>
        <v>2762635966.1696987</v>
      </c>
      <c r="G12" s="106">
        <f>(+E12/F12)</f>
        <v>1.2333166741210985E-3</v>
      </c>
      <c r="H12" s="20">
        <f>$H$61*$D12</f>
        <v>4254021.1617029319</v>
      </c>
      <c r="I12" s="118">
        <f>'Exh CTM-6 (Rate Design)'!E43</f>
        <v>2774967422.2693906</v>
      </c>
      <c r="J12" s="106">
        <f>(+H12/I12)</f>
        <v>1.5329985957903459E-3</v>
      </c>
    </row>
    <row r="13" spans="1:15" x14ac:dyDescent="0.2">
      <c r="A13" s="37">
        <f t="shared" si="0"/>
        <v>4</v>
      </c>
      <c r="B13" s="43"/>
      <c r="C13" s="110"/>
      <c r="D13" s="21" t="str">
        <f>IFERROR(HLOOKUP($C13,#REF!, 4, FALSE), "")</f>
        <v/>
      </c>
      <c r="E13" s="108"/>
      <c r="F13" s="118"/>
      <c r="G13" s="106"/>
      <c r="H13" s="108"/>
      <c r="I13" s="118"/>
      <c r="J13" s="106"/>
    </row>
    <row r="14" spans="1:15" x14ac:dyDescent="0.2">
      <c r="A14" s="37">
        <f t="shared" si="0"/>
        <v>5</v>
      </c>
      <c r="B14" s="39" t="s">
        <v>364</v>
      </c>
      <c r="C14" s="110" t="str">
        <f>'Exh CTM-6 (Tariff)'!B22</f>
        <v>7A (11) (25)</v>
      </c>
      <c r="D14" s="21">
        <v>9.8415428064547901E-3</v>
      </c>
      <c r="E14" s="108">
        <f>$D14*E16</f>
        <v>35012.595623342437</v>
      </c>
      <c r="F14" s="118">
        <f>'Exh CTM-6 (Rate Design)'!D61</f>
        <v>2960202274.8054705</v>
      </c>
      <c r="G14" s="106">
        <f>(+E14/F14)</f>
        <v>1.1827771338917468E-5</v>
      </c>
      <c r="H14" s="108">
        <f>$D14*H16</f>
        <v>43714.517511490929</v>
      </c>
      <c r="I14" s="118">
        <f>'Exh CTM-6 (Rate Design)'!E61</f>
        <v>2968720174.6374388</v>
      </c>
      <c r="J14" s="106">
        <f>(+H14/I14)</f>
        <v>1.472503804331429E-5</v>
      </c>
    </row>
    <row r="15" spans="1:15" x14ac:dyDescent="0.2">
      <c r="A15" s="37">
        <f t="shared" si="0"/>
        <v>6</v>
      </c>
      <c r="B15" s="39" t="s">
        <v>363</v>
      </c>
      <c r="C15" s="110" t="str">
        <f>C14</f>
        <v>7A (11) (25)</v>
      </c>
      <c r="D15" s="21">
        <v>0.99015845719354523</v>
      </c>
      <c r="E15" s="111">
        <f>$D15*E16</f>
        <v>3522620.2178394678</v>
      </c>
      <c r="F15" s="118">
        <f>'Exh CTM-6 (Rate Design)'!D65</f>
        <v>4517887.0072913375</v>
      </c>
      <c r="G15" s="112">
        <f>(+E15/F15)</f>
        <v>0.77970524985560141</v>
      </c>
      <c r="H15" s="111">
        <f>$D15*H16</f>
        <v>4398121.3177012373</v>
      </c>
      <c r="I15" s="118">
        <f>'Exh CTM-6 (Rate Design)'!E65</f>
        <v>4515508.9451899873</v>
      </c>
      <c r="J15" s="112">
        <f>(+H15/I15)</f>
        <v>0.97400345588645243</v>
      </c>
    </row>
    <row r="16" spans="1:15" x14ac:dyDescent="0.2">
      <c r="A16" s="37">
        <f t="shared" si="0"/>
        <v>7</v>
      </c>
      <c r="B16" s="39" t="s">
        <v>362</v>
      </c>
      <c r="C16" s="110" t="str">
        <f>C15</f>
        <v>7A (11) (25)</v>
      </c>
      <c r="D16" s="21">
        <v>0.129149612245513</v>
      </c>
      <c r="E16" s="20">
        <f>$E$61*D16</f>
        <v>3557632.8134628101</v>
      </c>
      <c r="F16" s="118"/>
      <c r="G16" s="106"/>
      <c r="H16" s="20">
        <f>$H$61*$D16</f>
        <v>4441835.835212728</v>
      </c>
      <c r="I16" s="118"/>
      <c r="J16" s="113"/>
    </row>
    <row r="17" spans="1:10" x14ac:dyDescent="0.2">
      <c r="A17" s="37">
        <f t="shared" si="0"/>
        <v>8</v>
      </c>
      <c r="C17" s="110"/>
      <c r="D17" s="21" t="str">
        <f>IFERROR(HLOOKUP($C17,#REF!, 4, FALSE), "")</f>
        <v/>
      </c>
      <c r="E17" s="108"/>
      <c r="F17" s="118"/>
      <c r="G17" s="106"/>
      <c r="H17" s="108"/>
      <c r="I17" s="118"/>
      <c r="J17" s="106"/>
    </row>
    <row r="18" spans="1:10" x14ac:dyDescent="0.2">
      <c r="A18" s="37">
        <f t="shared" si="0"/>
        <v>9</v>
      </c>
      <c r="B18" s="39" t="s">
        <v>361</v>
      </c>
      <c r="C18" s="110" t="str">
        <f>'Exh CTM-6 (Tariff)'!B35</f>
        <v>12 (26) (26P)</v>
      </c>
      <c r="D18" s="21">
        <v>1.105277561037429E-2</v>
      </c>
      <c r="E18" s="108">
        <f>$D18*E20</f>
        <v>21106.092352570573</v>
      </c>
      <c r="F18" s="118">
        <f>'Exh CTM-6 (Rate Design)'!D86+'Exh CTM-6 (Rate Design)'!D135</f>
        <v>2013891730.8000479</v>
      </c>
      <c r="G18" s="106">
        <f>(+E18/F18)</f>
        <v>1.0480251758214365E-5</v>
      </c>
      <c r="H18" s="108">
        <f>$D18*H20</f>
        <v>26351.735063323249</v>
      </c>
      <c r="I18" s="118">
        <f>'Exh CTM-6 (Rate Design)'!E86+'Exh CTM-6 (Rate Design)'!E135</f>
        <v>2056791563.2414525</v>
      </c>
      <c r="J18" s="106">
        <f>(+H18/I18)</f>
        <v>1.2812059099364239E-5</v>
      </c>
    </row>
    <row r="19" spans="1:10" x14ac:dyDescent="0.2">
      <c r="A19" s="37">
        <f t="shared" si="0"/>
        <v>10</v>
      </c>
      <c r="B19" s="39" t="s">
        <v>360</v>
      </c>
      <c r="C19" s="110" t="str">
        <f>C18</f>
        <v>12 (26) (26P)</v>
      </c>
      <c r="D19" s="21">
        <v>0.98894722438962579</v>
      </c>
      <c r="E19" s="111">
        <f>$D19*E20</f>
        <v>1888467.8550964394</v>
      </c>
      <c r="F19" s="118">
        <f>'Exh CTM-6 (Rate Design)'!D90+'Exh CTM-6 (Rate Design)'!D107+'Exh CTM-6 (Rate Design)'!D112+'Exh CTM-6 (Rate Design)'!D139</f>
        <v>4944273.2866841266</v>
      </c>
      <c r="G19" s="112">
        <f>(+E19/F19)</f>
        <v>0.38195054067550116</v>
      </c>
      <c r="H19" s="111">
        <f>$D19*H20</f>
        <v>2357821.7967497301</v>
      </c>
      <c r="I19" s="118">
        <f>'Exh CTM-6 (Rate Design)'!E90+'Exh CTM-6 (Rate Design)'!E107+'Exh CTM-6 (Rate Design)'!E112+'Exh CTM-6 (Rate Design)'!E139</f>
        <v>5032131.2804961493</v>
      </c>
      <c r="J19" s="112">
        <f>(+H19/I19)</f>
        <v>0.46855331574681369</v>
      </c>
    </row>
    <row r="20" spans="1:10" x14ac:dyDescent="0.2">
      <c r="A20" s="37">
        <f t="shared" si="0"/>
        <v>11</v>
      </c>
      <c r="B20" s="39" t="s">
        <v>359</v>
      </c>
      <c r="C20" s="110" t="str">
        <f>C19</f>
        <v>12 (26) (26P)</v>
      </c>
      <c r="D20" s="21">
        <v>6.9321582017657896E-2</v>
      </c>
      <c r="E20" s="20">
        <f>$E$61*D20</f>
        <v>1909573.9474490099</v>
      </c>
      <c r="F20" s="118"/>
      <c r="G20" s="106"/>
      <c r="H20" s="20">
        <f>$H$61*$D20</f>
        <v>2384173.5318130534</v>
      </c>
      <c r="I20" s="118"/>
      <c r="J20" s="113"/>
    </row>
    <row r="21" spans="1:10" x14ac:dyDescent="0.2">
      <c r="A21" s="37">
        <f t="shared" si="0"/>
        <v>12</v>
      </c>
      <c r="C21" s="110"/>
      <c r="D21" s="21" t="str">
        <f>IFERROR(HLOOKUP($C21,#REF!, 4, FALSE), "")</f>
        <v/>
      </c>
      <c r="E21" s="108"/>
      <c r="F21" s="117"/>
      <c r="G21" s="113"/>
      <c r="H21" s="108"/>
      <c r="I21" s="117"/>
      <c r="J21" s="106"/>
    </row>
    <row r="22" spans="1:10" x14ac:dyDescent="0.2">
      <c r="A22" s="37">
        <f t="shared" si="0"/>
        <v>13</v>
      </c>
      <c r="B22" s="39" t="s">
        <v>358</v>
      </c>
      <c r="C22" s="110" t="str">
        <f>'Exh CTM-6 (Tariff)'!B59</f>
        <v>29</v>
      </c>
      <c r="D22" s="21">
        <f>D14</f>
        <v>9.8415428064547901E-3</v>
      </c>
      <c r="E22" s="108">
        <f>$D22*E24</f>
        <v>176.58933139053951</v>
      </c>
      <c r="F22" s="118">
        <f>'Exh CTM-6 (Rate Design)'!D171</f>
        <v>14930059.630887466</v>
      </c>
      <c r="G22" s="106">
        <f>(+E22/F22)</f>
        <v>1.182777133891747E-5</v>
      </c>
      <c r="H22" s="108">
        <f>$D22*H24</f>
        <v>220.47829593838259</v>
      </c>
      <c r="I22" s="118">
        <f>'Exh CTM-6 (Rate Design)'!E171</f>
        <v>14843026.361509496</v>
      </c>
      <c r="J22" s="106">
        <f>(+H22/I22)</f>
        <v>1.4853998811867671E-5</v>
      </c>
    </row>
    <row r="23" spans="1:10" x14ac:dyDescent="0.2">
      <c r="A23" s="37">
        <f t="shared" si="0"/>
        <v>14</v>
      </c>
      <c r="B23" s="39" t="s">
        <v>357</v>
      </c>
      <c r="C23" s="110" t="str">
        <f>C22</f>
        <v>29</v>
      </c>
      <c r="D23" s="21">
        <f>D15</f>
        <v>0.99015845719354523</v>
      </c>
      <c r="E23" s="111">
        <f>$D23*E24</f>
        <v>17766.667621647306</v>
      </c>
      <c r="F23" s="118">
        <f>'Exh CTM-6 (Rate Design)'!D175</f>
        <v>6359.1483786280214</v>
      </c>
      <c r="G23" s="112">
        <f>(+E23/F23)</f>
        <v>2.7938753059069903</v>
      </c>
      <c r="H23" s="111">
        <f>$D23*H24</f>
        <v>22182.340070484523</v>
      </c>
      <c r="I23" s="118">
        <f>'Exh CTM-6 (Rate Design)'!E175</f>
        <v>6312.6225193658393</v>
      </c>
      <c r="J23" s="112">
        <f>(+H23/I23)</f>
        <v>3.5139658679785817</v>
      </c>
    </row>
    <row r="24" spans="1:10" x14ac:dyDescent="0.2">
      <c r="A24" s="37">
        <f t="shared" si="0"/>
        <v>15</v>
      </c>
      <c r="B24" s="39" t="s">
        <v>356</v>
      </c>
      <c r="C24" s="110" t="str">
        <f>C23</f>
        <v>29</v>
      </c>
      <c r="D24" s="21">
        <v>6.5137826172983917E-4</v>
      </c>
      <c r="E24" s="20">
        <f>$E$61*D24</f>
        <v>17943.256953037846</v>
      </c>
      <c r="F24" s="118"/>
      <c r="G24" s="106"/>
      <c r="H24" s="20">
        <f>$H$61*$D24</f>
        <v>22402.818366422904</v>
      </c>
      <c r="I24" s="118"/>
      <c r="J24" s="113"/>
    </row>
    <row r="25" spans="1:10" x14ac:dyDescent="0.2">
      <c r="A25" s="37">
        <f t="shared" si="0"/>
        <v>16</v>
      </c>
      <c r="C25" s="110"/>
      <c r="D25" s="21"/>
      <c r="E25" s="108"/>
      <c r="F25" s="118"/>
      <c r="G25" s="109"/>
      <c r="H25" s="108"/>
      <c r="I25" s="118"/>
      <c r="J25" s="109"/>
    </row>
    <row r="26" spans="1:10" x14ac:dyDescent="0.2">
      <c r="A26" s="37">
        <f t="shared" si="0"/>
        <v>17</v>
      </c>
      <c r="B26" s="39" t="s">
        <v>354</v>
      </c>
      <c r="C26" s="110" t="str">
        <f>'Exh CTM-6 (Tariff)'!B74</f>
        <v>10 (31)</v>
      </c>
      <c r="D26" s="21">
        <v>1.1309916536040261E-2</v>
      </c>
      <c r="E26" s="108">
        <f>$D26*E28</f>
        <v>15185.008311029045</v>
      </c>
      <c r="F26" s="118">
        <f>'Exh CTM-6 (Rate Design)'!D195</f>
        <v>1423586019.4788036</v>
      </c>
      <c r="G26" s="106">
        <f>(+E26/F26)</f>
        <v>1.0666730428125801E-5</v>
      </c>
      <c r="H26" s="108">
        <f>$D26*H28</f>
        <v>18959.043164513751</v>
      </c>
      <c r="I26" s="118">
        <f>'Exh CTM-6 (Rate Design)'!E195</f>
        <v>1411297972.0883911</v>
      </c>
      <c r="J26" s="106">
        <f>(+H26/I26)</f>
        <v>1.3433763485438018E-5</v>
      </c>
    </row>
    <row r="27" spans="1:10" x14ac:dyDescent="0.2">
      <c r="A27" s="37">
        <f t="shared" si="0"/>
        <v>18</v>
      </c>
      <c r="B27" s="39" t="s">
        <v>353</v>
      </c>
      <c r="C27" s="110" t="str">
        <f>C26</f>
        <v>10 (31)</v>
      </c>
      <c r="D27" s="21">
        <v>0.9886900834639597</v>
      </c>
      <c r="E27" s="111">
        <f>$D27*E28</f>
        <v>1327442.7876271983</v>
      </c>
      <c r="F27" s="118">
        <f>'Exh CTM-6 (Rate Design)'!D199+'Exh CTM-6 (Rate Design)'!D216+'Exh CTM-6 (Rate Design)'!D221</f>
        <v>3383993.0707753184</v>
      </c>
      <c r="G27" s="112">
        <f>(+E27/F27)</f>
        <v>0.39227113054432561</v>
      </c>
      <c r="H27" s="111">
        <f>$D27*H28</f>
        <v>1657361.2996159771</v>
      </c>
      <c r="I27" s="118">
        <f>'Exh CTM-6 (Rate Design)'!E199+'Exh CTM-6 (Rate Design)'!E216+'Exh CTM-6 (Rate Design)'!E221</f>
        <v>3344757.4708671868</v>
      </c>
      <c r="J27" s="112">
        <f>(+H27/I27)</f>
        <v>0.49551015702979423</v>
      </c>
    </row>
    <row r="28" spans="1:10" x14ac:dyDescent="0.2">
      <c r="A28" s="37">
        <f t="shared" si="0"/>
        <v>19</v>
      </c>
      <c r="B28" s="39" t="s">
        <v>352</v>
      </c>
      <c r="C28" s="110" t="str">
        <f>C27</f>
        <v>10 (31)</v>
      </c>
      <c r="D28" s="21">
        <v>4.8740234961654638E-2</v>
      </c>
      <c r="E28" s="20">
        <f>$E$61*D28</f>
        <v>1342627.7959382273</v>
      </c>
      <c r="F28" s="118"/>
      <c r="G28" s="106"/>
      <c r="H28" s="20">
        <f>$H$61*$D28</f>
        <v>1676320.3427804909</v>
      </c>
      <c r="I28" s="118"/>
      <c r="J28" s="113"/>
    </row>
    <row r="29" spans="1:10" x14ac:dyDescent="0.2">
      <c r="A29" s="37">
        <f t="shared" si="0"/>
        <v>20</v>
      </c>
      <c r="C29" s="110"/>
      <c r="D29" s="21" t="str">
        <f>IFERROR(HLOOKUP($C29,#REF!, 4, FALSE), "")</f>
        <v/>
      </c>
      <c r="E29" s="108"/>
      <c r="F29" s="118"/>
      <c r="G29" s="106"/>
      <c r="H29" s="108"/>
      <c r="I29" s="118"/>
      <c r="J29" s="106"/>
    </row>
    <row r="30" spans="1:10" x14ac:dyDescent="0.2">
      <c r="A30" s="37">
        <f t="shared" si="0"/>
        <v>21</v>
      </c>
      <c r="B30" s="39" t="s">
        <v>351</v>
      </c>
      <c r="C30" s="110" t="str">
        <f>'Exh CTM-6 (Tariff)'!B88</f>
        <v>35</v>
      </c>
      <c r="D30" s="21">
        <v>2.850909972616967E-3</v>
      </c>
      <c r="E30" s="108">
        <f>$D30*E32</f>
        <v>57.501335971817049</v>
      </c>
      <c r="F30" s="118">
        <f>'Exh CTM-6 (Rate Design)'!D243</f>
        <v>4407260.1568774413</v>
      </c>
      <c r="G30" s="106">
        <f>(+E30/F30)</f>
        <v>1.3046957503084397E-5</v>
      </c>
      <c r="H30" s="108">
        <f>$D30*H32</f>
        <v>71.792539613895599</v>
      </c>
      <c r="I30" s="118">
        <f>'Exh CTM-6 (Rate Design)'!E243</f>
        <v>4380281.1514552524</v>
      </c>
      <c r="J30" s="106">
        <f>(+H30/I30)</f>
        <v>1.6389938712049134E-5</v>
      </c>
    </row>
    <row r="31" spans="1:10" x14ac:dyDescent="0.2">
      <c r="A31" s="37">
        <f t="shared" si="0"/>
        <v>22</v>
      </c>
      <c r="B31" s="39" t="s">
        <v>350</v>
      </c>
      <c r="C31" s="110" t="str">
        <f>C30</f>
        <v>35</v>
      </c>
      <c r="D31" s="21">
        <v>0.99714909002738294</v>
      </c>
      <c r="E31" s="111">
        <f>$D31*E32</f>
        <v>20111.966140770081</v>
      </c>
      <c r="F31" s="118">
        <f>'Exh CTM-6 (Rate Design)'!D247</f>
        <v>8196.3679379811347</v>
      </c>
      <c r="G31" s="112">
        <f>(+E31/F31)</f>
        <v>2.4537656548546676</v>
      </c>
      <c r="H31" s="111">
        <f>$D31*H32</f>
        <v>25110.531807161002</v>
      </c>
      <c r="I31" s="118">
        <f>'Exh CTM-6 (Rate Design)'!E247</f>
        <v>8146.3096768096348</v>
      </c>
      <c r="J31" s="112">
        <f>(+H31/I31)</f>
        <v>3.0824425787106979</v>
      </c>
    </row>
    <row r="32" spans="1:10" x14ac:dyDescent="0.2">
      <c r="A32" s="37">
        <f t="shared" si="0"/>
        <v>23</v>
      </c>
      <c r="B32" s="39" t="s">
        <v>349</v>
      </c>
      <c r="C32" s="110" t="str">
        <f>C31</f>
        <v>35</v>
      </c>
      <c r="D32" s="21">
        <v>7.3219442264033183E-4</v>
      </c>
      <c r="E32" s="20">
        <f>$E$61*D32</f>
        <v>20169.467476741898</v>
      </c>
      <c r="F32" s="118"/>
      <c r="G32" s="106"/>
      <c r="H32" s="20">
        <f>$H$61*$D32</f>
        <v>25182.324346774898</v>
      </c>
      <c r="I32" s="118"/>
      <c r="J32" s="113"/>
    </row>
    <row r="33" spans="1:10" x14ac:dyDescent="0.2">
      <c r="A33" s="37">
        <f t="shared" si="0"/>
        <v>24</v>
      </c>
      <c r="C33" s="110"/>
      <c r="D33" s="21" t="str">
        <f>IFERROR(HLOOKUP($C33,#REF!, 4, FALSE), "")</f>
        <v/>
      </c>
      <c r="E33" s="108"/>
      <c r="F33" s="118"/>
      <c r="G33" s="106"/>
      <c r="H33" s="108"/>
      <c r="I33" s="118"/>
      <c r="J33" s="106"/>
    </row>
    <row r="34" spans="1:10" x14ac:dyDescent="0.2">
      <c r="A34" s="37">
        <f t="shared" si="0"/>
        <v>25</v>
      </c>
      <c r="B34" s="39" t="s">
        <v>348</v>
      </c>
      <c r="C34" s="110" t="str">
        <f>'Exh CTM-6 (Tariff)'!B98</f>
        <v>43</v>
      </c>
      <c r="D34" s="21">
        <v>9.0262968683001085E-3</v>
      </c>
      <c r="E34" s="108">
        <f>$D34*E36</f>
        <v>1373.468317801483</v>
      </c>
      <c r="F34" s="118">
        <f>'Exh CTM-6 (Rate Design)'!D267</f>
        <v>122267424.6450724</v>
      </c>
      <c r="G34" s="106">
        <f>(+E34/F34)</f>
        <v>1.1233313548465553E-5</v>
      </c>
      <c r="H34" s="108">
        <f>$D34*H36</f>
        <v>1714.8258722636006</v>
      </c>
      <c r="I34" s="118">
        <f>'Exh CTM-6 (Rate Design)'!E267</f>
        <v>121633779.10385114</v>
      </c>
      <c r="J34" s="106">
        <f>(+H34/I34)</f>
        <v>1.4098270109650043E-5</v>
      </c>
    </row>
    <row r="35" spans="1:10" x14ac:dyDescent="0.2">
      <c r="A35" s="37">
        <f t="shared" si="0"/>
        <v>26</v>
      </c>
      <c r="B35" s="39" t="s">
        <v>347</v>
      </c>
      <c r="C35" s="110" t="str">
        <f>C34</f>
        <v>43</v>
      </c>
      <c r="D35" s="21">
        <v>0.99097370313169997</v>
      </c>
      <c r="E35" s="111">
        <f>$D35*E36</f>
        <v>150789.52142664546</v>
      </c>
      <c r="F35" s="118">
        <f>'Exh CTM-6 (Rate Design)'!D270</f>
        <v>579230.53698067076</v>
      </c>
      <c r="G35" s="112">
        <f>(+E35/F35)</f>
        <v>0.26032729940769228</v>
      </c>
      <c r="H35" s="111">
        <f>$D35*H36</f>
        <v>188266.28125107745</v>
      </c>
      <c r="I35" s="118">
        <f>'Exh CTM-6 (Rate Design)'!E270</f>
        <v>573967.09159726952</v>
      </c>
      <c r="J35" s="112">
        <f>(+H35/I35)</f>
        <v>0.3280088423312893</v>
      </c>
    </row>
    <row r="36" spans="1:10" x14ac:dyDescent="0.2">
      <c r="A36" s="37">
        <f t="shared" si="0"/>
        <v>27</v>
      </c>
      <c r="B36" s="39" t="s">
        <v>346</v>
      </c>
      <c r="C36" s="110" t="str">
        <f>C35</f>
        <v>43</v>
      </c>
      <c r="D36" s="21">
        <v>5.5238390677213502E-3</v>
      </c>
      <c r="E36" s="20">
        <f>$E$61*D36</f>
        <v>152162.98974444694</v>
      </c>
      <c r="F36" s="118"/>
      <c r="G36" s="106"/>
      <c r="H36" s="20">
        <f>$H$61*$D36</f>
        <v>189981.10712334103</v>
      </c>
      <c r="I36" s="118"/>
      <c r="J36" s="113"/>
    </row>
    <row r="37" spans="1:10" x14ac:dyDescent="0.2">
      <c r="A37" s="37">
        <f t="shared" si="0"/>
        <v>28</v>
      </c>
      <c r="C37" s="110"/>
      <c r="D37" s="21" t="str">
        <f>IFERROR(HLOOKUP($C37,#REF!, 4, FALSE), "")</f>
        <v/>
      </c>
      <c r="E37" s="108"/>
      <c r="F37" s="118"/>
      <c r="G37" s="109"/>
      <c r="H37" s="108"/>
      <c r="I37" s="118"/>
      <c r="J37" s="109"/>
    </row>
    <row r="38" spans="1:10" x14ac:dyDescent="0.2">
      <c r="A38" s="37">
        <f t="shared" si="0"/>
        <v>29</v>
      </c>
      <c r="B38" s="43" t="s">
        <v>345</v>
      </c>
      <c r="C38" s="110" t="str">
        <f>'Exh CTM-6 (Tariff)'!B125</f>
        <v>46</v>
      </c>
      <c r="D38" s="21">
        <v>2.8949663505366371E-2</v>
      </c>
      <c r="E38" s="108">
        <f>$D38*E40</f>
        <v>1043.9454333493109</v>
      </c>
      <c r="F38" s="118">
        <f>'Exh CTM-6 (Rate Design)'!D289</f>
        <v>96933187.043131709</v>
      </c>
      <c r="G38" s="106">
        <f>(+E38/F38)</f>
        <v>1.0769742182156803E-5</v>
      </c>
      <c r="H38" s="108">
        <f>$D38*H40</f>
        <v>1303.4043924685436</v>
      </c>
      <c r="I38" s="118">
        <f>'Exh CTM-6 (Rate Design)'!E289</f>
        <v>96918964.527943105</v>
      </c>
      <c r="J38" s="106">
        <f>(+H38/I38)</f>
        <v>1.3448393705163386E-5</v>
      </c>
    </row>
    <row r="39" spans="1:10" x14ac:dyDescent="0.2">
      <c r="A39" s="37">
        <f t="shared" si="0"/>
        <v>30</v>
      </c>
      <c r="B39" s="43" t="s">
        <v>344</v>
      </c>
      <c r="C39" s="110" t="str">
        <f>C38</f>
        <v>46</v>
      </c>
      <c r="D39" s="21">
        <v>0.97105033649463368</v>
      </c>
      <c r="E39" s="111">
        <f>$D39*E40</f>
        <v>35016.765018632133</v>
      </c>
      <c r="F39" s="118">
        <f>'Exh CTM-6 (Rate Design)'!D291</f>
        <v>454913.76433003857</v>
      </c>
      <c r="G39" s="112">
        <f>(+E39/F39)</f>
        <v>7.6974512015924798E-2</v>
      </c>
      <c r="H39" s="111">
        <f>$D39*H40</f>
        <v>43719.723155350206</v>
      </c>
      <c r="I39" s="118">
        <f>'Exh CTM-6 (Rate Design)'!E291</f>
        <v>453901.97661419428</v>
      </c>
      <c r="J39" s="112">
        <f>(+H39/I39)</f>
        <v>9.6319746129924694E-2</v>
      </c>
    </row>
    <row r="40" spans="1:10" x14ac:dyDescent="0.2">
      <c r="A40" s="37">
        <f t="shared" si="0"/>
        <v>31</v>
      </c>
      <c r="B40" s="43" t="s">
        <v>343</v>
      </c>
      <c r="C40" s="110" t="str">
        <f>C39</f>
        <v>46</v>
      </c>
      <c r="D40" s="21">
        <v>1.3090802273206001E-3</v>
      </c>
      <c r="E40" s="20">
        <f>$E$61*D40</f>
        <v>36060.710451981446</v>
      </c>
      <c r="F40" s="118"/>
      <c r="G40" s="106"/>
      <c r="H40" s="20">
        <f>$H$61*$D40</f>
        <v>45023.127547818745</v>
      </c>
      <c r="I40" s="118"/>
      <c r="J40" s="113"/>
    </row>
    <row r="41" spans="1:10" x14ac:dyDescent="0.2">
      <c r="A41" s="37">
        <f t="shared" si="0"/>
        <v>32</v>
      </c>
      <c r="B41" s="43"/>
      <c r="C41" s="110"/>
      <c r="D41" s="21" t="str">
        <f>IFERROR(HLOOKUP($C41,#REF!, 4, FALSE), "")</f>
        <v/>
      </c>
      <c r="E41" s="108"/>
      <c r="F41" s="118"/>
      <c r="G41" s="106"/>
      <c r="H41" s="108"/>
      <c r="I41" s="118"/>
      <c r="J41" s="106"/>
    </row>
    <row r="42" spans="1:10" x14ac:dyDescent="0.2">
      <c r="A42" s="37">
        <f t="shared" si="0"/>
        <v>33</v>
      </c>
      <c r="B42" s="43" t="s">
        <v>342</v>
      </c>
      <c r="C42" s="110" t="str">
        <f>'Exh CTM-6 (Tariff)'!B133</f>
        <v>49</v>
      </c>
      <c r="D42" s="21">
        <f>D38</f>
        <v>2.8949663505366371E-2</v>
      </c>
      <c r="E42" s="108">
        <f>$D42*E44</f>
        <v>5760.1236551973489</v>
      </c>
      <c r="F42" s="118">
        <f>'Exh CTM-6 (Rate Design)'!D307</f>
        <v>534843226.30681556</v>
      </c>
      <c r="G42" s="106">
        <f>(+E42/F42)</f>
        <v>1.0769742182156803E-5</v>
      </c>
      <c r="H42" s="108">
        <f>$D42*H44</f>
        <v>7191.7269174298281</v>
      </c>
      <c r="I42" s="118">
        <f>'Exh CTM-6 (Rate Design)'!E307</f>
        <v>534899242.67952603</v>
      </c>
      <c r="J42" s="106">
        <f>(+H42/I42)</f>
        <v>1.3445012338031303E-5</v>
      </c>
    </row>
    <row r="43" spans="1:10" x14ac:dyDescent="0.2">
      <c r="A43" s="37">
        <f t="shared" si="0"/>
        <v>34</v>
      </c>
      <c r="B43" s="43" t="s">
        <v>341</v>
      </c>
      <c r="C43" s="110" t="str">
        <f>C42</f>
        <v>49</v>
      </c>
      <c r="D43" s="21">
        <f>D39</f>
        <v>0.97105033649463368</v>
      </c>
      <c r="E43" s="111">
        <f>$D43*E44</f>
        <v>193210.19094378239</v>
      </c>
      <c r="F43" s="118">
        <f>'Exh CTM-6 (Rate Design)'!D309</f>
        <v>1325042.9814690738</v>
      </c>
      <c r="G43" s="112">
        <f>(+E43/F43)</f>
        <v>0.14581428198621182</v>
      </c>
      <c r="H43" s="111">
        <f>$D43*H44</f>
        <v>241230.05235806003</v>
      </c>
      <c r="I43" s="118">
        <f>'Exh CTM-6 (Rate Design)'!E309</f>
        <v>1321250.3262371249</v>
      </c>
      <c r="J43" s="112">
        <f>(+H43/I43)</f>
        <v>0.18257709956074325</v>
      </c>
    </row>
    <row r="44" spans="1:10" x14ac:dyDescent="0.2">
      <c r="A44" s="37">
        <f t="shared" si="0"/>
        <v>35</v>
      </c>
      <c r="B44" s="43" t="s">
        <v>340</v>
      </c>
      <c r="C44" s="110" t="str">
        <f>C43</f>
        <v>49</v>
      </c>
      <c r="D44" s="21">
        <v>7.2230441774607792E-3</v>
      </c>
      <c r="E44" s="20">
        <f>$E$61*D44</f>
        <v>198970.31459897972</v>
      </c>
      <c r="F44" s="118"/>
      <c r="G44" s="106"/>
      <c r="H44" s="20">
        <f>$H$61*$D44</f>
        <v>248421.77927548985</v>
      </c>
      <c r="I44" s="118"/>
      <c r="J44" s="113"/>
    </row>
    <row r="45" spans="1:10" x14ac:dyDescent="0.2">
      <c r="A45" s="37">
        <f t="shared" si="0"/>
        <v>36</v>
      </c>
      <c r="B45" s="43"/>
      <c r="C45" s="45"/>
      <c r="D45" s="21"/>
      <c r="E45" s="108"/>
      <c r="F45" s="118"/>
      <c r="G45" s="109"/>
      <c r="H45" s="108"/>
      <c r="I45" s="118"/>
      <c r="J45" s="109"/>
    </row>
    <row r="46" spans="1:10" x14ac:dyDescent="0.2">
      <c r="A46" s="37">
        <f t="shared" si="0"/>
        <v>37</v>
      </c>
      <c r="B46" s="39" t="s">
        <v>338</v>
      </c>
      <c r="C46" s="45" t="str">
        <f>'Exh CTM-6 (141CGR)'!C46</f>
        <v>03, 50-59</v>
      </c>
      <c r="D46" s="21">
        <v>5.6710455118208275E-3</v>
      </c>
      <c r="E46" s="20">
        <f>D46*$E$61</f>
        <v>156218.02689690789</v>
      </c>
      <c r="F46" s="118">
        <f>'Exh CTM-6 (Rate Design)'!D381</f>
        <v>67255417.982360825</v>
      </c>
      <c r="G46" s="106">
        <f>(+E46/F46)</f>
        <v>2.3227575053935347E-3</v>
      </c>
      <c r="H46" s="20">
        <f>$H$61*$D46</f>
        <v>195043.97062874821</v>
      </c>
      <c r="I46" s="118">
        <f>'Exh CTM-6 (Rate Design)'!E381</f>
        <v>67027608.143863305</v>
      </c>
      <c r="J46" s="106">
        <f>(+H46/I46)</f>
        <v>2.9099049784100852E-3</v>
      </c>
    </row>
    <row r="47" spans="1:10" x14ac:dyDescent="0.2">
      <c r="A47" s="37">
        <f t="shared" si="0"/>
        <v>38</v>
      </c>
      <c r="C47" s="45"/>
      <c r="D47" s="21" t="str">
        <f>IFERROR(HLOOKUP($C47,#REF!, 4, FALSE), "")</f>
        <v/>
      </c>
      <c r="E47" s="108"/>
      <c r="F47" s="118"/>
      <c r="G47" s="106"/>
      <c r="H47" s="108"/>
      <c r="I47" s="118"/>
      <c r="J47" s="106"/>
    </row>
    <row r="48" spans="1:10" x14ac:dyDescent="0.2">
      <c r="A48" s="37">
        <f t="shared" si="0"/>
        <v>39</v>
      </c>
      <c r="B48" s="43" t="s">
        <v>337</v>
      </c>
      <c r="C48" s="45">
        <f>'Exh CTM-6 (141CGR)'!C48</f>
        <v>5</v>
      </c>
      <c r="D48" s="21">
        <v>2.8041080890206288E-4</v>
      </c>
      <c r="E48" s="20">
        <f>D48*$E$61</f>
        <v>7724.3646160020717</v>
      </c>
      <c r="F48" s="118">
        <f>'Exh CTM-6 (Rate Design)'!D361</f>
        <v>6714960.2368700616</v>
      </c>
      <c r="G48" s="106">
        <f>(+E48/F48)</f>
        <v>1.1503217209820006E-3</v>
      </c>
      <c r="H48" s="20">
        <f>$H$61*$D48</f>
        <v>9644.1542324912753</v>
      </c>
      <c r="I48" s="118">
        <f>'Exh CTM-6 (Rate Design)'!E361</f>
        <v>6710049.8818741431</v>
      </c>
      <c r="J48" s="106">
        <f>(+H48/I48)</f>
        <v>1.4372701250020552E-3</v>
      </c>
    </row>
    <row r="49" spans="1:10" x14ac:dyDescent="0.2">
      <c r="A49" s="37">
        <f t="shared" si="0"/>
        <v>40</v>
      </c>
      <c r="C49" s="45"/>
      <c r="D49" s="21" t="str">
        <f>IFERROR(HLOOKUP($C49,#REF!, 4, FALSE), "")</f>
        <v/>
      </c>
      <c r="E49" s="108"/>
      <c r="F49" s="117"/>
      <c r="G49" s="109"/>
      <c r="H49" s="108"/>
      <c r="I49" s="117"/>
      <c r="J49" s="109"/>
    </row>
    <row r="50" spans="1:10" x14ac:dyDescent="0.2">
      <c r="A50" s="37">
        <f t="shared" si="0"/>
        <v>41</v>
      </c>
      <c r="B50" s="39" t="s">
        <v>226</v>
      </c>
      <c r="C50" s="45"/>
      <c r="D50" s="21" t="str">
        <f>IFERROR(HLOOKUP($C50,#REF!, 4, FALSE), "")</f>
        <v/>
      </c>
      <c r="E50" s="114">
        <f>SUM(E10,E12,E16,E20,E24,E28,E32,E36,E40,E44,E46,E48)</f>
        <v>26732939.227375142</v>
      </c>
      <c r="F50" s="118"/>
      <c r="G50" s="106"/>
      <c r="H50" s="114">
        <f>SUM(H10,H12,H16,H20,H24,H28,H32,H36,H40,H44,H46,H48)</f>
        <v>33377061.002858393</v>
      </c>
      <c r="I50" s="118"/>
      <c r="J50" s="109"/>
    </row>
    <row r="51" spans="1:10" x14ac:dyDescent="0.2">
      <c r="A51" s="37">
        <f t="shared" si="0"/>
        <v>42</v>
      </c>
      <c r="C51" s="45"/>
      <c r="D51" s="21" t="str">
        <f>IFERROR(HLOOKUP($C51,#REF!, 4, FALSE), "")</f>
        <v/>
      </c>
      <c r="E51" s="108"/>
      <c r="F51" s="118"/>
      <c r="G51" s="106"/>
      <c r="H51" s="108"/>
      <c r="I51" s="118"/>
      <c r="J51" s="106"/>
    </row>
    <row r="52" spans="1:10" x14ac:dyDescent="0.2">
      <c r="A52" s="37">
        <f t="shared" si="0"/>
        <v>43</v>
      </c>
      <c r="B52" s="39" t="s">
        <v>385</v>
      </c>
      <c r="C52" s="45" t="str">
        <f>'Exh CTM-6 (Tariff)'!B110</f>
        <v>Special Contract</v>
      </c>
      <c r="D52" s="21">
        <v>1.4631471307391203E-2</v>
      </c>
      <c r="E52" s="20">
        <f>D52*$E$61</f>
        <v>403047.29938686301</v>
      </c>
      <c r="F52" s="118">
        <f>'Exh CTM-6 (Rate Design)'!D346</f>
        <v>304773055.46200001</v>
      </c>
      <c r="G52" s="106">
        <f>(+E52/F52)</f>
        <v>1.3224505649815101E-3</v>
      </c>
      <c r="H52" s="20">
        <f>$H$61*$D52</f>
        <v>503219.42470497056</v>
      </c>
      <c r="I52" s="118">
        <f>'Exh CTM-6 (Rate Design)'!E346</f>
        <v>304773055.46200001</v>
      </c>
      <c r="J52" s="106">
        <f>(+H52/I52)</f>
        <v>1.6511283254425141E-3</v>
      </c>
    </row>
    <row r="53" spans="1:10" x14ac:dyDescent="0.2">
      <c r="A53" s="37">
        <f t="shared" si="0"/>
        <v>44</v>
      </c>
      <c r="C53" s="45"/>
      <c r="D53" s="21" t="str">
        <f>IFERROR(HLOOKUP($C53,#REF!, 4, FALSE), "")</f>
        <v/>
      </c>
      <c r="E53" s="108"/>
      <c r="F53" s="117"/>
      <c r="G53" s="115"/>
      <c r="H53" s="108"/>
      <c r="I53" s="117"/>
      <c r="J53" s="115"/>
    </row>
    <row r="54" spans="1:10" x14ac:dyDescent="0.2">
      <c r="A54" s="37">
        <f t="shared" si="0"/>
        <v>45</v>
      </c>
      <c r="B54" s="39" t="s">
        <v>384</v>
      </c>
      <c r="C54" s="45" t="str">
        <f>'Exh CTM-6 (Tariff)'!B141</f>
        <v>449 / 459</v>
      </c>
      <c r="D54" s="21">
        <v>1.4906168908537371E-2</v>
      </c>
      <c r="E54" s="20">
        <f>D54*$E$61</f>
        <v>410614.28454946139</v>
      </c>
      <c r="F54" s="118">
        <f>'Exh CTM-6 (Rate Design)'!D325</f>
        <v>1967511960.3194919</v>
      </c>
      <c r="G54" s="106">
        <f>(+E54/F54)</f>
        <v>2.0869722412400702E-4</v>
      </c>
      <c r="H54" s="20">
        <f>$H$61*$D54</f>
        <v>512667.08488298563</v>
      </c>
      <c r="I54" s="118">
        <f>'Exh CTM-6 (Rate Design)'!E325</f>
        <v>1964993565.6779518</v>
      </c>
      <c r="J54" s="106">
        <f>(+H54/I54)</f>
        <v>2.6090013414680467E-4</v>
      </c>
    </row>
    <row r="55" spans="1:10" x14ac:dyDescent="0.2">
      <c r="A55" s="37">
        <f t="shared" si="0"/>
        <v>46</v>
      </c>
      <c r="E55" s="116"/>
      <c r="F55" s="117"/>
      <c r="G55" s="113"/>
      <c r="H55" s="116"/>
      <c r="I55" s="117"/>
      <c r="J55" s="113"/>
    </row>
    <row r="56" spans="1:10" ht="12" thickBot="1" x14ac:dyDescent="0.25">
      <c r="A56" s="37">
        <f t="shared" si="0"/>
        <v>47</v>
      </c>
      <c r="B56" s="39" t="s">
        <v>308</v>
      </c>
      <c r="E56" s="19">
        <f>SUM(E50:E54)</f>
        <v>27546600.811311465</v>
      </c>
      <c r="F56" s="117"/>
      <c r="G56" s="109"/>
      <c r="H56" s="18">
        <f>SUM(H50:H54)</f>
        <v>34392947.512446344</v>
      </c>
      <c r="I56" s="117"/>
      <c r="J56" s="109"/>
    </row>
    <row r="57" spans="1:10" ht="12" thickTop="1" x14ac:dyDescent="0.2">
      <c r="E57" s="108"/>
      <c r="F57" s="118"/>
      <c r="G57" s="113"/>
      <c r="H57" s="108"/>
      <c r="I57" s="118"/>
      <c r="J57" s="113"/>
    </row>
    <row r="58" spans="1:10" ht="12" thickBot="1" x14ac:dyDescent="0.25">
      <c r="A58" s="119"/>
      <c r="B58" s="120"/>
      <c r="C58" s="120"/>
      <c r="D58" s="121"/>
      <c r="E58" s="122"/>
      <c r="F58" s="123"/>
      <c r="G58" s="124"/>
      <c r="H58" s="122"/>
      <c r="I58" s="123"/>
      <c r="J58" s="124"/>
    </row>
    <row r="59" spans="1:10" x14ac:dyDescent="0.2">
      <c r="D59" s="39"/>
      <c r="E59" s="39"/>
      <c r="F59" s="117"/>
      <c r="H59" s="39"/>
      <c r="I59" s="117"/>
      <c r="J59" s="39"/>
    </row>
    <row r="60" spans="1:10" ht="22.5" x14ac:dyDescent="0.2">
      <c r="D60" s="39"/>
      <c r="E60" s="34" t="s">
        <v>334</v>
      </c>
      <c r="F60" s="117"/>
      <c r="H60" s="34" t="s">
        <v>334</v>
      </c>
      <c r="I60" s="117"/>
      <c r="J60" s="39"/>
    </row>
    <row r="61" spans="1:10" x14ac:dyDescent="0.2">
      <c r="C61" s="284"/>
      <c r="D61" s="284" t="s">
        <v>383</v>
      </c>
      <c r="E61" s="68">
        <v>27546600.811311472</v>
      </c>
      <c r="F61" s="163">
        <f>'Exh CTM-6 (Rate Design)'!$D$387</f>
        <v>23558158394.432896</v>
      </c>
      <c r="H61" s="68">
        <v>34392947.512446359</v>
      </c>
      <c r="I61" s="163">
        <f>'Exh CTM-6 (Rate Design)'!$E$387</f>
        <v>23775605944.94062</v>
      </c>
      <c r="J61" s="39"/>
    </row>
    <row r="62" spans="1:10" x14ac:dyDescent="0.2">
      <c r="D62" s="39" t="s">
        <v>165</v>
      </c>
      <c r="E62" s="69">
        <f>E61-E56</f>
        <v>0</v>
      </c>
      <c r="F62" s="69">
        <f>F61-SUM(F10,F12,F14,F18,F22,F26,F30,F34,F38,F42,F46,F48,F52,F54)</f>
        <v>0</v>
      </c>
      <c r="G62" s="69"/>
      <c r="H62" s="69">
        <f>H61-H56</f>
        <v>0</v>
      </c>
      <c r="I62" s="69">
        <f>I61-SUM(I10,I12,I14,I18,I22,I26,I30,I34,I38,I42,I46,I48,I52,I54)</f>
        <v>0</v>
      </c>
    </row>
    <row r="63" spans="1:10" x14ac:dyDescent="0.2">
      <c r="D63" s="39"/>
      <c r="E63" s="39"/>
      <c r="F63" s="163">
        <f>'Exh CTM-6 (Rate Design)'!$D$388-'Exh CTM-6 (Rate Design)'!$D$363-'Exh CTM-6 (Rate Design)'!$D$340</f>
        <v>15219896.163847173</v>
      </c>
      <c r="H63" s="39"/>
      <c r="I63" s="163">
        <f>'Exh CTM-6 (Rate Design)'!$E$388-'Exh CTM-6 (Rate Design)'!$E$363-'Exh CTM-6 (Rate Design)'!$E$340</f>
        <v>15255976.023198087</v>
      </c>
      <c r="J63" s="39"/>
    </row>
    <row r="64" spans="1:10" x14ac:dyDescent="0.2">
      <c r="D64" s="39"/>
      <c r="E64" s="39" t="s">
        <v>165</v>
      </c>
      <c r="F64" s="69">
        <f>F63-SUM(F15,F19,F23,F27,F31,F35,F39,F43)</f>
        <v>0</v>
      </c>
      <c r="H64" s="39"/>
      <c r="I64" s="69">
        <f>I63-SUM(I15,I19,I23,I27,I31,I35,I39,I43)</f>
        <v>0</v>
      </c>
      <c r="J64" s="39"/>
    </row>
    <row r="65" spans="4:13" x14ac:dyDescent="0.2">
      <c r="D65" s="39"/>
      <c r="E65" s="39"/>
      <c r="F65" s="68"/>
      <c r="H65" s="39"/>
      <c r="I65" s="68"/>
      <c r="J65" s="39"/>
    </row>
    <row r="66" spans="4:13" x14ac:dyDescent="0.2">
      <c r="M66" s="275"/>
    </row>
    <row r="67" spans="4:13" x14ac:dyDescent="0.2">
      <c r="M67" s="275"/>
    </row>
    <row r="68" spans="4:13" x14ac:dyDescent="0.2">
      <c r="M68" s="275"/>
    </row>
    <row r="69" spans="4:13" x14ac:dyDescent="0.2">
      <c r="M69" s="275"/>
    </row>
    <row r="70" spans="4:13" x14ac:dyDescent="0.2">
      <c r="M70" s="275"/>
    </row>
    <row r="71" spans="4:13" x14ac:dyDescent="0.2">
      <c r="M71" s="275"/>
    </row>
    <row r="72" spans="4:13" x14ac:dyDescent="0.2">
      <c r="M72" s="275"/>
    </row>
    <row r="73" spans="4:13" x14ac:dyDescent="0.2">
      <c r="M73" s="275"/>
    </row>
    <row r="74" spans="4:13" x14ac:dyDescent="0.2">
      <c r="M74" s="275"/>
    </row>
    <row r="75" spans="4:13" x14ac:dyDescent="0.2">
      <c r="M75" s="275"/>
    </row>
    <row r="76" spans="4:13" x14ac:dyDescent="0.2">
      <c r="M76" s="275"/>
    </row>
    <row r="77" spans="4:13" x14ac:dyDescent="0.2">
      <c r="M77" s="275"/>
    </row>
    <row r="78" spans="4:13" x14ac:dyDescent="0.2">
      <c r="M78" s="275"/>
    </row>
    <row r="79" spans="4:13" x14ac:dyDescent="0.2">
      <c r="M79" s="275"/>
    </row>
    <row r="80" spans="4:13" x14ac:dyDescent="0.2">
      <c r="M80" s="275"/>
    </row>
    <row r="81" spans="13:13" x14ac:dyDescent="0.2">
      <c r="M81" s="275"/>
    </row>
    <row r="82" spans="13:13" x14ac:dyDescent="0.2">
      <c r="M82" s="275"/>
    </row>
    <row r="83" spans="13:13" x14ac:dyDescent="0.2">
      <c r="M83" s="275"/>
    </row>
    <row r="84" spans="13:13" x14ac:dyDescent="0.2">
      <c r="M84" s="275"/>
    </row>
    <row r="85" spans="13:13" x14ac:dyDescent="0.2">
      <c r="M85" s="275"/>
    </row>
    <row r="86" spans="13:13" x14ac:dyDescent="0.2">
      <c r="M86" s="275"/>
    </row>
    <row r="87" spans="13:13" x14ac:dyDescent="0.2">
      <c r="M87" s="275"/>
    </row>
    <row r="88" spans="13:13" x14ac:dyDescent="0.2">
      <c r="M88" s="275"/>
    </row>
    <row r="89" spans="13:13" x14ac:dyDescent="0.2">
      <c r="M89" s="275"/>
    </row>
    <row r="90" spans="13:13" x14ac:dyDescent="0.2">
      <c r="M90" s="275"/>
    </row>
    <row r="91" spans="13:13" x14ac:dyDescent="0.2">
      <c r="M91" s="275"/>
    </row>
    <row r="92" spans="13:13" x14ac:dyDescent="0.2">
      <c r="M92" s="275"/>
    </row>
    <row r="93" spans="13:13" x14ac:dyDescent="0.2">
      <c r="M93" s="275"/>
    </row>
    <row r="94" spans="13:13" x14ac:dyDescent="0.2">
      <c r="M94" s="275"/>
    </row>
    <row r="95" spans="13:13" x14ac:dyDescent="0.2">
      <c r="M95" s="275"/>
    </row>
    <row r="96" spans="13:13" x14ac:dyDescent="0.2">
      <c r="M96" s="275"/>
    </row>
    <row r="97" spans="13:13" x14ac:dyDescent="0.2">
      <c r="M97" s="275"/>
    </row>
    <row r="98" spans="13:13" x14ac:dyDescent="0.2">
      <c r="M98" s="275"/>
    </row>
    <row r="99" spans="13:13" x14ac:dyDescent="0.2">
      <c r="M99" s="275"/>
    </row>
    <row r="100" spans="13:13" x14ac:dyDescent="0.2">
      <c r="M100" s="275"/>
    </row>
    <row r="101" spans="13:13" x14ac:dyDescent="0.2">
      <c r="M101" s="275"/>
    </row>
    <row r="102" spans="13:13" x14ac:dyDescent="0.2">
      <c r="M102" s="275"/>
    </row>
  </sheetData>
  <mergeCells count="6">
    <mergeCell ref="H5:J5"/>
    <mergeCell ref="E7:G7"/>
    <mergeCell ref="H7:J7"/>
    <mergeCell ref="A1:J1"/>
    <mergeCell ref="A2:J2"/>
    <mergeCell ref="A3:J3"/>
  </mergeCells>
  <printOptions horizontalCentered="1"/>
  <pageMargins left="0.7" right="0.7" top="0.75" bottom="0.75" header="0.3" footer="0.3"/>
  <pageSetup scale="66" orientation="portrait" r:id="rId1"/>
  <headerFooter alignWithMargins="0">
    <oddFooter>&amp;R&amp;F
&amp;A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ransitionEntry="1"/>
  <dimension ref="A1:U136"/>
  <sheetViews>
    <sheetView zoomScaleNormal="100" zoomScaleSheetLayoutView="80" workbookViewId="0">
      <pane xSplit="2" ySplit="10" topLeftCell="C102" activePane="bottomRight" state="frozen"/>
      <selection sqref="A1:XFD1048576"/>
      <selection pane="topRight" sqref="A1:XFD1048576"/>
      <selection pane="bottomLeft" sqref="A1:XFD1048576"/>
      <selection pane="bottomRight" activeCell="D132" sqref="D132"/>
    </sheetView>
  </sheetViews>
  <sheetFormatPr defaultColWidth="10.25" defaultRowHeight="11.25" x14ac:dyDescent="0.2"/>
  <cols>
    <col min="1" max="1" width="4.625" style="37" customWidth="1"/>
    <col min="2" max="2" width="23.375" style="39" bestFit="1" customWidth="1"/>
    <col min="3" max="3" width="11.25" style="39" bestFit="1" customWidth="1"/>
    <col min="4" max="4" width="12.375" style="39" customWidth="1"/>
    <col min="5" max="5" width="8.375" style="39" bestFit="1" customWidth="1"/>
    <col min="6" max="6" width="0.875" style="39" customWidth="1"/>
    <col min="7" max="7" width="9.25" style="39" bestFit="1" customWidth="1"/>
    <col min="8" max="8" width="9.5" style="39" bestFit="1" customWidth="1"/>
    <col min="9" max="9" width="8.625" style="39" bestFit="1" customWidth="1"/>
    <col min="10" max="10" width="0.875" style="39" customWidth="1"/>
    <col min="11" max="12" width="11.25" style="39" bestFit="1" customWidth="1"/>
    <col min="13" max="13" width="11.5" style="39" customWidth="1"/>
    <col min="14" max="14" width="0.625" style="39" customWidth="1"/>
    <col min="15" max="15" width="13.25" style="39" bestFit="1" customWidth="1"/>
    <col min="16" max="16" width="11.25" style="39" bestFit="1" customWidth="1"/>
    <col min="17" max="17" width="0.875" style="39" customWidth="1"/>
    <col min="18" max="18" width="9.25" style="39" bestFit="1" customWidth="1"/>
    <col min="19" max="19" width="8.75" style="39" bestFit="1" customWidth="1"/>
    <col min="20" max="20" width="0.875" style="39" customWidth="1"/>
    <col min="21" max="21" width="34.5" style="39" bestFit="1" customWidth="1"/>
    <col min="22" max="16384" width="10.25" style="39"/>
  </cols>
  <sheetData>
    <row r="1" spans="1:21" x14ac:dyDescent="0.2">
      <c r="A1" s="29" t="str">
        <f>'Exh CTM-6 (Rate Spread)'!A1</f>
        <v>Puget Sound Energy</v>
      </c>
      <c r="B1" s="29"/>
      <c r="C1" s="29"/>
      <c r="D1" s="29"/>
      <c r="E1" s="29"/>
      <c r="F1" s="29"/>
      <c r="G1" s="29"/>
      <c r="H1" s="29"/>
      <c r="I1" s="29"/>
      <c r="J1" s="29"/>
      <c r="K1" s="29"/>
      <c r="L1" s="29"/>
      <c r="M1" s="29"/>
      <c r="N1" s="29"/>
      <c r="O1" s="29"/>
      <c r="P1" s="29"/>
      <c r="Q1" s="29"/>
      <c r="R1" s="29"/>
      <c r="S1" s="29"/>
      <c r="T1" s="29"/>
      <c r="U1" s="29"/>
    </row>
    <row r="2" spans="1:21" x14ac:dyDescent="0.2">
      <c r="A2" s="29" t="str">
        <f>'Exh CTM-6 (Rate Spread)'!A2</f>
        <v>2024 General Rate Case Docket No. UE-240004 and UG-240005</v>
      </c>
      <c r="B2" s="29"/>
      <c r="C2" s="29"/>
      <c r="D2" s="29"/>
      <c r="E2" s="29"/>
      <c r="F2" s="29"/>
      <c r="G2" s="29"/>
      <c r="H2" s="29"/>
      <c r="I2" s="29"/>
      <c r="J2" s="29"/>
      <c r="K2" s="29"/>
      <c r="L2" s="29"/>
      <c r="M2" s="29"/>
      <c r="N2" s="29"/>
      <c r="O2" s="29"/>
      <c r="P2" s="29"/>
      <c r="Q2" s="29"/>
      <c r="R2" s="29"/>
      <c r="S2" s="29"/>
      <c r="T2" s="29"/>
      <c r="U2" s="29"/>
    </row>
    <row r="3" spans="1:21" x14ac:dyDescent="0.2">
      <c r="A3" s="29" t="str">
        <f>'Exh CTM-6 (Rate Spread)'!A3</f>
        <v xml:space="preserve">2024 GRC Test year: 12 Months ended June 30, 2023 and MYRP 2025, MYRP 2026 </v>
      </c>
      <c r="B3" s="29"/>
      <c r="C3" s="29"/>
      <c r="D3" s="29"/>
      <c r="E3" s="29"/>
      <c r="F3" s="29"/>
      <c r="G3" s="29"/>
      <c r="H3" s="29"/>
      <c r="I3" s="29"/>
      <c r="J3" s="29"/>
      <c r="K3" s="29"/>
      <c r="L3" s="29"/>
      <c r="M3" s="29"/>
      <c r="N3" s="29"/>
      <c r="O3" s="29"/>
      <c r="P3" s="29"/>
      <c r="Q3" s="29"/>
      <c r="R3" s="29"/>
      <c r="S3" s="29"/>
      <c r="T3" s="29"/>
      <c r="U3" s="29"/>
    </row>
    <row r="4" spans="1:21" x14ac:dyDescent="0.2">
      <c r="A4" s="29" t="s">
        <v>421</v>
      </c>
      <c r="B4" s="29"/>
      <c r="C4" s="29"/>
      <c r="D4" s="29"/>
      <c r="E4" s="29"/>
      <c r="F4" s="29"/>
      <c r="G4" s="29"/>
      <c r="H4" s="29"/>
      <c r="I4" s="29"/>
      <c r="J4" s="29"/>
      <c r="K4" s="29"/>
      <c r="L4" s="29"/>
      <c r="M4" s="29"/>
      <c r="N4" s="29"/>
      <c r="O4" s="29"/>
      <c r="P4" s="29"/>
      <c r="Q4" s="29"/>
      <c r="R4" s="29"/>
      <c r="S4" s="29"/>
      <c r="T4" s="29"/>
      <c r="U4" s="29"/>
    </row>
    <row r="5" spans="1:21" x14ac:dyDescent="0.2">
      <c r="A5" s="29" t="s">
        <v>324</v>
      </c>
      <c r="B5" s="29"/>
      <c r="C5" s="29"/>
      <c r="D5" s="29"/>
      <c r="E5" s="29"/>
      <c r="F5" s="29"/>
      <c r="G5" s="29"/>
      <c r="H5" s="29"/>
      <c r="I5" s="29"/>
      <c r="J5" s="29"/>
      <c r="K5" s="29"/>
      <c r="L5" s="29"/>
      <c r="M5" s="29"/>
      <c r="N5" s="29"/>
      <c r="O5" s="29"/>
      <c r="P5" s="29"/>
      <c r="Q5" s="29"/>
      <c r="R5" s="29"/>
      <c r="S5" s="29"/>
      <c r="T5" s="29"/>
      <c r="U5" s="29"/>
    </row>
    <row r="6" spans="1:21" x14ac:dyDescent="0.2">
      <c r="B6" s="54"/>
      <c r="C6" s="27"/>
      <c r="D6" s="27"/>
      <c r="E6" s="27"/>
      <c r="F6" s="27"/>
      <c r="G6" s="27"/>
      <c r="H6" s="27"/>
      <c r="I6" s="27"/>
      <c r="J6" s="27"/>
      <c r="K6" s="27"/>
      <c r="L6" s="27"/>
      <c r="M6" s="27"/>
      <c r="N6" s="27"/>
      <c r="O6" s="27"/>
      <c r="P6" s="27"/>
      <c r="Q6" s="27"/>
      <c r="R6" s="27"/>
      <c r="S6" s="27"/>
      <c r="T6" s="27"/>
      <c r="U6" s="27"/>
    </row>
    <row r="7" spans="1:21" x14ac:dyDescent="0.2">
      <c r="B7" s="27"/>
      <c r="C7" s="27"/>
      <c r="D7" s="27"/>
      <c r="E7" s="27"/>
      <c r="F7" s="27"/>
      <c r="G7" s="27"/>
      <c r="H7" s="27"/>
      <c r="I7" s="27"/>
      <c r="J7" s="27"/>
      <c r="K7" s="27"/>
      <c r="L7" s="27"/>
      <c r="M7" s="27"/>
      <c r="N7" s="27"/>
      <c r="O7" s="27"/>
      <c r="P7" s="27"/>
      <c r="Q7" s="27"/>
      <c r="R7" s="27"/>
      <c r="S7" s="27"/>
      <c r="T7" s="27"/>
      <c r="U7" s="27"/>
    </row>
    <row r="8" spans="1:21" ht="15.75" customHeight="1" x14ac:dyDescent="0.2">
      <c r="B8" s="26"/>
      <c r="C8" s="403" t="s">
        <v>323</v>
      </c>
      <c r="D8" s="404"/>
      <c r="E8" s="405"/>
      <c r="F8" s="29"/>
      <c r="G8" s="403" t="s">
        <v>322</v>
      </c>
      <c r="H8" s="404"/>
      <c r="I8" s="405"/>
      <c r="J8" s="55"/>
      <c r="K8" s="372" t="s">
        <v>321</v>
      </c>
      <c r="L8" s="406"/>
      <c r="M8" s="407"/>
      <c r="N8" s="27"/>
      <c r="O8" s="373" t="s">
        <v>320</v>
      </c>
      <c r="P8" s="407"/>
      <c r="Q8" s="65"/>
      <c r="R8" s="404" t="s">
        <v>319</v>
      </c>
      <c r="S8" s="405"/>
      <c r="T8" s="65"/>
      <c r="U8" s="27"/>
    </row>
    <row r="9" spans="1:21" ht="22.5" x14ac:dyDescent="0.2">
      <c r="A9" s="34" t="s">
        <v>147</v>
      </c>
      <c r="B9" s="56" t="s">
        <v>318</v>
      </c>
      <c r="C9" s="276" t="s">
        <v>438</v>
      </c>
      <c r="D9" s="58" t="s">
        <v>164</v>
      </c>
      <c r="E9" s="59" t="s">
        <v>163</v>
      </c>
      <c r="F9" s="29"/>
      <c r="G9" s="57" t="s">
        <v>295</v>
      </c>
      <c r="H9" s="58" t="str">
        <f>D9</f>
        <v>MYRP 2025</v>
      </c>
      <c r="I9" s="59" t="str">
        <f>E9</f>
        <v>MYRP 2026</v>
      </c>
      <c r="J9" s="55"/>
      <c r="K9" s="57" t="str">
        <f>G9</f>
        <v>Test Year</v>
      </c>
      <c r="L9" s="58" t="str">
        <f>H9</f>
        <v>MYRP 2025</v>
      </c>
      <c r="M9" s="59" t="str">
        <f>I9</f>
        <v>MYRP 2026</v>
      </c>
      <c r="N9" s="27"/>
      <c r="O9" s="58" t="str">
        <f>H9</f>
        <v>MYRP 2025</v>
      </c>
      <c r="P9" s="59" t="str">
        <f>I9</f>
        <v>MYRP 2026</v>
      </c>
      <c r="Q9" s="65"/>
      <c r="R9" s="58" t="str">
        <f>O9</f>
        <v>MYRP 2025</v>
      </c>
      <c r="S9" s="59" t="str">
        <f>P9</f>
        <v>MYRP 2026</v>
      </c>
      <c r="T9" s="65"/>
      <c r="U9" s="60" t="s">
        <v>316</v>
      </c>
    </row>
    <row r="10" spans="1:21" x14ac:dyDescent="0.2">
      <c r="A10" s="61"/>
      <c r="B10" s="62" t="s">
        <v>137</v>
      </c>
      <c r="C10" s="62" t="s">
        <v>136</v>
      </c>
      <c r="D10" s="62" t="s">
        <v>135</v>
      </c>
      <c r="E10" s="62" t="s">
        <v>134</v>
      </c>
      <c r="F10" s="63"/>
      <c r="G10" s="62" t="s">
        <v>197</v>
      </c>
      <c r="H10" s="37" t="s">
        <v>132</v>
      </c>
      <c r="I10" s="37" t="s">
        <v>196</v>
      </c>
      <c r="J10" s="64"/>
      <c r="K10" s="62" t="s">
        <v>315</v>
      </c>
      <c r="L10" s="38" t="s">
        <v>314</v>
      </c>
      <c r="M10" s="38" t="s">
        <v>313</v>
      </c>
      <c r="N10" s="38"/>
      <c r="O10" s="37" t="s">
        <v>312</v>
      </c>
      <c r="P10" s="37" t="s">
        <v>311</v>
      </c>
      <c r="Q10" s="65"/>
      <c r="R10" s="37" t="s">
        <v>125</v>
      </c>
      <c r="S10" s="37" t="s">
        <v>124</v>
      </c>
      <c r="T10" s="65"/>
      <c r="U10" s="45" t="s">
        <v>123</v>
      </c>
    </row>
    <row r="11" spans="1:21" x14ac:dyDescent="0.2">
      <c r="A11" s="37">
        <v>1</v>
      </c>
      <c r="B11" s="66" t="s">
        <v>420</v>
      </c>
      <c r="C11" s="67"/>
      <c r="D11" s="27"/>
      <c r="E11" s="27"/>
      <c r="F11" s="29"/>
      <c r="G11" s="67"/>
      <c r="H11" s="27"/>
      <c r="I11" s="27"/>
      <c r="J11" s="55"/>
      <c r="K11" s="67"/>
      <c r="L11" s="67"/>
      <c r="M11" s="67"/>
      <c r="N11" s="67"/>
      <c r="O11" s="27"/>
      <c r="P11" s="27"/>
      <c r="Q11" s="65"/>
      <c r="R11" s="27"/>
      <c r="S11" s="27"/>
      <c r="T11" s="65"/>
      <c r="U11" s="54"/>
    </row>
    <row r="12" spans="1:21" x14ac:dyDescent="0.2">
      <c r="A12" s="37">
        <f t="shared" ref="A12:A43" si="0">A11+1</f>
        <v>2</v>
      </c>
      <c r="B12" s="43" t="s">
        <v>14</v>
      </c>
      <c r="F12" s="29"/>
      <c r="G12" s="68"/>
      <c r="H12" s="68"/>
      <c r="I12" s="68"/>
      <c r="J12" s="55"/>
      <c r="O12" s="68"/>
      <c r="T12" s="65"/>
    </row>
    <row r="13" spans="1:21" x14ac:dyDescent="0.2">
      <c r="A13" s="37">
        <f t="shared" si="0"/>
        <v>3</v>
      </c>
      <c r="B13" s="39" t="s">
        <v>55</v>
      </c>
      <c r="C13" s="69"/>
      <c r="D13" s="69"/>
      <c r="E13" s="69"/>
      <c r="F13" s="69"/>
      <c r="G13" s="68"/>
      <c r="H13" s="68"/>
      <c r="I13" s="68"/>
      <c r="J13" s="55"/>
      <c r="O13" s="68"/>
      <c r="T13" s="65"/>
    </row>
    <row r="14" spans="1:21" x14ac:dyDescent="0.2">
      <c r="A14" s="37">
        <f t="shared" si="0"/>
        <v>4</v>
      </c>
      <c r="B14" s="39" t="s">
        <v>290</v>
      </c>
      <c r="C14" s="69">
        <v>2991.9638938089124</v>
      </c>
      <c r="D14" s="69">
        <v>2991.9639794399654</v>
      </c>
      <c r="E14" s="69">
        <v>2991.9636224678661</v>
      </c>
      <c r="F14" s="69"/>
      <c r="G14" s="65">
        <f>'Exh CTM-6 (Rate Design)'!G14</f>
        <v>7.49</v>
      </c>
      <c r="H14" s="65">
        <f>'Exh CTM-6 (Rate Design)'!H14</f>
        <v>9.7370000000000001</v>
      </c>
      <c r="I14" s="65">
        <f>'Exh CTM-6 (Rate Design)'!I14</f>
        <v>12.658100000000001</v>
      </c>
      <c r="J14" s="55"/>
      <c r="K14" s="70">
        <f>G14*C14</f>
        <v>22409.809564628755</v>
      </c>
      <c r="L14" s="70">
        <f>G14*D14</f>
        <v>22409.810206005342</v>
      </c>
      <c r="M14" s="70">
        <f>G14*E14</f>
        <v>22409.807532284318</v>
      </c>
      <c r="N14" s="70"/>
      <c r="O14" s="70">
        <f>H14*D14</f>
        <v>29132.753267806944</v>
      </c>
      <c r="P14" s="70">
        <f>I14*E14</f>
        <v>37872.574729560496</v>
      </c>
      <c r="R14" s="3">
        <f>(H14-G14)/G14</f>
        <v>0.3</v>
      </c>
      <c r="S14" s="3">
        <f>(I14-H14)/H14</f>
        <v>0.3000000000000001</v>
      </c>
      <c r="T14" s="65"/>
      <c r="U14" s="39" t="s">
        <v>264</v>
      </c>
    </row>
    <row r="15" spans="1:21" x14ac:dyDescent="0.2">
      <c r="A15" s="37">
        <f t="shared" si="0"/>
        <v>5</v>
      </c>
      <c r="B15" s="39" t="s">
        <v>289</v>
      </c>
      <c r="C15" s="69">
        <v>1.0361061910877309</v>
      </c>
      <c r="D15" s="69">
        <v>1.0360205600345775</v>
      </c>
      <c r="E15" s="69">
        <v>1.0363775321337672</v>
      </c>
      <c r="F15" s="69"/>
      <c r="G15" s="65">
        <f>'Exh CTM-6 (Rate Design)'!G15</f>
        <v>17.989999999999998</v>
      </c>
      <c r="H15" s="65">
        <f>'Exh CTM-6 (Rate Design)'!H15</f>
        <v>23.387</v>
      </c>
      <c r="I15" s="65">
        <f>'Exh CTM-6 (Rate Design)'!I15</f>
        <v>30.403100000000002</v>
      </c>
      <c r="J15" s="55"/>
      <c r="K15" s="70">
        <f>G15*C15</f>
        <v>18.639550377668279</v>
      </c>
      <c r="L15" s="70">
        <f>G15*D15</f>
        <v>18.63800987502205</v>
      </c>
      <c r="M15" s="70">
        <f>G15*E15</f>
        <v>18.644431803086469</v>
      </c>
      <c r="N15" s="70"/>
      <c r="O15" s="70">
        <f>H15*D15</f>
        <v>24.229412837528667</v>
      </c>
      <c r="P15" s="70">
        <f>I15*E15</f>
        <v>31.509089747216137</v>
      </c>
      <c r="R15" s="49">
        <f>R14</f>
        <v>0.3</v>
      </c>
      <c r="S15" s="49">
        <f>S14</f>
        <v>0.3000000000000001</v>
      </c>
      <c r="T15" s="65"/>
      <c r="U15" s="39" t="s">
        <v>264</v>
      </c>
    </row>
    <row r="16" spans="1:21" x14ac:dyDescent="0.2">
      <c r="A16" s="37">
        <f t="shared" si="0"/>
        <v>6</v>
      </c>
      <c r="B16" s="46" t="s">
        <v>226</v>
      </c>
      <c r="C16" s="71">
        <f>SUM(C14:C15)</f>
        <v>2993</v>
      </c>
      <c r="D16" s="71">
        <f>SUM(D14:D15)</f>
        <v>2993</v>
      </c>
      <c r="E16" s="71">
        <f>SUM(E14:E15)</f>
        <v>2993</v>
      </c>
      <c r="F16" s="69"/>
      <c r="G16" s="277"/>
      <c r="H16" s="42"/>
      <c r="I16" s="42"/>
      <c r="J16" s="55"/>
      <c r="K16" s="72">
        <f>SUM(K14:K15)</f>
        <v>22428.449115006424</v>
      </c>
      <c r="L16" s="72">
        <f>SUM(L14:L15)</f>
        <v>22428.448215880366</v>
      </c>
      <c r="M16" s="72">
        <f>SUM(M14:M15)</f>
        <v>22428.451964087406</v>
      </c>
      <c r="N16" s="72"/>
      <c r="O16" s="72">
        <f>SUM(O14:O15)</f>
        <v>29156.982680644473</v>
      </c>
      <c r="P16" s="72">
        <f>SUM(P14:P15)</f>
        <v>37904.083819307714</v>
      </c>
      <c r="R16" s="49"/>
      <c r="S16" s="49"/>
      <c r="T16" s="65"/>
    </row>
    <row r="17" spans="1:21" x14ac:dyDescent="0.2">
      <c r="A17" s="37">
        <f t="shared" si="0"/>
        <v>7</v>
      </c>
      <c r="B17" s="39" t="s">
        <v>54</v>
      </c>
      <c r="C17" s="69"/>
      <c r="D17" s="69"/>
      <c r="E17" s="69"/>
      <c r="F17" s="69"/>
      <c r="G17" s="277"/>
      <c r="J17" s="55"/>
      <c r="K17" s="70"/>
      <c r="L17" s="70"/>
      <c r="M17" s="70"/>
      <c r="N17" s="70"/>
      <c r="O17" s="70"/>
      <c r="P17" s="70"/>
      <c r="R17" s="23"/>
      <c r="S17" s="23"/>
      <c r="T17" s="65"/>
      <c r="U17" s="40"/>
    </row>
    <row r="18" spans="1:21" x14ac:dyDescent="0.2">
      <c r="A18" s="37">
        <f t="shared" si="0"/>
        <v>8</v>
      </c>
      <c r="B18" s="50" t="s">
        <v>4</v>
      </c>
      <c r="C18" s="69"/>
      <c r="D18" s="69"/>
      <c r="E18" s="69"/>
      <c r="F18" s="69"/>
      <c r="G18" s="277"/>
      <c r="J18" s="55"/>
      <c r="K18" s="70"/>
      <c r="L18" s="70"/>
      <c r="M18" s="70"/>
      <c r="N18" s="70"/>
      <c r="O18" s="70"/>
      <c r="P18" s="70"/>
      <c r="R18" s="23"/>
      <c r="S18" s="23"/>
      <c r="T18" s="65"/>
      <c r="U18" s="40"/>
    </row>
    <row r="19" spans="1:21" x14ac:dyDescent="0.2">
      <c r="A19" s="37">
        <f t="shared" si="0"/>
        <v>9</v>
      </c>
      <c r="B19" s="48" t="s">
        <v>2</v>
      </c>
      <c r="C19" s="69">
        <v>340878.96709442546</v>
      </c>
      <c r="D19" s="69">
        <v>243800.25183111819</v>
      </c>
      <c r="E19" s="69">
        <v>246963.97699044101</v>
      </c>
      <c r="F19" s="69"/>
      <c r="G19" s="82">
        <v>0.31277594489026139</v>
      </c>
      <c r="H19" s="73">
        <f>G19*(1+R19)</f>
        <v>0.4440332272908431</v>
      </c>
      <c r="I19" s="73">
        <f>H19*(1+S19)</f>
        <v>0.47594864136265069</v>
      </c>
      <c r="J19" s="55"/>
      <c r="K19" s="70">
        <f>G19*C19</f>
        <v>106618.74102617524</v>
      </c>
      <c r="L19" s="70">
        <f>G19*D19</f>
        <v>76254.85413096167</v>
      </c>
      <c r="M19" s="70">
        <f>G19*E19</f>
        <v>77244.391257041963</v>
      </c>
      <c r="N19" s="70"/>
      <c r="O19" s="70">
        <f>H19*D19</f>
        <v>108255.41263489169</v>
      </c>
      <c r="P19" s="70">
        <f>I19*E19</f>
        <v>117542.16931411733</v>
      </c>
      <c r="R19" s="3">
        <f>((D24*R30)-L24)/L24</f>
        <v>0.41965274038779998</v>
      </c>
      <c r="S19" s="3">
        <f>((S30*E24))/((H19*E19)+(H20*E20)+(H22*E22)+(H23*E23))-1</f>
        <v>7.1876184281368882E-2</v>
      </c>
      <c r="T19" s="65"/>
      <c r="U19" s="43" t="s">
        <v>230</v>
      </c>
    </row>
    <row r="20" spans="1:21" x14ac:dyDescent="0.2">
      <c r="A20" s="37">
        <f t="shared" si="0"/>
        <v>10</v>
      </c>
      <c r="B20" s="48" t="s">
        <v>1</v>
      </c>
      <c r="C20" s="69">
        <v>1676681.0983099786</v>
      </c>
      <c r="D20" s="69">
        <v>1199180.1004701341</v>
      </c>
      <c r="E20" s="69">
        <v>1214741.5128391613</v>
      </c>
      <c r="F20" s="69"/>
      <c r="G20" s="82">
        <v>6.355829802738279E-2</v>
      </c>
      <c r="H20" s="73">
        <f>G20*(1+R20)</f>
        <v>9.0230711968958488E-2</v>
      </c>
      <c r="I20" s="73">
        <f>H20*(1+S20)</f>
        <v>9.6716151250278465E-2</v>
      </c>
      <c r="J20" s="55"/>
      <c r="K20" s="70">
        <f>G20*C20</f>
        <v>106566.99694326513</v>
      </c>
      <c r="L20" s="70">
        <f>G20*D20</f>
        <v>76217.846214187623</v>
      </c>
      <c r="M20" s="70">
        <f>G20*E20</f>
        <v>77206.903099265255</v>
      </c>
      <c r="N20" s="70"/>
      <c r="O20" s="70">
        <f>H20*D20</f>
        <v>108202.87424442737</v>
      </c>
      <c r="P20" s="70">
        <f>I20*E20</f>
        <v>117485.12388574441</v>
      </c>
      <c r="R20" s="23">
        <f>R19</f>
        <v>0.41965274038779998</v>
      </c>
      <c r="S20" s="23">
        <f>S19</f>
        <v>7.1876184281368882E-2</v>
      </c>
      <c r="T20" s="65"/>
      <c r="U20" s="43" t="s">
        <v>230</v>
      </c>
    </row>
    <row r="21" spans="1:21" x14ac:dyDescent="0.2">
      <c r="A21" s="37">
        <f t="shared" si="0"/>
        <v>11</v>
      </c>
      <c r="B21" s="41" t="s">
        <v>3</v>
      </c>
      <c r="C21" s="69"/>
      <c r="D21" s="69"/>
      <c r="E21" s="69"/>
      <c r="F21" s="69"/>
      <c r="G21" s="82"/>
      <c r="H21" s="73"/>
      <c r="I21" s="73"/>
      <c r="J21" s="55"/>
      <c r="K21" s="70"/>
      <c r="L21" s="70"/>
      <c r="M21" s="70"/>
      <c r="N21" s="70"/>
      <c r="O21" s="70"/>
      <c r="P21" s="70"/>
      <c r="R21" s="8"/>
      <c r="S21" s="8"/>
      <c r="T21" s="65"/>
      <c r="U21" s="43"/>
    </row>
    <row r="22" spans="1:21" x14ac:dyDescent="0.2">
      <c r="A22" s="37">
        <f t="shared" si="0"/>
        <v>12</v>
      </c>
      <c r="B22" s="48" t="s">
        <v>2</v>
      </c>
      <c r="C22" s="69">
        <v>122887.41277338543</v>
      </c>
      <c r="D22" s="69">
        <v>173347.79500539272</v>
      </c>
      <c r="E22" s="69">
        <v>172963.16611336794</v>
      </c>
      <c r="F22" s="69"/>
      <c r="G22" s="82">
        <v>0.19689967280428364</v>
      </c>
      <c r="H22" s="73">
        <f>G22*(1+R22)</f>
        <v>0.27952916007806244</v>
      </c>
      <c r="I22" s="73">
        <f>H22*(1+S22)</f>
        <v>0.29962064949984951</v>
      </c>
      <c r="J22" s="55"/>
      <c r="K22" s="70">
        <f>G22*C22</f>
        <v>24196.491366844537</v>
      </c>
      <c r="L22" s="70">
        <f>G22*D22</f>
        <v>34132.124117905863</v>
      </c>
      <c r="M22" s="70">
        <f>G22*E22</f>
        <v>34056.39081491511</v>
      </c>
      <c r="N22" s="70"/>
      <c r="O22" s="70">
        <f>H22*D22</f>
        <v>48455.763539241576</v>
      </c>
      <c r="P22" s="70">
        <f>I22*E22</f>
        <v>51823.336170437666</v>
      </c>
      <c r="R22" s="23">
        <f>R20</f>
        <v>0.41965274038779998</v>
      </c>
      <c r="S22" s="23">
        <f>S20</f>
        <v>7.1876184281368882E-2</v>
      </c>
      <c r="T22" s="65"/>
      <c r="U22" s="43" t="s">
        <v>230</v>
      </c>
    </row>
    <row r="23" spans="1:21" x14ac:dyDescent="0.2">
      <c r="A23" s="37">
        <f t="shared" si="0"/>
        <v>13</v>
      </c>
      <c r="B23" s="48" t="s">
        <v>1</v>
      </c>
      <c r="C23" s="69">
        <v>1282637.3708222103</v>
      </c>
      <c r="D23" s="69">
        <v>1809317.6103687864</v>
      </c>
      <c r="E23" s="69">
        <v>1805303.0463082781</v>
      </c>
      <c r="F23" s="69"/>
      <c r="G23" s="82">
        <v>6.355829802738279E-2</v>
      </c>
      <c r="H23" s="73">
        <f>G23*(1+R23)</f>
        <v>9.0230711968958488E-2</v>
      </c>
      <c r="I23" s="73">
        <f>H23*(1+S23)</f>
        <v>9.6716151250278465E-2</v>
      </c>
      <c r="J23" s="55"/>
      <c r="K23" s="70">
        <f>G23*C23</f>
        <v>81522.248275776743</v>
      </c>
      <c r="L23" s="70">
        <f>G23*D23</f>
        <v>114997.14790601138</v>
      </c>
      <c r="M23" s="70">
        <f>G23*E23</f>
        <v>114741.98904700358</v>
      </c>
      <c r="N23" s="70"/>
      <c r="O23" s="70">
        <f>H23*D23</f>
        <v>163256.01616155021</v>
      </c>
      <c r="P23" s="70">
        <f>I23*E23</f>
        <v>174601.96247933988</v>
      </c>
      <c r="R23" s="23">
        <f>R22</f>
        <v>0.41965274038779998</v>
      </c>
      <c r="S23" s="23">
        <f>S22</f>
        <v>7.1876184281368882E-2</v>
      </c>
      <c r="T23" s="65"/>
      <c r="U23" s="43" t="s">
        <v>230</v>
      </c>
    </row>
    <row r="24" spans="1:21" x14ac:dyDescent="0.2">
      <c r="A24" s="37">
        <f t="shared" si="0"/>
        <v>14</v>
      </c>
      <c r="B24" s="46" t="s">
        <v>226</v>
      </c>
      <c r="C24" s="71">
        <f>SUM(C19:C23)</f>
        <v>3423084.8489999999</v>
      </c>
      <c r="D24" s="71">
        <f>SUM(D19:D23)</f>
        <v>3425645.7576754317</v>
      </c>
      <c r="E24" s="71">
        <f>SUM(E19:E23)</f>
        <v>3439971.7022512485</v>
      </c>
      <c r="F24" s="69"/>
      <c r="G24" s="74"/>
      <c r="H24" s="74"/>
      <c r="I24" s="74"/>
      <c r="J24" s="55"/>
      <c r="K24" s="72">
        <f>SUM(K19:K23)</f>
        <v>318904.47761206166</v>
      </c>
      <c r="L24" s="72">
        <f>SUM(L19:L23)</f>
        <v>301601.97236906656</v>
      </c>
      <c r="M24" s="72">
        <f>SUM(M19:M23)</f>
        <v>303249.67421822587</v>
      </c>
      <c r="N24" s="72"/>
      <c r="O24" s="72">
        <f>SUM(O19:O23)</f>
        <v>428170.06658011081</v>
      </c>
      <c r="P24" s="72">
        <f>SUM(P19:P23)</f>
        <v>461452.59184963931</v>
      </c>
      <c r="T24" s="65"/>
    </row>
    <row r="25" spans="1:21" x14ac:dyDescent="0.2">
      <c r="A25" s="37">
        <f t="shared" si="0"/>
        <v>15</v>
      </c>
      <c r="B25" s="50" t="s">
        <v>229</v>
      </c>
      <c r="C25" s="278">
        <f>(C24/'Exh CTM-6 (Rate Design)'!$C$20)*'Exh CTM-6 (Rate Design)'!$C$21</f>
        <v>-148726.84449319489</v>
      </c>
      <c r="D25" s="75" t="s">
        <v>227</v>
      </c>
      <c r="E25" s="75"/>
      <c r="F25" s="69"/>
      <c r="G25" s="73">
        <f>'Exh CTM-6 (Rate Design)'!$G$21</f>
        <v>0.10632400043777007</v>
      </c>
      <c r="H25" s="74"/>
      <c r="I25" s="74"/>
      <c r="J25" s="55"/>
      <c r="K25" s="70">
        <f>G25*C25</f>
        <v>-15813.233079002615</v>
      </c>
      <c r="L25" s="70">
        <f>G25*D25</f>
        <v>0</v>
      </c>
      <c r="M25" s="70">
        <f>G25*E25</f>
        <v>0</v>
      </c>
      <c r="N25" s="70"/>
      <c r="O25" s="70">
        <f>H25*D25</f>
        <v>0</v>
      </c>
      <c r="P25" s="70">
        <f>I25*E25</f>
        <v>0</v>
      </c>
      <c r="T25" s="65"/>
    </row>
    <row r="26" spans="1:21" x14ac:dyDescent="0.2">
      <c r="A26" s="37">
        <f t="shared" si="0"/>
        <v>16</v>
      </c>
      <c r="B26" s="50" t="s">
        <v>228</v>
      </c>
      <c r="C26" s="278">
        <f>(C24/'Exh CTM-6 (Rate Design)'!$C$20)*'Exh CTM-6 (Rate Design)'!$C$22</f>
        <v>5439.879744460186</v>
      </c>
      <c r="D26" s="75" t="s">
        <v>227</v>
      </c>
      <c r="E26" s="75"/>
      <c r="F26" s="69"/>
      <c r="G26" s="73">
        <f>'Exh CTM-6 (Rate Design)'!$G$22</f>
        <v>0.10585622997633853</v>
      </c>
      <c r="H26" s="74"/>
      <c r="I26" s="74"/>
      <c r="J26" s="55"/>
      <c r="K26" s="279">
        <f>G26*C26</f>
        <v>575.84516127320319</v>
      </c>
      <c r="L26" s="70">
        <f>G26*D26</f>
        <v>0</v>
      </c>
      <c r="M26" s="70">
        <f>G26*E26</f>
        <v>0</v>
      </c>
      <c r="N26" s="70"/>
      <c r="O26" s="70">
        <f>H26*D26</f>
        <v>0</v>
      </c>
      <c r="P26" s="70">
        <f>I26*E26</f>
        <v>0</v>
      </c>
      <c r="T26" s="65"/>
    </row>
    <row r="27" spans="1:21" ht="12" thickBot="1" x14ac:dyDescent="0.25">
      <c r="A27" s="37">
        <f t="shared" si="0"/>
        <v>17</v>
      </c>
      <c r="B27" s="46" t="s">
        <v>226</v>
      </c>
      <c r="C27" s="76">
        <f>SUM(C24:C26)</f>
        <v>3279797.8842512653</v>
      </c>
      <c r="D27" s="76">
        <f>SUM(D24:D26)</f>
        <v>3425645.7576754317</v>
      </c>
      <c r="E27" s="76">
        <f>SUM(E24:E26)</f>
        <v>3439971.7022512485</v>
      </c>
      <c r="F27" s="69"/>
      <c r="G27" s="73"/>
      <c r="H27" s="74"/>
      <c r="I27" s="74"/>
      <c r="J27" s="55"/>
      <c r="K27" s="70">
        <f>SUM(K24:K26)</f>
        <v>303667.08969433227</v>
      </c>
      <c r="L27" s="72">
        <f>SUM(L24:L26)</f>
        <v>301601.97236906656</v>
      </c>
      <c r="M27" s="72">
        <f>SUM(M24:M26)</f>
        <v>303249.67421822587</v>
      </c>
      <c r="N27" s="72"/>
      <c r="O27" s="72">
        <f>SUM(O24:O26)</f>
        <v>428170.06658011081</v>
      </c>
      <c r="P27" s="72">
        <f>SUM(P24:P26)</f>
        <v>461452.59184963931</v>
      </c>
      <c r="T27" s="65"/>
    </row>
    <row r="28" spans="1:21" ht="12.75" thickTop="1" thickBot="1" x14ac:dyDescent="0.25">
      <c r="A28" s="37">
        <f t="shared" si="0"/>
        <v>18</v>
      </c>
      <c r="B28" s="39" t="s">
        <v>308</v>
      </c>
      <c r="G28" s="77">
        <f>K28/C27</f>
        <v>9.9425498252549191E-2</v>
      </c>
      <c r="H28" s="77">
        <f>O28/D27</f>
        <v>0.13350097517703857</v>
      </c>
      <c r="I28" s="77">
        <f>P28/E27</f>
        <v>0.14516301844638693</v>
      </c>
      <c r="J28" s="55"/>
      <c r="K28" s="78">
        <f>SUM(K27,K16)</f>
        <v>326095.5388093387</v>
      </c>
      <c r="L28" s="78">
        <f>SUM(L27,L16)</f>
        <v>324030.42058494693</v>
      </c>
      <c r="M28" s="78">
        <f>SUM(M27,M16)</f>
        <v>325678.12618231331</v>
      </c>
      <c r="N28" s="78"/>
      <c r="O28" s="78">
        <f>SUM(O27,O16)</f>
        <v>457327.0492607553</v>
      </c>
      <c r="P28" s="78">
        <f>SUM(P27,P16)</f>
        <v>499356.67566894705</v>
      </c>
      <c r="R28" s="78"/>
      <c r="S28" s="78"/>
      <c r="T28" s="70"/>
    </row>
    <row r="29" spans="1:21" ht="12" thickTop="1" x14ac:dyDescent="0.2">
      <c r="A29" s="37">
        <f t="shared" si="0"/>
        <v>19</v>
      </c>
      <c r="G29" s="73"/>
      <c r="H29" s="73"/>
      <c r="I29" s="73"/>
      <c r="J29" s="55"/>
      <c r="K29" s="70"/>
      <c r="L29" s="70"/>
      <c r="M29" s="70"/>
      <c r="N29" s="70"/>
      <c r="O29" s="70"/>
      <c r="P29" s="70"/>
      <c r="R29" s="70"/>
      <c r="S29" s="70"/>
      <c r="T29" s="70"/>
    </row>
    <row r="30" spans="1:21" x14ac:dyDescent="0.2">
      <c r="A30" s="37">
        <f t="shared" si="0"/>
        <v>20</v>
      </c>
      <c r="B30" s="43" t="s">
        <v>224</v>
      </c>
      <c r="G30" s="73"/>
      <c r="H30" s="73"/>
      <c r="I30" s="73"/>
      <c r="J30" s="55"/>
      <c r="K30" s="70"/>
      <c r="L30" s="70"/>
      <c r="M30" s="70"/>
      <c r="N30" s="70"/>
      <c r="O30" s="70"/>
      <c r="P30" s="70"/>
      <c r="R30" s="82">
        <f>'Exh CTM-6 (Rate Design)'!O20/'Exh CTM-6 (Rate Design)'!D20</f>
        <v>0.12498959228950098</v>
      </c>
      <c r="S30" s="82">
        <f>'Exh CTM-6 (Rate Design)'!P20/'Exh CTM-6 (Rate Design)'!E20</f>
        <v>0.13414429878816941</v>
      </c>
      <c r="T30" s="70"/>
    </row>
    <row r="31" spans="1:21" x14ac:dyDescent="0.2">
      <c r="A31" s="37">
        <f t="shared" si="0"/>
        <v>21</v>
      </c>
      <c r="B31" s="43" t="s">
        <v>223</v>
      </c>
      <c r="C31" s="3"/>
      <c r="D31" s="280"/>
      <c r="G31" s="73"/>
      <c r="H31" s="73"/>
      <c r="I31" s="73"/>
      <c r="J31" s="55"/>
      <c r="K31" s="70"/>
      <c r="L31" s="70"/>
      <c r="M31" s="70"/>
      <c r="N31" s="70"/>
      <c r="O31" s="70"/>
      <c r="P31" s="281" t="s">
        <v>160</v>
      </c>
      <c r="R31" s="82">
        <f>O24/D24-R30</f>
        <v>0</v>
      </c>
      <c r="S31" s="82">
        <f>P24/E24-S30</f>
        <v>0</v>
      </c>
      <c r="T31" s="70"/>
    </row>
    <row r="32" spans="1:21" x14ac:dyDescent="0.2">
      <c r="A32" s="37">
        <f t="shared" si="0"/>
        <v>22</v>
      </c>
      <c r="B32" s="43"/>
      <c r="C32" s="3"/>
      <c r="D32" s="280"/>
      <c r="G32" s="73"/>
      <c r="H32" s="73"/>
      <c r="I32" s="73"/>
      <c r="J32" s="55"/>
      <c r="K32" s="70"/>
      <c r="L32" s="70"/>
      <c r="M32" s="70"/>
      <c r="N32" s="70"/>
      <c r="O32" s="25"/>
      <c r="P32" s="70"/>
      <c r="R32" s="70"/>
      <c r="S32" s="82"/>
      <c r="T32" s="70"/>
    </row>
    <row r="33" spans="1:21" x14ac:dyDescent="0.2">
      <c r="A33" s="37">
        <f t="shared" si="0"/>
        <v>23</v>
      </c>
      <c r="B33" s="43"/>
      <c r="C33" s="3"/>
      <c r="D33" s="280"/>
      <c r="E33" s="63" t="s">
        <v>396</v>
      </c>
      <c r="F33" s="63"/>
      <c r="G33" s="79"/>
      <c r="H33" s="79"/>
      <c r="I33" s="79"/>
      <c r="J33" s="55"/>
      <c r="K33" s="70"/>
      <c r="L33" s="70"/>
      <c r="M33" s="70"/>
      <c r="N33" s="70"/>
      <c r="O33" s="70"/>
      <c r="P33" s="70"/>
      <c r="R33" s="82"/>
      <c r="S33" s="82"/>
      <c r="T33" s="70"/>
    </row>
    <row r="34" spans="1:21" x14ac:dyDescent="0.2">
      <c r="A34" s="37">
        <f t="shared" si="0"/>
        <v>24</v>
      </c>
      <c r="E34" s="80" t="s">
        <v>395</v>
      </c>
      <c r="F34" s="81"/>
      <c r="G34" s="80" t="s">
        <v>394</v>
      </c>
      <c r="H34" s="80" t="s">
        <v>393</v>
      </c>
      <c r="I34" s="80" t="s">
        <v>392</v>
      </c>
      <c r="J34" s="55"/>
      <c r="K34" s="7"/>
      <c r="L34" s="7"/>
      <c r="M34" s="7"/>
      <c r="N34" s="7"/>
      <c r="O34" s="70"/>
      <c r="P34" s="70"/>
      <c r="R34" s="82"/>
      <c r="S34" s="82"/>
      <c r="T34" s="70"/>
    </row>
    <row r="35" spans="1:21" x14ac:dyDescent="0.2">
      <c r="A35" s="37">
        <f t="shared" si="0"/>
        <v>25</v>
      </c>
      <c r="B35" s="83"/>
      <c r="C35" s="68"/>
      <c r="D35" s="83" t="s">
        <v>4</v>
      </c>
      <c r="E35" s="37" t="s">
        <v>419</v>
      </c>
      <c r="G35" s="22">
        <f>(G19/G20)</f>
        <v>4.9210874834236167</v>
      </c>
      <c r="H35" s="22">
        <f>(H19/H20)</f>
        <v>4.9210874834236167</v>
      </c>
      <c r="I35" s="22">
        <f>I19/I20</f>
        <v>4.9210874834236167</v>
      </c>
      <c r="J35" s="55"/>
      <c r="K35" s="68"/>
      <c r="L35" s="70"/>
      <c r="M35" s="70"/>
      <c r="N35" s="70"/>
      <c r="O35" s="70"/>
      <c r="P35" s="70"/>
      <c r="R35" s="70"/>
      <c r="S35" s="70"/>
      <c r="T35" s="84"/>
    </row>
    <row r="36" spans="1:21" x14ac:dyDescent="0.2">
      <c r="A36" s="37">
        <f t="shared" si="0"/>
        <v>26</v>
      </c>
      <c r="B36" s="83"/>
      <c r="C36" s="68"/>
      <c r="D36" s="83" t="s">
        <v>3</v>
      </c>
      <c r="E36" s="85" t="s">
        <v>418</v>
      </c>
      <c r="F36" s="86"/>
      <c r="G36" s="24">
        <f>G22/G23</f>
        <v>3.0979380964457772</v>
      </c>
      <c r="H36" s="24">
        <f>H22/H23</f>
        <v>3.0979380964457768</v>
      </c>
      <c r="I36" s="24">
        <f>I22/I23</f>
        <v>3.0979380964457768</v>
      </c>
      <c r="J36" s="55"/>
      <c r="K36" s="68"/>
      <c r="L36" s="70"/>
      <c r="M36" s="70"/>
      <c r="N36" s="70"/>
      <c r="O36" s="70"/>
      <c r="P36" s="70"/>
      <c r="R36" s="70"/>
      <c r="S36" s="70"/>
      <c r="T36" s="84"/>
    </row>
    <row r="37" spans="1:21" x14ac:dyDescent="0.2">
      <c r="A37" s="37">
        <f t="shared" si="0"/>
        <v>27</v>
      </c>
      <c r="B37" s="87"/>
      <c r="C37" s="86"/>
      <c r="D37" s="86"/>
      <c r="E37" s="86"/>
      <c r="F37" s="86"/>
      <c r="G37" s="88"/>
      <c r="H37" s="5"/>
      <c r="I37" s="5"/>
      <c r="J37" s="86"/>
      <c r="K37" s="86"/>
      <c r="L37" s="86"/>
      <c r="M37" s="86"/>
      <c r="N37" s="86"/>
      <c r="O37" s="86" t="s">
        <v>307</v>
      </c>
      <c r="P37" s="86"/>
      <c r="Q37" s="86"/>
      <c r="R37" s="86"/>
      <c r="S37" s="86"/>
      <c r="T37" s="86"/>
    </row>
    <row r="38" spans="1:21" x14ac:dyDescent="0.2">
      <c r="A38" s="37">
        <f t="shared" si="0"/>
        <v>28</v>
      </c>
      <c r="P38" s="84"/>
    </row>
    <row r="39" spans="1:21" x14ac:dyDescent="0.2">
      <c r="A39" s="37">
        <f t="shared" si="0"/>
        <v>29</v>
      </c>
      <c r="B39" s="66" t="s">
        <v>417</v>
      </c>
      <c r="C39" s="67"/>
      <c r="D39" s="27"/>
      <c r="E39" s="27"/>
      <c r="F39" s="29"/>
      <c r="G39" s="67"/>
      <c r="H39" s="27"/>
      <c r="I39" s="27"/>
      <c r="J39" s="55"/>
      <c r="K39" s="67"/>
      <c r="L39" s="67"/>
      <c r="M39" s="67"/>
      <c r="N39" s="67"/>
      <c r="O39" s="27"/>
      <c r="P39" s="27"/>
      <c r="Q39" s="65"/>
      <c r="R39" s="27"/>
      <c r="S39" s="27"/>
      <c r="T39" s="65"/>
      <c r="U39" s="54"/>
    </row>
    <row r="40" spans="1:21" x14ac:dyDescent="0.2">
      <c r="A40" s="37">
        <f t="shared" si="0"/>
        <v>30</v>
      </c>
      <c r="B40" s="43" t="s">
        <v>14</v>
      </c>
      <c r="F40" s="29"/>
      <c r="G40" s="68"/>
      <c r="H40" s="68"/>
      <c r="I40" s="68"/>
      <c r="J40" s="55"/>
      <c r="O40" s="68"/>
      <c r="T40" s="65"/>
    </row>
    <row r="41" spans="1:21" x14ac:dyDescent="0.2">
      <c r="A41" s="37">
        <f t="shared" si="0"/>
        <v>31</v>
      </c>
      <c r="B41" s="39" t="s">
        <v>55</v>
      </c>
      <c r="C41" s="69"/>
      <c r="D41" s="69"/>
      <c r="E41" s="69"/>
      <c r="F41" s="69"/>
      <c r="G41" s="68"/>
      <c r="H41" s="68"/>
      <c r="I41" s="68"/>
      <c r="J41" s="55"/>
      <c r="O41" s="68"/>
      <c r="T41" s="65"/>
    </row>
    <row r="42" spans="1:21" x14ac:dyDescent="0.2">
      <c r="A42" s="37">
        <f t="shared" si="0"/>
        <v>32</v>
      </c>
      <c r="B42" s="39" t="s">
        <v>290</v>
      </c>
      <c r="C42" s="69">
        <v>4530.4311282131612</v>
      </c>
      <c r="D42" s="69">
        <v>4530.4312578756844</v>
      </c>
      <c r="E42" s="69">
        <v>4530.4307173486031</v>
      </c>
      <c r="F42" s="69"/>
      <c r="G42" s="65">
        <f>'Exh CTM-6 (Rate Design)'!G14</f>
        <v>7.49</v>
      </c>
      <c r="H42" s="65">
        <f>'Exh CTM-6 (Rate Design)'!H14</f>
        <v>9.7370000000000001</v>
      </c>
      <c r="I42" s="65">
        <f>'Exh CTM-6 (Rate Design)'!I14</f>
        <v>12.658100000000001</v>
      </c>
      <c r="J42" s="55"/>
      <c r="K42" s="70">
        <f>G42*C42</f>
        <v>33932.92915031658</v>
      </c>
      <c r="L42" s="70">
        <f>G42*D42</f>
        <v>33932.930121488876</v>
      </c>
      <c r="M42" s="70">
        <f>G42*E42</f>
        <v>33932.926072941038</v>
      </c>
      <c r="N42" s="70"/>
      <c r="O42" s="70">
        <f>H42*D42</f>
        <v>44112.809157935539</v>
      </c>
      <c r="P42" s="70">
        <f>I42*E42</f>
        <v>57346.645063270356</v>
      </c>
      <c r="R42" s="3">
        <f>(H42-G42)/G42</f>
        <v>0.3</v>
      </c>
      <c r="S42" s="3">
        <f>(I42-H42)/H42</f>
        <v>0.3000000000000001</v>
      </c>
      <c r="T42" s="65"/>
      <c r="U42" s="39" t="s">
        <v>264</v>
      </c>
    </row>
    <row r="43" spans="1:21" x14ac:dyDescent="0.2">
      <c r="A43" s="37">
        <f t="shared" si="0"/>
        <v>33</v>
      </c>
      <c r="B43" s="39" t="s">
        <v>289</v>
      </c>
      <c r="C43" s="69">
        <v>1.5688717868391571</v>
      </c>
      <c r="D43" s="69">
        <v>1.5687421243156383</v>
      </c>
      <c r="E43" s="69">
        <v>1.5692826513966698</v>
      </c>
      <c r="F43" s="69"/>
      <c r="G43" s="65">
        <f>'Exh CTM-6 (Rate Design)'!G15</f>
        <v>17.989999999999998</v>
      </c>
      <c r="H43" s="65">
        <f>'Exh CTM-6 (Rate Design)'!H15</f>
        <v>23.387</v>
      </c>
      <c r="I43" s="65">
        <f>'Exh CTM-6 (Rate Design)'!I15</f>
        <v>30.403100000000002</v>
      </c>
      <c r="J43" s="55"/>
      <c r="K43" s="70">
        <f>G43*C43</f>
        <v>28.224003445236434</v>
      </c>
      <c r="L43" s="70">
        <f>G43*D43</f>
        <v>28.22167081643833</v>
      </c>
      <c r="M43" s="70">
        <f>G43*E43</f>
        <v>28.231394898626085</v>
      </c>
      <c r="N43" s="70"/>
      <c r="O43" s="70">
        <f>H43*D43</f>
        <v>36.688172061369833</v>
      </c>
      <c r="P43" s="70">
        <f>I43*E43</f>
        <v>47.711057378678092</v>
      </c>
      <c r="R43" s="49">
        <f>R42</f>
        <v>0.3</v>
      </c>
      <c r="S43" s="49">
        <f>S42</f>
        <v>0.3000000000000001</v>
      </c>
      <c r="T43" s="65"/>
      <c r="U43" s="39" t="s">
        <v>264</v>
      </c>
    </row>
    <row r="44" spans="1:21" x14ac:dyDescent="0.2">
      <c r="A44" s="37">
        <f t="shared" ref="A44:A75" si="1">A43+1</f>
        <v>34</v>
      </c>
      <c r="B44" s="46" t="s">
        <v>226</v>
      </c>
      <c r="C44" s="71">
        <f>SUM(C42:C43)</f>
        <v>4532</v>
      </c>
      <c r="D44" s="71">
        <f>SUM(D42:D43)</f>
        <v>4532</v>
      </c>
      <c r="E44" s="71">
        <f>SUM(E42:E43)</f>
        <v>4532</v>
      </c>
      <c r="F44" s="69"/>
      <c r="G44" s="277"/>
      <c r="H44" s="42"/>
      <c r="I44" s="42"/>
      <c r="J44" s="55"/>
      <c r="K44" s="72">
        <f>SUM(K42:K43)</f>
        <v>33961.153153761814</v>
      </c>
      <c r="L44" s="72">
        <f>SUM(L42:L43)</f>
        <v>33961.151792305318</v>
      </c>
      <c r="M44" s="72">
        <f>SUM(M42:M43)</f>
        <v>33961.157467839665</v>
      </c>
      <c r="N44" s="72"/>
      <c r="O44" s="72">
        <f>SUM(O42:O43)</f>
        <v>44149.497329996906</v>
      </c>
      <c r="P44" s="72">
        <f>SUM(P42:P43)</f>
        <v>57394.356120649034</v>
      </c>
      <c r="R44" s="49"/>
      <c r="S44" s="49"/>
      <c r="T44" s="65"/>
    </row>
    <row r="45" spans="1:21" x14ac:dyDescent="0.2">
      <c r="A45" s="37">
        <f t="shared" si="1"/>
        <v>35</v>
      </c>
      <c r="B45" s="39" t="s">
        <v>54</v>
      </c>
      <c r="C45" s="69"/>
      <c r="D45" s="69"/>
      <c r="E45" s="69"/>
      <c r="F45" s="69"/>
      <c r="G45" s="277"/>
      <c r="J45" s="55"/>
      <c r="K45" s="70"/>
      <c r="L45" s="70"/>
      <c r="M45" s="70"/>
      <c r="N45" s="70"/>
      <c r="O45" s="70"/>
      <c r="P45" s="70"/>
      <c r="R45" s="23"/>
      <c r="S45" s="23"/>
      <c r="T45" s="65"/>
      <c r="U45" s="40"/>
    </row>
    <row r="46" spans="1:21" x14ac:dyDescent="0.2">
      <c r="A46" s="37">
        <f t="shared" si="1"/>
        <v>36</v>
      </c>
      <c r="B46" s="50" t="s">
        <v>4</v>
      </c>
      <c r="C46" s="69"/>
      <c r="D46" s="69"/>
      <c r="E46" s="69"/>
      <c r="F46" s="69"/>
      <c r="G46" s="277"/>
      <c r="J46" s="55"/>
      <c r="K46" s="70"/>
      <c r="L46" s="70"/>
      <c r="M46" s="70"/>
      <c r="N46" s="70"/>
      <c r="O46" s="70"/>
      <c r="P46" s="70"/>
      <c r="R46" s="23"/>
      <c r="S46" s="23"/>
      <c r="T46" s="65"/>
      <c r="U46" s="40"/>
    </row>
    <row r="47" spans="1:21" x14ac:dyDescent="0.2">
      <c r="A47" s="37">
        <f t="shared" si="1"/>
        <v>37</v>
      </c>
      <c r="B47" s="89" t="s">
        <v>398</v>
      </c>
      <c r="C47" s="69">
        <v>10665.449477919747</v>
      </c>
      <c r="D47" s="69">
        <v>7628.042559424387</v>
      </c>
      <c r="E47" s="69">
        <v>7727.0294553786762</v>
      </c>
      <c r="F47" s="69"/>
      <c r="G47" s="82">
        <v>0.6333333333333333</v>
      </c>
      <c r="H47" s="73">
        <f t="shared" ref="H47:I49" si="2">G47*(1+R47)</f>
        <v>0.8317705653553169</v>
      </c>
      <c r="I47" s="73">
        <f t="shared" si="2"/>
        <v>0.89230799256769877</v>
      </c>
      <c r="J47" s="55"/>
      <c r="K47" s="70">
        <f>G47*C47</f>
        <v>6754.7846693491729</v>
      </c>
      <c r="L47" s="70">
        <f>G47*D47</f>
        <v>4831.0936209687779</v>
      </c>
      <c r="M47" s="70">
        <f>G47*E47</f>
        <v>4893.7853217398279</v>
      </c>
      <c r="N47" s="70"/>
      <c r="O47" s="70">
        <f t="shared" ref="O47:P49" si="3">H47*D47</f>
        <v>6344.7812722068411</v>
      </c>
      <c r="P47" s="70">
        <f t="shared" si="3"/>
        <v>6894.8901418404257</v>
      </c>
      <c r="R47" s="3">
        <f>((D54*R60)-L54)/L54</f>
        <v>0.31332194529786878</v>
      </c>
      <c r="S47" s="3">
        <f>((S60*E54))/((H47*E47)+(H48*E48)+(H49*E49)+(H51*E51)+(H52*E52)+(H53*E53))-1</f>
        <v>7.2781401186661876E-2</v>
      </c>
      <c r="T47" s="65"/>
      <c r="U47" s="43" t="s">
        <v>230</v>
      </c>
    </row>
    <row r="48" spans="1:21" x14ac:dyDescent="0.2">
      <c r="A48" s="37">
        <f t="shared" si="1"/>
        <v>38</v>
      </c>
      <c r="B48" s="48" t="s">
        <v>2</v>
      </c>
      <c r="C48" s="69">
        <v>517629.81466170505</v>
      </c>
      <c r="D48" s="69">
        <v>370214.33221739699</v>
      </c>
      <c r="E48" s="69">
        <v>375018.49623437849</v>
      </c>
      <c r="F48" s="69"/>
      <c r="G48" s="82">
        <v>0.18404965762738876</v>
      </c>
      <c r="H48" s="73">
        <f t="shared" si="2"/>
        <v>0.24171645438660894</v>
      </c>
      <c r="I48" s="73">
        <f t="shared" si="2"/>
        <v>0.25930891662673816</v>
      </c>
      <c r="J48" s="55"/>
      <c r="K48" s="70">
        <f>G48*C48</f>
        <v>95269.590166215508</v>
      </c>
      <c r="L48" s="70">
        <f>G48*D48</f>
        <v>68137.821093364269</v>
      </c>
      <c r="M48" s="70">
        <f>G48*E48</f>
        <v>69022.025835875538</v>
      </c>
      <c r="N48" s="70"/>
      <c r="O48" s="70">
        <f t="shared" si="3"/>
        <v>89486.895746695329</v>
      </c>
      <c r="P48" s="70">
        <f t="shared" si="3"/>
        <v>97245.639973525176</v>
      </c>
      <c r="R48" s="23">
        <f>R47</f>
        <v>0.31332194529786878</v>
      </c>
      <c r="S48" s="23">
        <f>S47</f>
        <v>7.2781401186661876E-2</v>
      </c>
      <c r="T48" s="65"/>
      <c r="U48" s="43" t="s">
        <v>230</v>
      </c>
    </row>
    <row r="49" spans="1:21" x14ac:dyDescent="0.2">
      <c r="A49" s="37">
        <f t="shared" si="1"/>
        <v>39</v>
      </c>
      <c r="B49" s="48" t="s">
        <v>1</v>
      </c>
      <c r="C49" s="69">
        <v>2598525.4862152277</v>
      </c>
      <c r="D49" s="69">
        <v>1858492.9816258284</v>
      </c>
      <c r="E49" s="69">
        <v>1882610.1060349846</v>
      </c>
      <c r="F49" s="69"/>
      <c r="G49" s="82">
        <v>8.3000000000000004E-2</v>
      </c>
      <c r="H49" s="73">
        <f t="shared" si="2"/>
        <v>0.10900572145972312</v>
      </c>
      <c r="I49" s="73">
        <f t="shared" si="2"/>
        <v>0.11693931060492474</v>
      </c>
      <c r="J49" s="55"/>
      <c r="K49" s="70">
        <f>G49*C49</f>
        <v>215677.61535586391</v>
      </c>
      <c r="L49" s="70">
        <f>G49*D49</f>
        <v>154254.91747494377</v>
      </c>
      <c r="M49" s="70">
        <f>G49*E49</f>
        <v>156256.63880090372</v>
      </c>
      <c r="N49" s="70"/>
      <c r="O49" s="70">
        <f t="shared" si="3"/>
        <v>202586.36828995537</v>
      </c>
      <c r="P49" s="70">
        <f t="shared" si="3"/>
        <v>220151.12793759536</v>
      </c>
      <c r="R49" s="23">
        <f>R48</f>
        <v>0.31332194529786878</v>
      </c>
      <c r="S49" s="23">
        <f>S48</f>
        <v>7.2781401186661876E-2</v>
      </c>
      <c r="T49" s="65"/>
      <c r="U49" s="43" t="s">
        <v>230</v>
      </c>
    </row>
    <row r="50" spans="1:21" x14ac:dyDescent="0.2">
      <c r="A50" s="37">
        <f t="shared" si="1"/>
        <v>40</v>
      </c>
      <c r="B50" s="41" t="s">
        <v>3</v>
      </c>
      <c r="C50" s="69"/>
      <c r="D50" s="69"/>
      <c r="E50" s="69"/>
      <c r="F50" s="69"/>
      <c r="G50" s="82"/>
      <c r="H50" s="73"/>
      <c r="I50" s="73"/>
      <c r="J50" s="55"/>
      <c r="K50" s="70"/>
      <c r="L50" s="70"/>
      <c r="M50" s="70"/>
      <c r="N50" s="70"/>
      <c r="O50" s="70"/>
      <c r="P50" s="70"/>
      <c r="R50" s="8"/>
      <c r="S50" s="8"/>
      <c r="T50" s="65"/>
      <c r="U50" s="43"/>
    </row>
    <row r="51" spans="1:21" x14ac:dyDescent="0.2">
      <c r="A51" s="37">
        <f t="shared" si="1"/>
        <v>41</v>
      </c>
      <c r="B51" s="89" t="s">
        <v>398</v>
      </c>
      <c r="C51" s="69">
        <v>3844.9115930457338</v>
      </c>
      <c r="D51" s="69">
        <v>5423.720229786627</v>
      </c>
      <c r="E51" s="69">
        <v>5411.6859290182183</v>
      </c>
      <c r="F51" s="69"/>
      <c r="G51" s="82">
        <f>G47</f>
        <v>0.6333333333333333</v>
      </c>
      <c r="H51" s="73">
        <f t="shared" ref="H51:I53" si="4">G51*(1+R51)</f>
        <v>0.8317705653553169</v>
      </c>
      <c r="I51" s="73">
        <f t="shared" si="4"/>
        <v>0.89230799256769877</v>
      </c>
      <c r="J51" s="55"/>
      <c r="K51" s="70">
        <f>G51*C51</f>
        <v>2435.1106755956312</v>
      </c>
      <c r="L51" s="70">
        <f>G51*D51</f>
        <v>3435.0228121981968</v>
      </c>
      <c r="M51" s="70">
        <f>G51*E51</f>
        <v>3427.4010883782048</v>
      </c>
      <c r="N51" s="70"/>
      <c r="O51" s="70">
        <f t="shared" ref="O51:P53" si="5">H51*D51</f>
        <v>4511.2908418586921</v>
      </c>
      <c r="P51" s="70">
        <f t="shared" si="5"/>
        <v>4828.8906077291085</v>
      </c>
      <c r="R51" s="23">
        <f>R49</f>
        <v>0.31332194529786878</v>
      </c>
      <c r="S51" s="23">
        <f>S49</f>
        <v>7.2781401186661876E-2</v>
      </c>
      <c r="T51" s="65"/>
      <c r="U51" s="43" t="s">
        <v>230</v>
      </c>
    </row>
    <row r="52" spans="1:21" x14ac:dyDescent="0.2">
      <c r="A52" s="37">
        <f t="shared" si="1"/>
        <v>42</v>
      </c>
      <c r="B52" s="48" t="s">
        <v>2</v>
      </c>
      <c r="C52" s="69">
        <v>186606.37598248632</v>
      </c>
      <c r="D52" s="69">
        <v>263231.22181897762</v>
      </c>
      <c r="E52" s="69">
        <v>262647.15708835091</v>
      </c>
      <c r="F52" s="69"/>
      <c r="G52" s="82">
        <v>0.15906092024598426</v>
      </c>
      <c r="H52" s="73">
        <f t="shared" si="4"/>
        <v>0.2088981971983252</v>
      </c>
      <c r="I52" s="73">
        <f t="shared" si="4"/>
        <v>0.2241021006957869</v>
      </c>
      <c r="J52" s="55"/>
      <c r="K52" s="70">
        <f>G52*C52</f>
        <v>29681.781887542409</v>
      </c>
      <c r="L52" s="70">
        <f>G52*D52</f>
        <v>41869.80038000139</v>
      </c>
      <c r="M52" s="70">
        <f>G52*E52</f>
        <v>41776.898506464684</v>
      </c>
      <c r="N52" s="70"/>
      <c r="O52" s="70">
        <f t="shared" si="5"/>
        <v>54988.527684296867</v>
      </c>
      <c r="P52" s="70">
        <f t="shared" si="5"/>
        <v>58859.779645275776</v>
      </c>
      <c r="R52" s="23">
        <f>R51</f>
        <v>0.31332194529786878</v>
      </c>
      <c r="S52" s="23">
        <f>S51</f>
        <v>7.2781401186661876E-2</v>
      </c>
      <c r="T52" s="65"/>
      <c r="U52" s="43" t="s">
        <v>230</v>
      </c>
    </row>
    <row r="53" spans="1:21" x14ac:dyDescent="0.2">
      <c r="A53" s="37">
        <f t="shared" si="1"/>
        <v>43</v>
      </c>
      <c r="B53" s="48" t="s">
        <v>1</v>
      </c>
      <c r="C53" s="69">
        <v>1987835.3140696157</v>
      </c>
      <c r="D53" s="69">
        <v>2804085.9576339768</v>
      </c>
      <c r="E53" s="69">
        <v>2797864.1739937905</v>
      </c>
      <c r="F53" s="69"/>
      <c r="G53" s="82">
        <v>8.3000000000000004E-2</v>
      </c>
      <c r="H53" s="73">
        <f t="shared" si="4"/>
        <v>0.10900572145972312</v>
      </c>
      <c r="I53" s="73">
        <f t="shared" si="4"/>
        <v>0.11693931060492474</v>
      </c>
      <c r="J53" s="55"/>
      <c r="K53" s="70">
        <f>G53*C53</f>
        <v>164990.33106777811</v>
      </c>
      <c r="L53" s="70">
        <f>G53*D53</f>
        <v>232739.13448362009</v>
      </c>
      <c r="M53" s="70">
        <f>G53*E53</f>
        <v>232222.72644148461</v>
      </c>
      <c r="N53" s="70"/>
      <c r="O53" s="70">
        <f t="shared" si="5"/>
        <v>305661.41284697026</v>
      </c>
      <c r="P53" s="70">
        <f t="shared" si="5"/>
        <v>327180.30767305108</v>
      </c>
      <c r="R53" s="23">
        <f>R52</f>
        <v>0.31332194529786878</v>
      </c>
      <c r="S53" s="23">
        <f>S52</f>
        <v>7.2781401186661876E-2</v>
      </c>
      <c r="T53" s="65"/>
      <c r="U53" s="43" t="s">
        <v>230</v>
      </c>
    </row>
    <row r="54" spans="1:21" x14ac:dyDescent="0.2">
      <c r="A54" s="37">
        <f t="shared" si="1"/>
        <v>44</v>
      </c>
      <c r="B54" s="46" t="s">
        <v>226</v>
      </c>
      <c r="C54" s="71">
        <f>SUM(C47:C53)</f>
        <v>5305107.352</v>
      </c>
      <c r="D54" s="71">
        <f>SUM(D47:D53)</f>
        <v>5309076.2560853912</v>
      </c>
      <c r="E54" s="71">
        <f>SUM(E47:E53)</f>
        <v>5331278.6487359013</v>
      </c>
      <c r="F54" s="69"/>
      <c r="G54" s="74"/>
      <c r="H54" s="74"/>
      <c r="I54" s="74"/>
      <c r="J54" s="55"/>
      <c r="K54" s="71">
        <f>SUM(K47:K53)</f>
        <v>514809.21382234473</v>
      </c>
      <c r="L54" s="71">
        <f>SUM(L47:L53)</f>
        <v>505267.78986509645</v>
      </c>
      <c r="M54" s="71">
        <f>SUM(M47:M53)</f>
        <v>507599.47599484655</v>
      </c>
      <c r="N54" s="71"/>
      <c r="O54" s="71">
        <f>SUM(O47:O53)</f>
        <v>663579.27668198338</v>
      </c>
      <c r="P54" s="71">
        <f>SUM(P47:P53)</f>
        <v>715160.63597901701</v>
      </c>
      <c r="T54" s="65"/>
    </row>
    <row r="55" spans="1:21" x14ac:dyDescent="0.2">
      <c r="A55" s="37">
        <f t="shared" si="1"/>
        <v>45</v>
      </c>
      <c r="B55" s="50" t="s">
        <v>229</v>
      </c>
      <c r="C55" s="278">
        <f>(C54/'Exh CTM-6 (Rate Design)'!$C$20)*'Exh CTM-6 (Rate Design)'!$C$21</f>
        <v>-230497.31776035475</v>
      </c>
      <c r="D55" s="75" t="s">
        <v>227</v>
      </c>
      <c r="E55" s="75"/>
      <c r="F55" s="69"/>
      <c r="G55" s="73">
        <f>'Exh CTM-6 (Rate Design)'!$G$21</f>
        <v>0.10632400043777007</v>
      </c>
      <c r="H55" s="74"/>
      <c r="I55" s="74"/>
      <c r="J55" s="55"/>
      <c r="K55" s="70">
        <f>G55*C55</f>
        <v>-24507.396914456785</v>
      </c>
      <c r="L55" s="70">
        <f>G55*D55</f>
        <v>0</v>
      </c>
      <c r="M55" s="70">
        <f>G55*E55</f>
        <v>0</v>
      </c>
      <c r="N55" s="70"/>
      <c r="O55" s="70">
        <f>H55*D55</f>
        <v>0</v>
      </c>
      <c r="P55" s="70">
        <f>I55*E55</f>
        <v>0</v>
      </c>
      <c r="T55" s="65"/>
    </row>
    <row r="56" spans="1:21" x14ac:dyDescent="0.2">
      <c r="A56" s="37">
        <f t="shared" si="1"/>
        <v>46</v>
      </c>
      <c r="B56" s="50" t="s">
        <v>228</v>
      </c>
      <c r="C56" s="278">
        <f>(C54/'Exh CTM-6 (Rate Design)'!$C$20)*'Exh CTM-6 (Rate Design)'!$C$22</f>
        <v>8430.7422396387155</v>
      </c>
      <c r="D56" s="75" t="s">
        <v>227</v>
      </c>
      <c r="E56" s="75"/>
      <c r="F56" s="69"/>
      <c r="G56" s="73">
        <f>'Exh CTM-6 (Rate Design)'!$G$22</f>
        <v>0.10585622997633853</v>
      </c>
      <c r="H56" s="74"/>
      <c r="I56" s="74"/>
      <c r="J56" s="55"/>
      <c r="K56" s="279">
        <f>G56*C56</f>
        <v>892.44658939042722</v>
      </c>
      <c r="L56" s="70">
        <f>G56*D56</f>
        <v>0</v>
      </c>
      <c r="M56" s="70">
        <f>G56*E56</f>
        <v>0</v>
      </c>
      <c r="N56" s="70"/>
      <c r="O56" s="70">
        <f>H56*D56</f>
        <v>0</v>
      </c>
      <c r="P56" s="70">
        <f>I56*E56</f>
        <v>0</v>
      </c>
      <c r="T56" s="65"/>
    </row>
    <row r="57" spans="1:21" ht="12" thickBot="1" x14ac:dyDescent="0.25">
      <c r="A57" s="37">
        <f t="shared" si="1"/>
        <v>47</v>
      </c>
      <c r="B57" s="46" t="s">
        <v>226</v>
      </c>
      <c r="C57" s="76">
        <f>SUM(C54:C56)</f>
        <v>5083040.7764792843</v>
      </c>
      <c r="D57" s="76">
        <f>SUM(D54:D56)</f>
        <v>5309076.2560853912</v>
      </c>
      <c r="E57" s="76">
        <f>SUM(E54:E56)</f>
        <v>5331278.6487359013</v>
      </c>
      <c r="F57" s="69"/>
      <c r="G57" s="73"/>
      <c r="H57" s="74"/>
      <c r="I57" s="74"/>
      <c r="J57" s="55"/>
      <c r="K57" s="70">
        <f>SUM(K54:K56)</f>
        <v>491194.26349727839</v>
      </c>
      <c r="L57" s="72">
        <f>SUM(L54:L56)</f>
        <v>505267.78986509645</v>
      </c>
      <c r="M57" s="72">
        <f>SUM(M54:M56)</f>
        <v>507599.47599484655</v>
      </c>
      <c r="N57" s="72"/>
      <c r="O57" s="72">
        <f>SUM(O54:O56)</f>
        <v>663579.27668198338</v>
      </c>
      <c r="P57" s="72">
        <f>SUM(P54:P56)</f>
        <v>715160.63597901701</v>
      </c>
      <c r="T57" s="65"/>
    </row>
    <row r="58" spans="1:21" ht="12.75" thickTop="1" thickBot="1" x14ac:dyDescent="0.25">
      <c r="A58" s="37">
        <f t="shared" si="1"/>
        <v>48</v>
      </c>
      <c r="B58" s="39" t="s">
        <v>308</v>
      </c>
      <c r="G58" s="77">
        <f>K58/C57</f>
        <v>0.10331520830623429</v>
      </c>
      <c r="H58" s="77">
        <f>O58/D57</f>
        <v>0.13330544521766183</v>
      </c>
      <c r="I58" s="77">
        <f>P58/E57</f>
        <v>0.1449098880402446</v>
      </c>
      <c r="J58" s="55"/>
      <c r="K58" s="78">
        <f>SUM(K57,K44)</f>
        <v>525155.4166510402</v>
      </c>
      <c r="L58" s="78">
        <f>SUM(L57,L44)</f>
        <v>539228.94165740174</v>
      </c>
      <c r="M58" s="78">
        <f>SUM(M57,M44)</f>
        <v>541560.63346268621</v>
      </c>
      <c r="N58" s="78"/>
      <c r="O58" s="78">
        <f>SUM(O57,O44)</f>
        <v>707728.77401198028</v>
      </c>
      <c r="P58" s="78">
        <f>SUM(P57,P44)</f>
        <v>772554.99209966604</v>
      </c>
      <c r="R58" s="78"/>
      <c r="S58" s="78"/>
      <c r="T58" s="70"/>
    </row>
    <row r="59" spans="1:21" ht="12" thickTop="1" x14ac:dyDescent="0.2">
      <c r="A59" s="37">
        <f t="shared" si="1"/>
        <v>49</v>
      </c>
      <c r="G59" s="73"/>
      <c r="H59" s="73"/>
      <c r="I59" s="73"/>
      <c r="J59" s="55"/>
      <c r="K59" s="70"/>
      <c r="L59" s="70"/>
      <c r="M59" s="70"/>
      <c r="N59" s="70"/>
      <c r="O59" s="70"/>
      <c r="P59" s="70"/>
      <c r="R59" s="70"/>
      <c r="S59" s="70"/>
      <c r="T59" s="70"/>
    </row>
    <row r="60" spans="1:21" x14ac:dyDescent="0.2">
      <c r="A60" s="37">
        <f t="shared" si="1"/>
        <v>50</v>
      </c>
      <c r="B60" s="39" t="s">
        <v>397</v>
      </c>
      <c r="G60" s="73">
        <f>G47-G48</f>
        <v>0.44928367570594452</v>
      </c>
      <c r="H60" s="73">
        <f>H47-H48</f>
        <v>0.59005411096870797</v>
      </c>
      <c r="I60" s="73">
        <f>I47-I48</f>
        <v>0.63299907594096061</v>
      </c>
      <c r="J60" s="55"/>
      <c r="K60" s="70"/>
      <c r="L60" s="70"/>
      <c r="M60" s="70"/>
      <c r="N60" s="70"/>
      <c r="O60" s="70"/>
      <c r="P60" s="70"/>
      <c r="R60" s="82">
        <f>$R$30</f>
        <v>0.12498959228950098</v>
      </c>
      <c r="S60" s="82">
        <f>$S$30</f>
        <v>0.13414429878816941</v>
      </c>
      <c r="T60" s="70"/>
    </row>
    <row r="61" spans="1:21" x14ac:dyDescent="0.2">
      <c r="A61" s="37">
        <f t="shared" si="1"/>
        <v>51</v>
      </c>
      <c r="G61" s="73"/>
      <c r="H61" s="73"/>
      <c r="I61" s="73"/>
      <c r="J61" s="55"/>
      <c r="K61" s="70"/>
      <c r="L61" s="70"/>
      <c r="M61" s="70"/>
      <c r="N61" s="70"/>
      <c r="O61" s="70"/>
      <c r="P61" s="281" t="s">
        <v>160</v>
      </c>
      <c r="R61" s="82">
        <f>O54/D54-R60</f>
        <v>0</v>
      </c>
      <c r="S61" s="82">
        <f>P54/E54-S60</f>
        <v>0</v>
      </c>
      <c r="T61" s="70"/>
    </row>
    <row r="62" spans="1:21" x14ac:dyDescent="0.2">
      <c r="A62" s="37">
        <f t="shared" si="1"/>
        <v>52</v>
      </c>
      <c r="B62" s="43" t="s">
        <v>224</v>
      </c>
      <c r="C62" s="3"/>
      <c r="D62" s="280"/>
      <c r="G62" s="73"/>
      <c r="H62" s="73"/>
      <c r="I62" s="73"/>
      <c r="J62" s="55"/>
      <c r="K62" s="70"/>
      <c r="L62" s="70"/>
      <c r="M62" s="70"/>
      <c r="N62" s="70"/>
      <c r="O62" s="70"/>
      <c r="P62" s="70"/>
      <c r="R62" s="70"/>
      <c r="S62" s="70"/>
      <c r="T62" s="70"/>
    </row>
    <row r="63" spans="1:21" x14ac:dyDescent="0.2">
      <c r="A63" s="37">
        <f t="shared" si="1"/>
        <v>53</v>
      </c>
      <c r="B63" s="43" t="s">
        <v>223</v>
      </c>
      <c r="C63" s="3"/>
      <c r="D63" s="280"/>
      <c r="G63" s="73"/>
      <c r="H63" s="73"/>
      <c r="I63" s="73"/>
      <c r="J63" s="55"/>
      <c r="K63" s="70"/>
      <c r="L63" s="70"/>
      <c r="M63" s="70"/>
      <c r="N63" s="70"/>
      <c r="O63" s="70"/>
      <c r="P63" s="70"/>
      <c r="R63" s="70"/>
      <c r="S63" s="70"/>
      <c r="T63" s="70"/>
    </row>
    <row r="64" spans="1:21" x14ac:dyDescent="0.2">
      <c r="A64" s="37">
        <f t="shared" si="1"/>
        <v>54</v>
      </c>
      <c r="B64" s="43"/>
      <c r="C64" s="3"/>
      <c r="D64" s="280"/>
      <c r="G64" s="73"/>
      <c r="H64" s="73"/>
      <c r="I64" s="73"/>
      <c r="J64" s="55"/>
      <c r="K64" s="70"/>
      <c r="L64" s="70"/>
      <c r="M64" s="70"/>
      <c r="N64" s="70"/>
      <c r="O64" s="70"/>
      <c r="P64" s="70"/>
      <c r="R64" s="70"/>
      <c r="S64" s="70"/>
      <c r="T64" s="70"/>
    </row>
    <row r="65" spans="1:21" x14ac:dyDescent="0.2">
      <c r="A65" s="37">
        <f t="shared" si="1"/>
        <v>55</v>
      </c>
      <c r="B65" s="43"/>
      <c r="C65" s="3"/>
      <c r="D65" s="280"/>
      <c r="E65" s="63" t="s">
        <v>396</v>
      </c>
      <c r="F65" s="63"/>
      <c r="G65" s="79"/>
      <c r="H65" s="79"/>
      <c r="I65" s="79"/>
      <c r="J65" s="55"/>
      <c r="K65" s="70"/>
      <c r="L65" s="70"/>
      <c r="M65" s="70"/>
      <c r="N65" s="70"/>
      <c r="O65" s="70"/>
      <c r="P65" s="70"/>
      <c r="R65" s="70"/>
      <c r="S65" s="70"/>
      <c r="T65" s="70"/>
    </row>
    <row r="66" spans="1:21" x14ac:dyDescent="0.2">
      <c r="A66" s="37">
        <f t="shared" si="1"/>
        <v>56</v>
      </c>
      <c r="E66" s="80" t="s">
        <v>395</v>
      </c>
      <c r="F66" s="81"/>
      <c r="G66" s="80" t="s">
        <v>394</v>
      </c>
      <c r="H66" s="80" t="s">
        <v>393</v>
      </c>
      <c r="I66" s="80" t="s">
        <v>392</v>
      </c>
      <c r="J66" s="55"/>
      <c r="K66" s="7"/>
      <c r="L66" s="7"/>
      <c r="M66" s="7"/>
      <c r="N66" s="7"/>
      <c r="O66" s="70"/>
      <c r="P66" s="70"/>
      <c r="T66" s="70"/>
    </row>
    <row r="67" spans="1:21" x14ac:dyDescent="0.2">
      <c r="A67" s="37">
        <f t="shared" si="1"/>
        <v>57</v>
      </c>
      <c r="B67" s="83"/>
      <c r="C67" s="68"/>
      <c r="D67" s="83" t="s">
        <v>4</v>
      </c>
      <c r="E67" s="90" t="s">
        <v>416</v>
      </c>
      <c r="G67" s="22">
        <f>(G48/G49)</f>
        <v>2.2174657545468524</v>
      </c>
      <c r="H67" s="22">
        <f>(H48/H49)</f>
        <v>2.2174657545468524</v>
      </c>
      <c r="I67" s="22">
        <f>I48/I49</f>
        <v>2.2174657545468524</v>
      </c>
      <c r="J67" s="55"/>
      <c r="K67" s="68"/>
      <c r="L67" s="70"/>
      <c r="M67" s="70"/>
      <c r="N67" s="70"/>
      <c r="O67" s="70"/>
      <c r="P67" s="70"/>
      <c r="R67" s="70"/>
      <c r="S67" s="70"/>
      <c r="T67" s="84"/>
    </row>
    <row r="68" spans="1:21" x14ac:dyDescent="0.2">
      <c r="A68" s="37">
        <f t="shared" si="1"/>
        <v>58</v>
      </c>
      <c r="C68" s="68"/>
      <c r="D68" s="83" t="s">
        <v>3</v>
      </c>
      <c r="E68" s="90" t="s">
        <v>415</v>
      </c>
      <c r="G68" s="22">
        <f>G52/G53</f>
        <v>1.9163966294696897</v>
      </c>
      <c r="H68" s="22">
        <f>H52/H53</f>
        <v>1.9163966294696895</v>
      </c>
      <c r="I68" s="22">
        <f>I52/I53</f>
        <v>1.9163966294696897</v>
      </c>
      <c r="J68" s="55"/>
      <c r="K68" s="68"/>
      <c r="L68" s="70"/>
      <c r="M68" s="70"/>
      <c r="N68" s="70"/>
      <c r="O68" s="70"/>
      <c r="P68" s="70"/>
      <c r="R68" s="70"/>
      <c r="S68" s="70"/>
      <c r="T68" s="84"/>
    </row>
    <row r="69" spans="1:21" x14ac:dyDescent="0.2">
      <c r="A69" s="37">
        <f t="shared" si="1"/>
        <v>59</v>
      </c>
      <c r="B69" s="91" t="s">
        <v>389</v>
      </c>
      <c r="C69" s="68"/>
      <c r="D69" s="83" t="s">
        <v>414</v>
      </c>
      <c r="E69" s="92" t="s">
        <v>413</v>
      </c>
      <c r="F69" s="86"/>
      <c r="G69" s="93">
        <f>G47/G49</f>
        <v>7.6305220883534126</v>
      </c>
      <c r="H69" s="93">
        <f>H47/H49</f>
        <v>7.6305220883534126</v>
      </c>
      <c r="I69" s="93">
        <f>I47/I49</f>
        <v>7.6305220883534135</v>
      </c>
      <c r="J69" s="55"/>
      <c r="K69" s="68"/>
      <c r="L69" s="70"/>
      <c r="M69" s="70"/>
      <c r="N69" s="70"/>
      <c r="O69" s="70"/>
      <c r="P69" s="70"/>
      <c r="R69" s="70"/>
      <c r="S69" s="70"/>
      <c r="T69" s="84"/>
    </row>
    <row r="70" spans="1:21" x14ac:dyDescent="0.2">
      <c r="A70" s="37">
        <f t="shared" si="1"/>
        <v>60</v>
      </c>
      <c r="B70" s="87"/>
      <c r="C70" s="86"/>
      <c r="D70" s="86"/>
      <c r="E70" s="86"/>
      <c r="F70" s="86"/>
      <c r="G70" s="88"/>
      <c r="H70" s="5"/>
      <c r="I70" s="5"/>
      <c r="J70" s="86"/>
      <c r="K70" s="86"/>
      <c r="L70" s="86"/>
      <c r="M70" s="86"/>
      <c r="N70" s="86"/>
      <c r="O70" s="86" t="s">
        <v>307</v>
      </c>
      <c r="P70" s="86"/>
      <c r="Q70" s="86"/>
      <c r="R70" s="86"/>
      <c r="S70" s="86"/>
      <c r="T70" s="86"/>
    </row>
    <row r="71" spans="1:21" x14ac:dyDescent="0.2">
      <c r="A71" s="37">
        <f t="shared" si="1"/>
        <v>61</v>
      </c>
    </row>
    <row r="72" spans="1:21" x14ac:dyDescent="0.2">
      <c r="A72" s="37">
        <f t="shared" si="1"/>
        <v>62</v>
      </c>
      <c r="B72" s="66" t="s">
        <v>412</v>
      </c>
      <c r="C72" s="67"/>
      <c r="D72" s="27"/>
      <c r="E72" s="27"/>
      <c r="F72" s="29"/>
      <c r="G72" s="67"/>
      <c r="H72" s="27"/>
      <c r="I72" s="27"/>
      <c r="J72" s="55"/>
      <c r="K72" s="67"/>
      <c r="L72" s="67"/>
      <c r="M72" s="67"/>
      <c r="N72" s="67"/>
      <c r="O72" s="27"/>
      <c r="P72" s="27"/>
      <c r="Q72" s="65"/>
      <c r="R72" s="27"/>
      <c r="S72" s="27"/>
      <c r="T72" s="65"/>
      <c r="U72" s="54"/>
    </row>
    <row r="73" spans="1:21" x14ac:dyDescent="0.2">
      <c r="A73" s="37">
        <f t="shared" si="1"/>
        <v>63</v>
      </c>
      <c r="B73" s="43" t="s">
        <v>14</v>
      </c>
      <c r="F73" s="29"/>
      <c r="G73" s="68"/>
      <c r="H73" s="68"/>
      <c r="I73" s="68"/>
      <c r="J73" s="55"/>
      <c r="O73" s="68"/>
      <c r="T73" s="65"/>
    </row>
    <row r="74" spans="1:21" x14ac:dyDescent="0.2">
      <c r="A74" s="37">
        <f t="shared" si="1"/>
        <v>64</v>
      </c>
      <c r="B74" s="39" t="s">
        <v>55</v>
      </c>
      <c r="C74" s="69"/>
      <c r="D74" s="69"/>
      <c r="E74" s="69"/>
      <c r="F74" s="69"/>
      <c r="G74" s="68"/>
      <c r="H74" s="68"/>
      <c r="I74" s="68"/>
      <c r="J74" s="55"/>
      <c r="O74" s="68"/>
      <c r="T74" s="65"/>
    </row>
    <row r="75" spans="1:21" x14ac:dyDescent="0.2">
      <c r="A75" s="37">
        <f t="shared" si="1"/>
        <v>65</v>
      </c>
      <c r="B75" s="39" t="s">
        <v>290</v>
      </c>
      <c r="C75" s="69">
        <v>990.65693911280732</v>
      </c>
      <c r="D75" s="69">
        <v>990.65696746575532</v>
      </c>
      <c r="E75" s="69">
        <v>990.65684927018219</v>
      </c>
      <c r="F75" s="69"/>
      <c r="G75" s="65">
        <f>'Exh CTM-6 (Rate Design)'!G14</f>
        <v>7.49</v>
      </c>
      <c r="H75" s="65">
        <f>'Exh CTM-6 (Rate Design)'!H14</f>
        <v>9.7370000000000001</v>
      </c>
      <c r="I75" s="65">
        <f>'Exh CTM-6 (Rate Design)'!I14</f>
        <v>12.658100000000001</v>
      </c>
      <c r="J75" s="55"/>
      <c r="K75" s="70">
        <f>G75*C75</f>
        <v>7420.0204739549272</v>
      </c>
      <c r="L75" s="70">
        <f>G75*D75</f>
        <v>7420.0206863185076</v>
      </c>
      <c r="M75" s="70">
        <f>G75*E75</f>
        <v>7420.0198010336644</v>
      </c>
      <c r="N75" s="70"/>
      <c r="O75" s="70">
        <f>H75*D75</f>
        <v>9646.0268922140604</v>
      </c>
      <c r="P75" s="70">
        <f>I75*E75</f>
        <v>12539.833463746894</v>
      </c>
      <c r="R75" s="3">
        <f>(H75-G75)/G75</f>
        <v>0.3</v>
      </c>
      <c r="S75" s="3">
        <f>(I75-H75)/H75</f>
        <v>0.3000000000000001</v>
      </c>
      <c r="T75" s="65"/>
      <c r="U75" s="39" t="s">
        <v>264</v>
      </c>
    </row>
    <row r="76" spans="1:21" x14ac:dyDescent="0.2">
      <c r="A76" s="37">
        <f t="shared" ref="A76:A107" si="6">A75+1</f>
        <v>66</v>
      </c>
      <c r="B76" s="39" t="s">
        <v>289</v>
      </c>
      <c r="C76" s="69">
        <v>0</v>
      </c>
      <c r="D76" s="69">
        <v>0</v>
      </c>
      <c r="E76" s="69">
        <v>0</v>
      </c>
      <c r="F76" s="69"/>
      <c r="G76" s="65">
        <f>'Exh CTM-6 (Rate Design)'!G15</f>
        <v>17.989999999999998</v>
      </c>
      <c r="H76" s="65">
        <f>'Exh CTM-6 (Rate Design)'!H15</f>
        <v>23.387</v>
      </c>
      <c r="I76" s="65">
        <f>'Exh CTM-6 (Rate Design)'!I15</f>
        <v>30.403100000000002</v>
      </c>
      <c r="J76" s="55"/>
      <c r="K76" s="70">
        <f>G76*C76</f>
        <v>0</v>
      </c>
      <c r="L76" s="70">
        <f>G76*D76</f>
        <v>0</v>
      </c>
      <c r="M76" s="70">
        <f>G76*E76</f>
        <v>0</v>
      </c>
      <c r="N76" s="70"/>
      <c r="O76" s="70">
        <f>H76*D76</f>
        <v>0</v>
      </c>
      <c r="P76" s="70">
        <f>I76*E76</f>
        <v>0</v>
      </c>
      <c r="R76" s="49">
        <f>R75</f>
        <v>0.3</v>
      </c>
      <c r="S76" s="49">
        <f>S75</f>
        <v>0.3000000000000001</v>
      </c>
      <c r="T76" s="65"/>
      <c r="U76" s="39" t="s">
        <v>264</v>
      </c>
    </row>
    <row r="77" spans="1:21" x14ac:dyDescent="0.2">
      <c r="A77" s="37">
        <f t="shared" si="6"/>
        <v>67</v>
      </c>
      <c r="B77" s="46" t="s">
        <v>226</v>
      </c>
      <c r="C77" s="71">
        <f>SUM(C75:C76)</f>
        <v>990.65693911280732</v>
      </c>
      <c r="D77" s="71">
        <f>SUM(D75:D76)</f>
        <v>990.65696746575532</v>
      </c>
      <c r="E77" s="71">
        <f>SUM(E75:E76)</f>
        <v>990.65684927018219</v>
      </c>
      <c r="F77" s="69"/>
      <c r="G77" s="277"/>
      <c r="H77" s="42"/>
      <c r="I77" s="42"/>
      <c r="J77" s="55"/>
      <c r="K77" s="72">
        <f>SUM(K75:K76)</f>
        <v>7420.0204739549272</v>
      </c>
      <c r="L77" s="72">
        <f>SUM(L75:L76)</f>
        <v>7420.0206863185076</v>
      </c>
      <c r="M77" s="72">
        <f>SUM(M75:M76)</f>
        <v>7420.0198010336644</v>
      </c>
      <c r="N77" s="72"/>
      <c r="O77" s="72">
        <f>SUM(O75:O76)</f>
        <v>9646.0268922140604</v>
      </c>
      <c r="P77" s="72">
        <f>SUM(P75:P76)</f>
        <v>12539.833463746894</v>
      </c>
      <c r="R77" s="49"/>
      <c r="S77" s="49"/>
      <c r="T77" s="65"/>
    </row>
    <row r="78" spans="1:21" x14ac:dyDescent="0.2">
      <c r="A78" s="37">
        <f t="shared" si="6"/>
        <v>68</v>
      </c>
      <c r="B78" s="39" t="s">
        <v>54</v>
      </c>
      <c r="C78" s="69"/>
      <c r="D78" s="69"/>
      <c r="E78" s="69"/>
      <c r="F78" s="69"/>
      <c r="G78" s="277"/>
      <c r="J78" s="55"/>
      <c r="K78" s="70"/>
      <c r="L78" s="70"/>
      <c r="M78" s="70"/>
      <c r="N78" s="70"/>
      <c r="O78" s="70"/>
      <c r="P78" s="70"/>
      <c r="R78" s="23"/>
      <c r="S78" s="23"/>
      <c r="T78" s="65"/>
      <c r="U78" s="40"/>
    </row>
    <row r="79" spans="1:21" x14ac:dyDescent="0.2">
      <c r="A79" s="37">
        <f t="shared" si="6"/>
        <v>69</v>
      </c>
      <c r="B79" s="50" t="s">
        <v>4</v>
      </c>
      <c r="C79" s="69"/>
      <c r="D79" s="69"/>
      <c r="E79" s="69"/>
      <c r="F79" s="69"/>
      <c r="G79" s="277"/>
      <c r="J79" s="55"/>
      <c r="K79" s="70"/>
      <c r="L79" s="70"/>
      <c r="M79" s="70"/>
      <c r="N79" s="70"/>
      <c r="O79" s="70"/>
      <c r="P79" s="70"/>
      <c r="R79" s="23"/>
      <c r="S79" s="23"/>
      <c r="T79" s="65"/>
      <c r="U79" s="40"/>
    </row>
    <row r="80" spans="1:21" x14ac:dyDescent="0.2">
      <c r="A80" s="37">
        <f t="shared" si="6"/>
        <v>70</v>
      </c>
      <c r="B80" s="48" t="s">
        <v>2</v>
      </c>
      <c r="C80" s="69">
        <v>137809.47076251591</v>
      </c>
      <c r="D80" s="69">
        <v>98562.794774333073</v>
      </c>
      <c r="E80" s="69">
        <v>99841.815576234192</v>
      </c>
      <c r="F80" s="69"/>
      <c r="G80" s="82">
        <v>0.29547805015791329</v>
      </c>
      <c r="H80" s="73">
        <f t="shared" ref="H80:I82" si="7">G80*(1+R80)</f>
        <v>0.41984259641924776</v>
      </c>
      <c r="I80" s="73">
        <f t="shared" si="7"/>
        <v>0.45014179149061995</v>
      </c>
      <c r="J80" s="55"/>
      <c r="K80" s="70">
        <f>G80*C80</f>
        <v>40719.673714202159</v>
      </c>
      <c r="L80" s="70">
        <f>G80*D80</f>
        <v>29123.142418034502</v>
      </c>
      <c r="M80" s="70">
        <f>G80*E80</f>
        <v>29501.064990691655</v>
      </c>
      <c r="N80" s="70"/>
      <c r="O80" s="70">
        <f t="shared" ref="O80:P82" si="8">H80*D80</f>
        <v>41380.859668393459</v>
      </c>
      <c r="P80" s="70">
        <f t="shared" si="8"/>
        <v>44942.973729162142</v>
      </c>
      <c r="R80" s="3">
        <f>((D87*R93)-L87)/L87</f>
        <v>0.4208926727209345</v>
      </c>
      <c r="S80" s="3">
        <f>((S93*E87))/((H80*E80)+(H81*E81)+(H82*E82)+(H84*E84)+(H85*E85)+(H86*E86))-1</f>
        <v>7.2167987073698203E-2</v>
      </c>
      <c r="T80" s="65"/>
      <c r="U80" s="43" t="s">
        <v>230</v>
      </c>
    </row>
    <row r="81" spans="1:21" x14ac:dyDescent="0.2">
      <c r="A81" s="37">
        <f t="shared" si="6"/>
        <v>71</v>
      </c>
      <c r="B81" s="48" t="s">
        <v>1</v>
      </c>
      <c r="C81" s="69">
        <v>405959.06427873927</v>
      </c>
      <c r="D81" s="69">
        <v>290346.22742466134</v>
      </c>
      <c r="E81" s="69">
        <v>294113.96620966552</v>
      </c>
      <c r="F81" s="69"/>
      <c r="G81" s="82">
        <v>7.4570288085414396E-2</v>
      </c>
      <c r="H81" s="73">
        <f t="shared" si="7"/>
        <v>0.10595637594325452</v>
      </c>
      <c r="I81" s="73">
        <f t="shared" si="7"/>
        <v>0.11360303431270322</v>
      </c>
      <c r="J81" s="55"/>
      <c r="K81" s="70">
        <f>G81*C81</f>
        <v>30272.484374150848</v>
      </c>
      <c r="L81" s="70">
        <f>G81*D81</f>
        <v>21651.201823570242</v>
      </c>
      <c r="M81" s="70">
        <f>G81*E81</f>
        <v>21932.163190198593</v>
      </c>
      <c r="N81" s="70"/>
      <c r="O81" s="70">
        <f t="shared" si="8"/>
        <v>30764.034026713092</v>
      </c>
      <c r="P81" s="70">
        <f t="shared" si="8"/>
        <v>33412.238995161868</v>
      </c>
      <c r="R81" s="23">
        <f>R80</f>
        <v>0.4208926727209345</v>
      </c>
      <c r="S81" s="23">
        <f>S80</f>
        <v>7.2167987073698203E-2</v>
      </c>
      <c r="T81" s="65"/>
      <c r="U81" s="43" t="s">
        <v>230</v>
      </c>
    </row>
    <row r="82" spans="1:21" x14ac:dyDescent="0.2">
      <c r="A82" s="37">
        <f t="shared" si="6"/>
        <v>72</v>
      </c>
      <c r="B82" s="48" t="s">
        <v>13</v>
      </c>
      <c r="C82" s="69">
        <v>271884.26752062753</v>
      </c>
      <c r="D82" s="69">
        <v>194454.51109949721</v>
      </c>
      <c r="E82" s="69">
        <v>196977.89089294983</v>
      </c>
      <c r="F82" s="69"/>
      <c r="G82" s="82">
        <v>4.4324904376639856E-2</v>
      </c>
      <c r="H82" s="73">
        <f t="shared" si="7"/>
        <v>6.2980931847823649E-2</v>
      </c>
      <c r="I82" s="73">
        <f t="shared" si="7"/>
        <v>6.7526138923306847E-2</v>
      </c>
      <c r="J82" s="55"/>
      <c r="K82" s="70">
        <f>G82*C82</f>
        <v>12051.244159364585</v>
      </c>
      <c r="L82" s="70">
        <f>G82*D82</f>
        <v>8619.1776100914667</v>
      </c>
      <c r="M82" s="70">
        <f>G82*E82</f>
        <v>8731.0261781421996</v>
      </c>
      <c r="N82" s="70"/>
      <c r="O82" s="70">
        <f t="shared" si="8"/>
        <v>12246.9263110593</v>
      </c>
      <c r="P82" s="70">
        <f t="shared" si="8"/>
        <v>13301.156425257308</v>
      </c>
      <c r="R82" s="23">
        <f>R81</f>
        <v>0.4208926727209345</v>
      </c>
      <c r="S82" s="23">
        <f>S81</f>
        <v>7.2167987073698203E-2</v>
      </c>
      <c r="T82" s="65"/>
      <c r="U82" s="43" t="s">
        <v>230</v>
      </c>
    </row>
    <row r="83" spans="1:21" x14ac:dyDescent="0.2">
      <c r="A83" s="37">
        <f t="shared" si="6"/>
        <v>73</v>
      </c>
      <c r="B83" s="41" t="s">
        <v>3</v>
      </c>
      <c r="C83" s="69"/>
      <c r="D83" s="69"/>
      <c r="E83" s="69"/>
      <c r="F83" s="69"/>
      <c r="G83" s="82"/>
      <c r="H83" s="73"/>
      <c r="I83" s="73"/>
      <c r="J83" s="55"/>
      <c r="K83" s="70"/>
      <c r="L83" s="70"/>
      <c r="M83" s="70"/>
      <c r="N83" s="70"/>
      <c r="O83" s="70"/>
      <c r="P83" s="70"/>
      <c r="R83" s="8"/>
      <c r="S83" s="8"/>
      <c r="T83" s="65"/>
      <c r="U83" s="43"/>
    </row>
    <row r="84" spans="1:21" x14ac:dyDescent="0.2">
      <c r="A84" s="37">
        <f t="shared" si="6"/>
        <v>74</v>
      </c>
      <c r="B84" s="48" t="s">
        <v>2</v>
      </c>
      <c r="C84" s="69">
        <v>99361.069191364746</v>
      </c>
      <c r="D84" s="69">
        <v>140160.99667965071</v>
      </c>
      <c r="E84" s="69">
        <v>139850.00357554862</v>
      </c>
      <c r="F84" s="69"/>
      <c r="G84" s="82">
        <v>0.15950445420322917</v>
      </c>
      <c r="H84" s="73">
        <f t="shared" ref="H84:I86" si="9">G84*(1+R84)</f>
        <v>0.2266387102437202</v>
      </c>
      <c r="I84" s="73">
        <f t="shared" si="9"/>
        <v>0.24299476975498863</v>
      </c>
      <c r="J84" s="55"/>
      <c r="K84" s="70">
        <f>G84*C84</f>
        <v>15848.533110417924</v>
      </c>
      <c r="L84" s="70">
        <f>G84*D84</f>
        <v>22356.303275968301</v>
      </c>
      <c r="M84" s="70">
        <f>G84*E84</f>
        <v>22306.698490637529</v>
      </c>
      <c r="N84" s="70"/>
      <c r="O84" s="70">
        <f t="shared" ref="O84:P86" si="10">H84*D84</f>
        <v>31765.907513950388</v>
      </c>
      <c r="P84" s="70">
        <f t="shared" si="10"/>
        <v>33982.819419074774</v>
      </c>
      <c r="R84" s="23">
        <f>R82</f>
        <v>0.4208926727209345</v>
      </c>
      <c r="S84" s="23">
        <f>S82</f>
        <v>7.2167987073698203E-2</v>
      </c>
      <c r="T84" s="65"/>
      <c r="U84" s="43" t="s">
        <v>230</v>
      </c>
    </row>
    <row r="85" spans="1:21" x14ac:dyDescent="0.2">
      <c r="A85" s="37">
        <f t="shared" si="6"/>
        <v>75</v>
      </c>
      <c r="B85" s="48" t="s">
        <v>1</v>
      </c>
      <c r="C85" s="69">
        <v>279453.00710071338</v>
      </c>
      <c r="D85" s="69">
        <v>394202.8031615176</v>
      </c>
      <c r="E85" s="69">
        <v>393328.13505623047</v>
      </c>
      <c r="F85" s="69"/>
      <c r="G85" s="82">
        <v>7.1617076395268223E-2</v>
      </c>
      <c r="H85" s="73">
        <f t="shared" si="9"/>
        <v>0.10176017909173202</v>
      </c>
      <c r="I85" s="73">
        <f t="shared" si="9"/>
        <v>0.10910400638104134</v>
      </c>
      <c r="J85" s="55"/>
      <c r="K85" s="70">
        <f>G85*C85</f>
        <v>20013.607358419224</v>
      </c>
      <c r="L85" s="70">
        <f>G85*D85</f>
        <v>28231.652269247286</v>
      </c>
      <c r="M85" s="70">
        <f>G85*E85</f>
        <v>28169.011096730435</v>
      </c>
      <c r="N85" s="70"/>
      <c r="O85" s="70">
        <f t="shared" si="10"/>
        <v>40114.147848178814</v>
      </c>
      <c r="P85" s="70">
        <f t="shared" si="10"/>
        <v>42913.675357018059</v>
      </c>
      <c r="R85" s="23">
        <f>R84</f>
        <v>0.4208926727209345</v>
      </c>
      <c r="S85" s="23">
        <f>S84</f>
        <v>7.2167987073698203E-2</v>
      </c>
      <c r="T85" s="65"/>
      <c r="U85" s="43" t="s">
        <v>230</v>
      </c>
    </row>
    <row r="86" spans="1:21" x14ac:dyDescent="0.2">
      <c r="A86" s="37">
        <f t="shared" si="6"/>
        <v>76</v>
      </c>
      <c r="B86" s="48" t="s">
        <v>13</v>
      </c>
      <c r="C86" s="69">
        <v>189407.03814603912</v>
      </c>
      <c r="D86" s="69">
        <v>267181.89992058411</v>
      </c>
      <c r="E86" s="69">
        <v>266589.0693158895</v>
      </c>
      <c r="F86" s="69"/>
      <c r="G86" s="82">
        <v>4.4324904376639856E-2</v>
      </c>
      <c r="H86" s="73">
        <f t="shared" si="9"/>
        <v>6.2980931847823649E-2</v>
      </c>
      <c r="I86" s="73">
        <f t="shared" si="9"/>
        <v>6.7526138923306847E-2</v>
      </c>
      <c r="J86" s="55"/>
      <c r="K86" s="70">
        <f>G86*C86</f>
        <v>8395.4488540857619</v>
      </c>
      <c r="L86" s="70">
        <f>G86*D86</f>
        <v>11842.812165148851</v>
      </c>
      <c r="M86" s="70">
        <f>G86*E86</f>
        <v>11816.535005284217</v>
      </c>
      <c r="N86" s="70"/>
      <c r="O86" s="70">
        <f t="shared" si="10"/>
        <v>16827.365029870347</v>
      </c>
      <c r="P86" s="70">
        <f t="shared" si="10"/>
        <v>18001.730530059835</v>
      </c>
      <c r="R86" s="23">
        <f>R85</f>
        <v>0.4208926727209345</v>
      </c>
      <c r="S86" s="23">
        <f>S85</f>
        <v>7.2167987073698203E-2</v>
      </c>
      <c r="T86" s="65"/>
      <c r="U86" s="43" t="s">
        <v>230</v>
      </c>
    </row>
    <row r="87" spans="1:21" x14ac:dyDescent="0.2">
      <c r="A87" s="37">
        <f t="shared" si="6"/>
        <v>77</v>
      </c>
      <c r="B87" s="46" t="s">
        <v>226</v>
      </c>
      <c r="C87" s="71">
        <f>SUM(C80:C86)</f>
        <v>1383873.9169999999</v>
      </c>
      <c r="D87" s="71">
        <f>SUM(D80:D86)</f>
        <v>1384909.233060244</v>
      </c>
      <c r="E87" s="71">
        <f>SUM(E80:E86)</f>
        <v>1390700.8806265183</v>
      </c>
      <c r="F87" s="69"/>
      <c r="G87" s="74"/>
      <c r="H87" s="74"/>
      <c r="I87" s="74"/>
      <c r="J87" s="55"/>
      <c r="K87" s="72">
        <f>SUM(K80:K86)</f>
        <v>127300.9915706405</v>
      </c>
      <c r="L87" s="72">
        <f>SUM(L80:L86)</f>
        <v>121824.28956206064</v>
      </c>
      <c r="M87" s="72">
        <f>SUM(M80:M86)</f>
        <v>122456.49895168463</v>
      </c>
      <c r="N87" s="72"/>
      <c r="O87" s="72">
        <f>SUM(O80:O86)</f>
        <v>173099.24039816542</v>
      </c>
      <c r="P87" s="72">
        <f>SUM(P80:P86)</f>
        <v>186554.59445573401</v>
      </c>
      <c r="T87" s="65"/>
    </row>
    <row r="88" spans="1:21" x14ac:dyDescent="0.2">
      <c r="A88" s="37">
        <f t="shared" si="6"/>
        <v>78</v>
      </c>
      <c r="B88" s="50" t="s">
        <v>229</v>
      </c>
      <c r="C88" s="278">
        <f>(C87/'Exh CTM-6 (Rate Design)'!$C$20)*'Exh CTM-6 (Rate Design)'!$C$21</f>
        <v>-60126.818332292969</v>
      </c>
      <c r="D88" s="75" t="s">
        <v>227</v>
      </c>
      <c r="E88" s="75"/>
      <c r="F88" s="69"/>
      <c r="G88" s="73">
        <f>'Exh CTM-6 (Rate Design)'!$G$21</f>
        <v>0.10632400043777007</v>
      </c>
      <c r="H88" s="74"/>
      <c r="I88" s="74"/>
      <c r="J88" s="55"/>
      <c r="K88" s="70">
        <f>G88*C88</f>
        <v>-6392.9238586844394</v>
      </c>
      <c r="L88" s="70">
        <f>G88*D88</f>
        <v>0</v>
      </c>
      <c r="M88" s="70">
        <f>G88*E88</f>
        <v>0</v>
      </c>
      <c r="N88" s="70"/>
      <c r="O88" s="70">
        <f>H88*D88</f>
        <v>0</v>
      </c>
      <c r="P88" s="70">
        <f>I88*E88</f>
        <v>0</v>
      </c>
      <c r="T88" s="65"/>
    </row>
    <row r="89" spans="1:21" x14ac:dyDescent="0.2">
      <c r="A89" s="37">
        <f t="shared" si="6"/>
        <v>79</v>
      </c>
      <c r="B89" s="50" t="s">
        <v>228</v>
      </c>
      <c r="C89" s="278">
        <f>(C87/'Exh CTM-6 (Rate Design)'!$C$20)*'Exh CTM-6 (Rate Design)'!$C$22</f>
        <v>2199.2173790767397</v>
      </c>
      <c r="D89" s="75" t="s">
        <v>227</v>
      </c>
      <c r="E89" s="75"/>
      <c r="F89" s="69"/>
      <c r="G89" s="73">
        <f>'Exh CTM-6 (Rate Design)'!$G$22</f>
        <v>0.10585622997633853</v>
      </c>
      <c r="H89" s="74"/>
      <c r="I89" s="74"/>
      <c r="J89" s="55"/>
      <c r="K89" s="279">
        <f>G89*C89</f>
        <v>232.80086064750785</v>
      </c>
      <c r="L89" s="70">
        <f>G89*D89</f>
        <v>0</v>
      </c>
      <c r="M89" s="70">
        <f>G89*E89</f>
        <v>0</v>
      </c>
      <c r="N89" s="70"/>
      <c r="O89" s="70">
        <f>H89*D89</f>
        <v>0</v>
      </c>
      <c r="P89" s="70">
        <f>I89*E89</f>
        <v>0</v>
      </c>
      <c r="T89" s="65"/>
    </row>
    <row r="90" spans="1:21" ht="12" thickBot="1" x14ac:dyDescent="0.25">
      <c r="A90" s="37">
        <f t="shared" si="6"/>
        <v>80</v>
      </c>
      <c r="B90" s="46" t="s">
        <v>226</v>
      </c>
      <c r="C90" s="76">
        <f>SUM(C87:C89)</f>
        <v>1325946.3160467835</v>
      </c>
      <c r="D90" s="76">
        <f>SUM(D87:D89)</f>
        <v>1384909.233060244</v>
      </c>
      <c r="E90" s="76">
        <f>SUM(E87:E89)</f>
        <v>1390700.8806265183</v>
      </c>
      <c r="F90" s="69"/>
      <c r="G90" s="73"/>
      <c r="H90" s="74"/>
      <c r="I90" s="74"/>
      <c r="J90" s="55"/>
      <c r="K90" s="70">
        <f>SUM(K87:K89)</f>
        <v>121140.86857260356</v>
      </c>
      <c r="L90" s="72">
        <f>SUM(L87:L89)</f>
        <v>121824.28956206064</v>
      </c>
      <c r="M90" s="72">
        <f>SUM(M87:M89)</f>
        <v>122456.49895168463</v>
      </c>
      <c r="N90" s="72"/>
      <c r="O90" s="72">
        <f>SUM(O87:O89)</f>
        <v>173099.24039816542</v>
      </c>
      <c r="P90" s="72">
        <f>SUM(P87:P89)</f>
        <v>186554.59445573401</v>
      </c>
      <c r="T90" s="65"/>
    </row>
    <row r="91" spans="1:21" ht="12.75" thickTop="1" thickBot="1" x14ac:dyDescent="0.25">
      <c r="A91" s="37">
        <f t="shared" si="6"/>
        <v>81</v>
      </c>
      <c r="B91" s="39" t="s">
        <v>308</v>
      </c>
      <c r="G91" s="77">
        <f>K91/C90</f>
        <v>9.6957838707870031E-2</v>
      </c>
      <c r="H91" s="77">
        <f>O91/D90</f>
        <v>0.13195468910736188</v>
      </c>
      <c r="I91" s="77">
        <f>P91/E90</f>
        <v>0.14316121510600308</v>
      </c>
      <c r="J91" s="55"/>
      <c r="K91" s="78">
        <f>SUM(K90,K77)</f>
        <v>128560.88904655848</v>
      </c>
      <c r="L91" s="78">
        <f>SUM(L90,L77)</f>
        <v>129244.31024837914</v>
      </c>
      <c r="M91" s="78">
        <f>SUM(M90,M77)</f>
        <v>129876.51875271829</v>
      </c>
      <c r="N91" s="78"/>
      <c r="O91" s="78">
        <f>SUM(O90,O77)</f>
        <v>182745.26729037947</v>
      </c>
      <c r="P91" s="78">
        <f>SUM(P90,P77)</f>
        <v>199094.42791948089</v>
      </c>
      <c r="R91" s="78"/>
      <c r="S91" s="78"/>
      <c r="T91" s="70"/>
    </row>
    <row r="92" spans="1:21" ht="12" thickTop="1" x14ac:dyDescent="0.2">
      <c r="A92" s="37">
        <f t="shared" si="6"/>
        <v>82</v>
      </c>
      <c r="G92" s="73"/>
      <c r="H92" s="73"/>
      <c r="I92" s="73"/>
      <c r="J92" s="55"/>
      <c r="K92" s="70"/>
      <c r="L92" s="70"/>
      <c r="M92" s="70"/>
      <c r="N92" s="70"/>
      <c r="O92" s="70"/>
      <c r="P92" s="70"/>
      <c r="R92" s="70"/>
      <c r="S92" s="70"/>
      <c r="T92" s="70"/>
    </row>
    <row r="93" spans="1:21" x14ac:dyDescent="0.2">
      <c r="A93" s="37">
        <f t="shared" si="6"/>
        <v>83</v>
      </c>
      <c r="B93" s="43" t="s">
        <v>224</v>
      </c>
      <c r="C93" s="3"/>
      <c r="D93" s="280"/>
      <c r="G93" s="73"/>
      <c r="H93" s="73"/>
      <c r="I93" s="73"/>
      <c r="J93" s="55"/>
      <c r="K93" s="73">
        <f>K87/C90</f>
        <v>9.6007651312897443E-2</v>
      </c>
      <c r="L93" s="73">
        <f>L87/D90</f>
        <v>8.7965540740070472E-2</v>
      </c>
      <c r="M93" s="73">
        <f>M87/E90</f>
        <v>8.8053801257763867E-2</v>
      </c>
      <c r="N93" s="70"/>
      <c r="O93" s="70"/>
      <c r="P93" s="70"/>
      <c r="R93" s="82">
        <f>$R$30</f>
        <v>0.12498959228950098</v>
      </c>
      <c r="S93" s="82">
        <f>$S$30</f>
        <v>0.13414429878816941</v>
      </c>
      <c r="T93" s="70"/>
    </row>
    <row r="94" spans="1:21" x14ac:dyDescent="0.2">
      <c r="A94" s="37">
        <f t="shared" si="6"/>
        <v>84</v>
      </c>
      <c r="B94" s="43" t="s">
        <v>223</v>
      </c>
      <c r="C94" s="3"/>
      <c r="D94" s="280"/>
      <c r="G94" s="73"/>
      <c r="H94" s="73"/>
      <c r="I94" s="73"/>
      <c r="J94" s="55"/>
      <c r="K94" s="70"/>
      <c r="L94" s="70"/>
      <c r="M94" s="70"/>
      <c r="N94" s="70"/>
      <c r="O94" s="70"/>
      <c r="P94" s="281" t="s">
        <v>160</v>
      </c>
      <c r="R94" s="82">
        <f>O87/D87-R93</f>
        <v>0</v>
      </c>
      <c r="S94" s="82">
        <f>P87/E87-S93</f>
        <v>0</v>
      </c>
      <c r="T94" s="70"/>
    </row>
    <row r="95" spans="1:21" x14ac:dyDescent="0.2">
      <c r="A95" s="37">
        <f t="shared" si="6"/>
        <v>85</v>
      </c>
      <c r="B95" s="43"/>
      <c r="C95" s="3"/>
      <c r="D95" s="280"/>
      <c r="G95" s="73"/>
      <c r="H95" s="73"/>
      <c r="I95" s="73"/>
      <c r="J95" s="55"/>
      <c r="K95" s="70"/>
      <c r="L95" s="70"/>
      <c r="M95" s="70"/>
      <c r="N95" s="70"/>
      <c r="O95" s="70"/>
      <c r="P95" s="70"/>
      <c r="R95" s="70"/>
      <c r="S95" s="70"/>
      <c r="T95" s="70"/>
    </row>
    <row r="96" spans="1:21" x14ac:dyDescent="0.2">
      <c r="A96" s="37">
        <f t="shared" si="6"/>
        <v>86</v>
      </c>
      <c r="B96" s="43"/>
      <c r="C96" s="3"/>
      <c r="D96" s="280"/>
      <c r="E96" s="63" t="s">
        <v>396</v>
      </c>
      <c r="F96" s="63"/>
      <c r="G96" s="79"/>
      <c r="H96" s="79"/>
      <c r="I96" s="79"/>
      <c r="J96" s="55"/>
      <c r="K96" s="70"/>
      <c r="L96" s="70"/>
      <c r="M96" s="70"/>
      <c r="N96" s="70"/>
      <c r="O96" s="70"/>
      <c r="P96" s="70"/>
      <c r="R96" s="70"/>
      <c r="S96" s="70"/>
      <c r="T96" s="70"/>
    </row>
    <row r="97" spans="1:21" x14ac:dyDescent="0.2">
      <c r="A97" s="37">
        <f t="shared" si="6"/>
        <v>87</v>
      </c>
      <c r="E97" s="80" t="s">
        <v>411</v>
      </c>
      <c r="F97" s="81"/>
      <c r="G97" s="80" t="s">
        <v>410</v>
      </c>
      <c r="H97" s="80" t="s">
        <v>409</v>
      </c>
      <c r="I97" s="80" t="s">
        <v>408</v>
      </c>
      <c r="J97" s="55"/>
      <c r="K97" s="7"/>
      <c r="L97" s="7"/>
      <c r="M97" s="7"/>
      <c r="N97" s="7"/>
      <c r="O97" s="70"/>
      <c r="P97" s="70"/>
      <c r="T97" s="70"/>
    </row>
    <row r="98" spans="1:21" x14ac:dyDescent="0.2">
      <c r="A98" s="37">
        <f t="shared" si="6"/>
        <v>88</v>
      </c>
      <c r="B98" s="83"/>
      <c r="C98" s="68"/>
      <c r="D98" s="83" t="s">
        <v>4</v>
      </c>
      <c r="E98" s="45" t="s">
        <v>407</v>
      </c>
      <c r="G98" s="22">
        <f>(G81/G82)</f>
        <v>1.6823564344724111</v>
      </c>
      <c r="H98" s="22">
        <f>(H81/H82)</f>
        <v>1.6823564344724111</v>
      </c>
      <c r="I98" s="22">
        <f>(I81/I82)</f>
        <v>1.6823564344724113</v>
      </c>
      <c r="J98" s="55"/>
      <c r="L98" s="70"/>
      <c r="M98" s="70"/>
      <c r="N98" s="70"/>
      <c r="O98" s="70"/>
      <c r="P98" s="70"/>
      <c r="R98" s="70"/>
      <c r="S98" s="70"/>
      <c r="T98" s="84"/>
    </row>
    <row r="99" spans="1:21" x14ac:dyDescent="0.2">
      <c r="A99" s="37">
        <f t="shared" si="6"/>
        <v>89</v>
      </c>
      <c r="B99" s="83"/>
      <c r="C99" s="68"/>
      <c r="D99" s="83" t="s">
        <v>3</v>
      </c>
      <c r="E99" s="94" t="s">
        <v>406</v>
      </c>
      <c r="F99" s="86"/>
      <c r="G99" s="24">
        <f>G85/G86</f>
        <v>1.6157299694708853</v>
      </c>
      <c r="H99" s="24">
        <f>H85/H86</f>
        <v>1.6157299694708853</v>
      </c>
      <c r="I99" s="24">
        <f>I85/I86</f>
        <v>1.6157299694708855</v>
      </c>
      <c r="J99" s="55"/>
      <c r="K99" s="68"/>
      <c r="L99" s="70"/>
      <c r="M99" s="70"/>
      <c r="N99" s="70"/>
      <c r="O99" s="70"/>
      <c r="P99" s="70"/>
      <c r="R99" s="70"/>
      <c r="S99" s="70"/>
      <c r="T99" s="84"/>
    </row>
    <row r="100" spans="1:21" x14ac:dyDescent="0.2">
      <c r="A100" s="37">
        <f t="shared" si="6"/>
        <v>90</v>
      </c>
      <c r="B100" s="83"/>
      <c r="C100" s="68"/>
      <c r="E100" s="80" t="s">
        <v>405</v>
      </c>
      <c r="F100" s="81"/>
      <c r="G100" s="80" t="s">
        <v>404</v>
      </c>
      <c r="H100" s="80" t="s">
        <v>403</v>
      </c>
      <c r="I100" s="80" t="s">
        <v>402</v>
      </c>
      <c r="J100" s="55"/>
      <c r="K100" s="68"/>
      <c r="L100" s="70"/>
      <c r="M100" s="70"/>
      <c r="N100" s="70"/>
      <c r="O100" s="70"/>
      <c r="P100" s="70"/>
      <c r="R100" s="70"/>
      <c r="S100" s="70"/>
      <c r="T100" s="84"/>
    </row>
    <row r="101" spans="1:21" x14ac:dyDescent="0.2">
      <c r="A101" s="37">
        <f t="shared" si="6"/>
        <v>91</v>
      </c>
      <c r="B101" s="83"/>
      <c r="C101" s="68"/>
      <c r="D101" s="83" t="s">
        <v>4</v>
      </c>
      <c r="E101" s="45" t="s">
        <v>401</v>
      </c>
      <c r="G101" s="22">
        <f>G80/G82</f>
        <v>6.6661858454823051</v>
      </c>
      <c r="H101" s="22">
        <f>H80/H82</f>
        <v>6.666185845482306</v>
      </c>
      <c r="I101" s="22">
        <f>I80/I82</f>
        <v>6.6661858454823069</v>
      </c>
      <c r="J101" s="55"/>
      <c r="K101" s="68"/>
      <c r="L101" s="70"/>
      <c r="M101" s="70"/>
      <c r="N101" s="70"/>
      <c r="O101" s="70"/>
      <c r="P101" s="70"/>
      <c r="R101" s="70"/>
      <c r="S101" s="70"/>
      <c r="T101" s="84"/>
    </row>
    <row r="102" spans="1:21" x14ac:dyDescent="0.2">
      <c r="A102" s="37">
        <f t="shared" si="6"/>
        <v>92</v>
      </c>
      <c r="B102" s="83"/>
      <c r="C102" s="68"/>
      <c r="D102" s="83" t="s">
        <v>3</v>
      </c>
      <c r="E102" s="94" t="s">
        <v>400</v>
      </c>
      <c r="F102" s="86"/>
      <c r="G102" s="93">
        <f>G84/G86</f>
        <v>3.5985290086105932</v>
      </c>
      <c r="H102" s="93">
        <f>H84/H86</f>
        <v>3.5985290086105937</v>
      </c>
      <c r="I102" s="93">
        <f>I84/I86</f>
        <v>3.5985290086105941</v>
      </c>
      <c r="J102" s="55"/>
      <c r="K102" s="68"/>
      <c r="L102" s="70"/>
      <c r="M102" s="70"/>
      <c r="N102" s="70"/>
      <c r="O102" s="70"/>
      <c r="P102" s="70"/>
      <c r="R102" s="70"/>
      <c r="S102" s="70"/>
      <c r="T102" s="84"/>
    </row>
    <row r="103" spans="1:21" x14ac:dyDescent="0.2">
      <c r="A103" s="37">
        <f t="shared" si="6"/>
        <v>93</v>
      </c>
      <c r="B103" s="87"/>
      <c r="C103" s="86"/>
      <c r="D103" s="86"/>
      <c r="E103" s="86"/>
      <c r="F103" s="86"/>
      <c r="G103" s="88"/>
      <c r="H103" s="5"/>
      <c r="I103" s="5"/>
      <c r="J103" s="86"/>
      <c r="K103" s="86"/>
      <c r="L103" s="86"/>
      <c r="M103" s="86"/>
      <c r="N103" s="86"/>
      <c r="O103" s="86" t="s">
        <v>307</v>
      </c>
      <c r="P103" s="86"/>
      <c r="Q103" s="86"/>
      <c r="R103" s="86"/>
      <c r="S103" s="86"/>
    </row>
    <row r="104" spans="1:21" x14ac:dyDescent="0.2">
      <c r="A104" s="37">
        <f t="shared" si="6"/>
        <v>94</v>
      </c>
    </row>
    <row r="105" spans="1:21" x14ac:dyDescent="0.2">
      <c r="A105" s="37">
        <f t="shared" si="6"/>
        <v>95</v>
      </c>
      <c r="B105" s="66" t="s">
        <v>399</v>
      </c>
      <c r="C105" s="67"/>
      <c r="D105" s="27"/>
      <c r="E105" s="27"/>
      <c r="F105" s="29"/>
      <c r="G105" s="67"/>
      <c r="H105" s="27"/>
      <c r="I105" s="27"/>
      <c r="J105" s="55"/>
      <c r="K105" s="67"/>
      <c r="L105" s="67"/>
      <c r="M105" s="67"/>
      <c r="N105" s="67"/>
      <c r="O105" s="27"/>
      <c r="P105" s="27"/>
      <c r="Q105" s="65"/>
      <c r="R105" s="27"/>
      <c r="S105" s="27"/>
      <c r="T105" s="65"/>
      <c r="U105" s="54"/>
    </row>
    <row r="106" spans="1:21" x14ac:dyDescent="0.2">
      <c r="A106" s="37">
        <f t="shared" si="6"/>
        <v>96</v>
      </c>
      <c r="B106" s="43" t="s">
        <v>14</v>
      </c>
      <c r="F106" s="29"/>
      <c r="G106" s="68"/>
      <c r="H106" s="68"/>
      <c r="I106" s="68"/>
      <c r="J106" s="55"/>
      <c r="O106" s="68"/>
      <c r="T106" s="65"/>
    </row>
    <row r="107" spans="1:21" x14ac:dyDescent="0.2">
      <c r="A107" s="37">
        <f t="shared" si="6"/>
        <v>97</v>
      </c>
      <c r="B107" s="39" t="s">
        <v>55</v>
      </c>
      <c r="C107" s="69"/>
      <c r="D107" s="69"/>
      <c r="E107" s="69"/>
      <c r="F107" s="69"/>
      <c r="G107" s="68"/>
      <c r="H107" s="68"/>
      <c r="I107" s="68"/>
      <c r="J107" s="55"/>
      <c r="O107" s="68"/>
      <c r="T107" s="65"/>
    </row>
    <row r="108" spans="1:21" x14ac:dyDescent="0.2">
      <c r="A108" s="37">
        <f t="shared" ref="A108:A136" si="11">A107+1</f>
        <v>98</v>
      </c>
      <c r="B108" s="39" t="s">
        <v>290</v>
      </c>
      <c r="C108" s="69">
        <v>1073.9996538235246</v>
      </c>
      <c r="D108" s="69">
        <v>1073.999653852135</v>
      </c>
      <c r="E108" s="69">
        <v>1073.9996537328659</v>
      </c>
      <c r="F108" s="69"/>
      <c r="G108" s="65">
        <f>'Exh CTM-6 (Rate Design)'!G33</f>
        <v>10.210000000000001</v>
      </c>
      <c r="H108" s="65">
        <f>'Exh CTM-6 (Rate Design)'!H33</f>
        <v>13.273000000000001</v>
      </c>
      <c r="I108" s="65">
        <f>'Exh CTM-6 (Rate Design)'!I33</f>
        <v>17.254900000000003</v>
      </c>
      <c r="J108" s="55"/>
      <c r="K108" s="70">
        <f>G108*C108</f>
        <v>10965.536465538187</v>
      </c>
      <c r="L108" s="70">
        <f>G108*D108</f>
        <v>10965.536465830299</v>
      </c>
      <c r="M108" s="70">
        <f>G108*E108</f>
        <v>10965.536464612562</v>
      </c>
      <c r="N108" s="70"/>
      <c r="O108" s="70">
        <f>H108*D108</f>
        <v>14255.197405579389</v>
      </c>
      <c r="P108" s="70">
        <f>I108*E108</f>
        <v>18531.75662519523</v>
      </c>
      <c r="R108" s="3">
        <f>(H108-G108)/G108</f>
        <v>0.30000000000000004</v>
      </c>
      <c r="S108" s="3">
        <f>(I108-H108)/H108</f>
        <v>0.30000000000000004</v>
      </c>
      <c r="T108" s="65"/>
      <c r="U108" s="39" t="s">
        <v>264</v>
      </c>
    </row>
    <row r="109" spans="1:21" x14ac:dyDescent="0.2">
      <c r="A109" s="37">
        <f t="shared" si="11"/>
        <v>99</v>
      </c>
      <c r="B109" s="39" t="s">
        <v>289</v>
      </c>
      <c r="C109" s="69">
        <v>3.4617647547201171E-4</v>
      </c>
      <c r="D109" s="69">
        <v>3.4614786502992903E-4</v>
      </c>
      <c r="E109" s="69">
        <v>3.4626713402397831E-4</v>
      </c>
      <c r="F109" s="69"/>
      <c r="G109" s="65">
        <f>'Exh CTM-6 (Rate Design)'!G34</f>
        <v>25.95</v>
      </c>
      <c r="H109" s="65">
        <f>'Exh CTM-6 (Rate Design)'!H34</f>
        <v>33.734999999999999</v>
      </c>
      <c r="I109" s="65">
        <f>'Exh CTM-6 (Rate Design)'!I34</f>
        <v>43.855499999999999</v>
      </c>
      <c r="J109" s="55"/>
      <c r="K109" s="70">
        <f>G109*C109</f>
        <v>8.9832795384987042E-3</v>
      </c>
      <c r="L109" s="70">
        <f>G109*D109</f>
        <v>8.9825370975266574E-3</v>
      </c>
      <c r="M109" s="70">
        <f>G109*E109</f>
        <v>8.9856321279222374E-3</v>
      </c>
      <c r="N109" s="70"/>
      <c r="O109" s="70">
        <f>H109*D109</f>
        <v>1.1677298226784656E-2</v>
      </c>
      <c r="P109" s="70">
        <f>I109*E109</f>
        <v>1.5185718296188581E-2</v>
      </c>
      <c r="R109" s="49">
        <f>R108</f>
        <v>0.30000000000000004</v>
      </c>
      <c r="S109" s="49">
        <f>S108</f>
        <v>0.30000000000000004</v>
      </c>
      <c r="T109" s="65"/>
      <c r="U109" s="39" t="s">
        <v>264</v>
      </c>
    </row>
    <row r="110" spans="1:21" x14ac:dyDescent="0.2">
      <c r="A110" s="37">
        <f t="shared" si="11"/>
        <v>100</v>
      </c>
      <c r="B110" s="46" t="s">
        <v>226</v>
      </c>
      <c r="C110" s="71">
        <f>SUM(C108:C109)</f>
        <v>1074</v>
      </c>
      <c r="D110" s="71">
        <f>SUM(D108:D109)</f>
        <v>1074</v>
      </c>
      <c r="E110" s="71">
        <f>SUM(E108:E109)</f>
        <v>1074</v>
      </c>
      <c r="F110" s="69"/>
      <c r="G110" s="277"/>
      <c r="H110" s="42"/>
      <c r="I110" s="42"/>
      <c r="J110" s="55"/>
      <c r="K110" s="72">
        <f>SUM(K108:K109)</f>
        <v>10965.545448817726</v>
      </c>
      <c r="L110" s="72">
        <f>SUM(L108:L109)</f>
        <v>10965.545448367397</v>
      </c>
      <c r="M110" s="72">
        <f>SUM(M108:M109)</f>
        <v>10965.54545024469</v>
      </c>
      <c r="N110" s="72"/>
      <c r="O110" s="72">
        <f>SUM(O108:O109)</f>
        <v>14255.209082877616</v>
      </c>
      <c r="P110" s="72">
        <f>SUM(P108:P109)</f>
        <v>18531.771810913528</v>
      </c>
      <c r="R110" s="49"/>
      <c r="S110" s="49"/>
      <c r="T110" s="65"/>
    </row>
    <row r="111" spans="1:21" x14ac:dyDescent="0.2">
      <c r="A111" s="37">
        <f t="shared" si="11"/>
        <v>101</v>
      </c>
      <c r="B111" s="39" t="s">
        <v>54</v>
      </c>
      <c r="C111" s="69"/>
      <c r="D111" s="69"/>
      <c r="E111" s="69"/>
      <c r="F111" s="69"/>
      <c r="G111" s="277"/>
      <c r="J111" s="55"/>
      <c r="K111" s="70"/>
      <c r="L111" s="70"/>
      <c r="M111" s="70"/>
      <c r="N111" s="70"/>
      <c r="O111" s="70"/>
      <c r="P111" s="70"/>
      <c r="R111" s="23"/>
      <c r="S111" s="23"/>
      <c r="T111" s="65"/>
      <c r="U111" s="40"/>
    </row>
    <row r="112" spans="1:21" x14ac:dyDescent="0.2">
      <c r="A112" s="37">
        <f t="shared" si="11"/>
        <v>102</v>
      </c>
      <c r="B112" s="50" t="s">
        <v>4</v>
      </c>
      <c r="C112" s="69"/>
      <c r="D112" s="69"/>
      <c r="E112" s="69"/>
      <c r="F112" s="69"/>
      <c r="G112" s="277"/>
      <c r="J112" s="55"/>
      <c r="K112" s="70"/>
      <c r="L112" s="70"/>
      <c r="M112" s="70"/>
      <c r="N112" s="70"/>
      <c r="O112" s="70"/>
      <c r="P112" s="70"/>
      <c r="R112" s="23"/>
      <c r="S112" s="23"/>
      <c r="T112" s="65"/>
      <c r="U112" s="40"/>
    </row>
    <row r="113" spans="1:21" x14ac:dyDescent="0.2">
      <c r="A113" s="37">
        <f t="shared" si="11"/>
        <v>103</v>
      </c>
      <c r="B113" s="89" t="s">
        <v>398</v>
      </c>
      <c r="C113" s="69">
        <v>1197.2369728868962</v>
      </c>
      <c r="D113" s="69">
        <v>261.16403702353927</v>
      </c>
      <c r="E113" s="69">
        <v>261.72520255755956</v>
      </c>
      <c r="F113" s="69"/>
      <c r="G113" s="82">
        <v>0.63333300000000003</v>
      </c>
      <c r="H113" s="73">
        <f t="shared" ref="H113:I115" si="12">G113*(1+R113)</f>
        <v>0.81195168317206146</v>
      </c>
      <c r="I113" s="73">
        <f t="shared" si="12"/>
        <v>0.87241943853294612</v>
      </c>
      <c r="J113" s="55"/>
      <c r="K113" s="70">
        <f>G113*C113</f>
        <v>758.24968374937669</v>
      </c>
      <c r="L113" s="70">
        <f>G113*D113</f>
        <v>165.40380306022919</v>
      </c>
      <c r="M113" s="70">
        <f>G113*E113</f>
        <v>165.75920771138686</v>
      </c>
      <c r="N113" s="70"/>
      <c r="O113" s="70">
        <f t="shared" ref="O113:P115" si="13">H113*D113</f>
        <v>212.0525794452733</v>
      </c>
      <c r="P113" s="70">
        <f t="shared" si="13"/>
        <v>228.33415426518769</v>
      </c>
      <c r="R113" s="3">
        <f>((D120*R126)-L120)/L120</f>
        <v>0.28202964818201698</v>
      </c>
      <c r="S113" s="3">
        <f>((S126*E120))/((H113*E113)+(H114*E114)+(H115*E115)+(H117*E117)+(H118*E118)+(H119*E119))-1</f>
        <v>7.4472110365797262E-2</v>
      </c>
      <c r="T113" s="65"/>
      <c r="U113" s="43" t="s">
        <v>230</v>
      </c>
    </row>
    <row r="114" spans="1:21" x14ac:dyDescent="0.2">
      <c r="A114" s="37">
        <f t="shared" si="11"/>
        <v>104</v>
      </c>
      <c r="B114" s="48" t="s">
        <v>2</v>
      </c>
      <c r="C114" s="69">
        <v>58105.901084110701</v>
      </c>
      <c r="D114" s="69">
        <v>12675.161263542441</v>
      </c>
      <c r="E114" s="69">
        <v>12702.396497460222</v>
      </c>
      <c r="F114" s="69"/>
      <c r="G114" s="82">
        <v>0.18082200000000001</v>
      </c>
      <c r="H114" s="73">
        <f t="shared" si="12"/>
        <v>0.2318191650435687</v>
      </c>
      <c r="I114" s="73">
        <f t="shared" si="12"/>
        <v>0.24908322748760031</v>
      </c>
      <c r="J114" s="55"/>
      <c r="K114" s="70">
        <f>G114*C114</f>
        <v>10506.825245831065</v>
      </c>
      <c r="L114" s="70">
        <f>G114*D114</f>
        <v>2291.9480099962711</v>
      </c>
      <c r="M114" s="70">
        <f>G114*E114</f>
        <v>2296.8727394637526</v>
      </c>
      <c r="N114" s="70"/>
      <c r="O114" s="70">
        <f t="shared" si="13"/>
        <v>2938.345300906994</v>
      </c>
      <c r="P114" s="70">
        <f t="shared" si="13"/>
        <v>3163.9539164145817</v>
      </c>
      <c r="R114" s="23">
        <f>R113</f>
        <v>0.28202964818201698</v>
      </c>
      <c r="S114" s="23">
        <f>S113</f>
        <v>7.4472110365797262E-2</v>
      </c>
      <c r="T114" s="65"/>
      <c r="U114" s="43" t="s">
        <v>230</v>
      </c>
    </row>
    <row r="115" spans="1:21" x14ac:dyDescent="0.2">
      <c r="A115" s="37">
        <f t="shared" si="11"/>
        <v>105</v>
      </c>
      <c r="B115" s="48" t="s">
        <v>1</v>
      </c>
      <c r="C115" s="69">
        <v>291694.29694702069</v>
      </c>
      <c r="D115" s="69">
        <v>63629.892738556235</v>
      </c>
      <c r="E115" s="69">
        <v>63766.614865941112</v>
      </c>
      <c r="F115" s="69"/>
      <c r="G115" s="82">
        <v>7.6999999999999999E-2</v>
      </c>
      <c r="H115" s="73">
        <f t="shared" si="12"/>
        <v>9.8716282910015316E-2</v>
      </c>
      <c r="I115" s="73">
        <f t="shared" si="12"/>
        <v>0.10606789282579124</v>
      </c>
      <c r="J115" s="55"/>
      <c r="K115" s="70">
        <f>G115*C115</f>
        <v>22460.460864920591</v>
      </c>
      <c r="L115" s="70">
        <f>G115*D115</f>
        <v>4899.50174086883</v>
      </c>
      <c r="M115" s="70">
        <f>G115*E115</f>
        <v>4910.0293446774658</v>
      </c>
      <c r="N115" s="70"/>
      <c r="O115" s="70">
        <f t="shared" si="13"/>
        <v>6281.3064931132467</v>
      </c>
      <c r="P115" s="70">
        <f t="shared" si="13"/>
        <v>6763.5904714641483</v>
      </c>
      <c r="R115" s="23">
        <f>R114</f>
        <v>0.28202964818201698</v>
      </c>
      <c r="S115" s="23">
        <f>S114</f>
        <v>7.4472110365797262E-2</v>
      </c>
      <c r="T115" s="65"/>
      <c r="U115" s="43" t="s">
        <v>230</v>
      </c>
    </row>
    <row r="116" spans="1:21" x14ac:dyDescent="0.2">
      <c r="A116" s="37">
        <f t="shared" si="11"/>
        <v>106</v>
      </c>
      <c r="B116" s="41" t="s">
        <v>3</v>
      </c>
      <c r="C116" s="69"/>
      <c r="D116" s="69"/>
      <c r="E116" s="69"/>
      <c r="F116" s="69"/>
      <c r="G116" s="82"/>
      <c r="H116" s="73"/>
      <c r="I116" s="73"/>
      <c r="J116" s="55"/>
      <c r="K116" s="70"/>
      <c r="L116" s="70"/>
      <c r="M116" s="70"/>
      <c r="N116" s="70"/>
      <c r="O116" s="70"/>
      <c r="P116" s="70"/>
      <c r="R116" s="8"/>
      <c r="S116" s="8"/>
      <c r="T116" s="65"/>
      <c r="U116" s="43"/>
    </row>
    <row r="117" spans="1:21" x14ac:dyDescent="0.2">
      <c r="A117" s="37">
        <f t="shared" si="11"/>
        <v>107</v>
      </c>
      <c r="B117" s="89" t="s">
        <v>398</v>
      </c>
      <c r="C117" s="69">
        <v>545.32335987641011</v>
      </c>
      <c r="D117" s="69">
        <v>151.57115702818299</v>
      </c>
      <c r="E117" s="69">
        <v>151.30901582405741</v>
      </c>
      <c r="F117" s="69"/>
      <c r="G117" s="82">
        <v>0.63333300000000003</v>
      </c>
      <c r="H117" s="73">
        <f t="shared" ref="H117:I119" si="14">G117*(1+R117)</f>
        <v>0.81195168317206146</v>
      </c>
      <c r="I117" s="73">
        <f t="shared" si="14"/>
        <v>0.87241943853294612</v>
      </c>
      <c r="J117" s="55"/>
      <c r="K117" s="70">
        <f>G117*C117</f>
        <v>345.37127948060646</v>
      </c>
      <c r="L117" s="70">
        <f>G117*D117</f>
        <v>95.995015594130223</v>
      </c>
      <c r="M117" s="70">
        <f>G117*E117</f>
        <v>95.828992918897754</v>
      </c>
      <c r="N117" s="70"/>
      <c r="O117" s="70">
        <f t="shared" ref="O117:P119" si="15">H117*D117</f>
        <v>123.06845606937001</v>
      </c>
      <c r="P117" s="70">
        <f t="shared" si="15"/>
        <v>132.00492663019682</v>
      </c>
      <c r="R117" s="23">
        <f>R115</f>
        <v>0.28202964818201698</v>
      </c>
      <c r="S117" s="23">
        <f>S115</f>
        <v>7.4472110365797262E-2</v>
      </c>
      <c r="T117" s="65"/>
      <c r="U117" s="43" t="s">
        <v>230</v>
      </c>
    </row>
    <row r="118" spans="1:21" x14ac:dyDescent="0.2">
      <c r="A118" s="37">
        <f t="shared" si="11"/>
        <v>108</v>
      </c>
      <c r="B118" s="48" t="s">
        <v>2</v>
      </c>
      <c r="C118" s="69">
        <v>26466.360399335106</v>
      </c>
      <c r="D118" s="69">
        <v>7356.2534877678154</v>
      </c>
      <c r="E118" s="69">
        <v>7343.5309013275864</v>
      </c>
      <c r="F118" s="69"/>
      <c r="G118" s="82">
        <v>0.15570800000000001</v>
      </c>
      <c r="H118" s="73">
        <f t="shared" si="14"/>
        <v>0.19962227245912553</v>
      </c>
      <c r="I118" s="73">
        <f t="shared" si="14"/>
        <v>0.21448856436517277</v>
      </c>
      <c r="J118" s="55"/>
      <c r="K118" s="70">
        <f>G118*C118</f>
        <v>4121.0240450596712</v>
      </c>
      <c r="L118" s="70">
        <f>G118*D118</f>
        <v>1145.4275180733512</v>
      </c>
      <c r="M118" s="70">
        <f>G118*E118</f>
        <v>1143.4465095839159</v>
      </c>
      <c r="N118" s="70"/>
      <c r="O118" s="70">
        <f t="shared" si="15"/>
        <v>1468.4720380135793</v>
      </c>
      <c r="P118" s="70">
        <f t="shared" si="15"/>
        <v>1575.1034003970371</v>
      </c>
      <c r="R118" s="23">
        <f>R117</f>
        <v>0.28202964818201698</v>
      </c>
      <c r="S118" s="23">
        <f>S117</f>
        <v>7.4472110365797262E-2</v>
      </c>
      <c r="T118" s="65"/>
      <c r="U118" s="43" t="s">
        <v>230</v>
      </c>
    </row>
    <row r="119" spans="1:21" x14ac:dyDescent="0.2">
      <c r="A119" s="37">
        <f t="shared" si="11"/>
        <v>109</v>
      </c>
      <c r="B119" s="48" t="s">
        <v>1</v>
      </c>
      <c r="C119" s="69">
        <v>281934.44923677016</v>
      </c>
      <c r="D119" s="69">
        <v>78362.919730058245</v>
      </c>
      <c r="E119" s="69">
        <v>78227.391635270295</v>
      </c>
      <c r="F119" s="69"/>
      <c r="G119" s="82">
        <v>7.6999999999999999E-2</v>
      </c>
      <c r="H119" s="73">
        <f t="shared" si="14"/>
        <v>9.8716282910015316E-2</v>
      </c>
      <c r="I119" s="73">
        <f t="shared" si="14"/>
        <v>0.10606789282579124</v>
      </c>
      <c r="J119" s="55"/>
      <c r="K119" s="70">
        <f>G119*C119</f>
        <v>21708.952591231304</v>
      </c>
      <c r="L119" s="70">
        <f>G119*D119</f>
        <v>6033.9448192144846</v>
      </c>
      <c r="M119" s="70">
        <f>G119*E119</f>
        <v>6023.5091559158127</v>
      </c>
      <c r="N119" s="70"/>
      <c r="O119" s="70">
        <f t="shared" si="15"/>
        <v>7735.6961537272509</v>
      </c>
      <c r="P119" s="70">
        <f t="shared" si="15"/>
        <v>8297.4145920110477</v>
      </c>
      <c r="R119" s="23">
        <f>R118</f>
        <v>0.28202964818201698</v>
      </c>
      <c r="S119" s="23">
        <f>S118</f>
        <v>7.4472110365797262E-2</v>
      </c>
      <c r="T119" s="65"/>
      <c r="U119" s="43" t="s">
        <v>230</v>
      </c>
    </row>
    <row r="120" spans="1:21" x14ac:dyDescent="0.2">
      <c r="A120" s="37">
        <f t="shared" si="11"/>
        <v>110</v>
      </c>
      <c r="B120" s="46" t="s">
        <v>226</v>
      </c>
      <c r="C120" s="71">
        <f>SUM(C113:C119)</f>
        <v>659943.56799999997</v>
      </c>
      <c r="D120" s="71">
        <f>SUM(D113:D119)</f>
        <v>162436.96241397646</v>
      </c>
      <c r="E120" s="71">
        <f>SUM(E113:E119)</f>
        <v>162452.96811838081</v>
      </c>
      <c r="F120" s="69"/>
      <c r="G120" s="74"/>
      <c r="H120" s="74"/>
      <c r="I120" s="74"/>
      <c r="J120" s="55"/>
      <c r="K120" s="72">
        <f>SUM(K113:K119)</f>
        <v>59900.88371027261</v>
      </c>
      <c r="L120" s="72">
        <f>SUM(L113:L119)</f>
        <v>14632.220906807295</v>
      </c>
      <c r="M120" s="72">
        <f>SUM(M113:M119)</f>
        <v>14635.445950271231</v>
      </c>
      <c r="N120" s="72"/>
      <c r="O120" s="72">
        <f>SUM(O113:O119)</f>
        <v>18758.941021275714</v>
      </c>
      <c r="P120" s="72">
        <f>SUM(P113:P119)</f>
        <v>20160.401461182199</v>
      </c>
      <c r="T120" s="65"/>
    </row>
    <row r="121" spans="1:21" x14ac:dyDescent="0.2">
      <c r="A121" s="37">
        <f t="shared" si="11"/>
        <v>111</v>
      </c>
      <c r="B121" s="50" t="s">
        <v>229</v>
      </c>
      <c r="C121" s="278">
        <f>(C120/'Exh CTM-6 (Rate Design)'!$C$20)*'Exh CTM-6 (Rate Design)'!$C$21</f>
        <v>-28673.354223426144</v>
      </c>
      <c r="D121" s="75" t="s">
        <v>227</v>
      </c>
      <c r="E121" s="75"/>
      <c r="F121" s="69"/>
      <c r="G121" s="73">
        <f>'Exh CTM-6 (Rate Design)'!$G$21</f>
        <v>0.10632400043777007</v>
      </c>
      <c r="H121" s="74"/>
      <c r="I121" s="74"/>
      <c r="J121" s="55"/>
      <c r="K121" s="70">
        <f>G121*C121</f>
        <v>-3048.6657270038977</v>
      </c>
      <c r="L121" s="70">
        <f>G121*D121</f>
        <v>0</v>
      </c>
      <c r="M121" s="70">
        <f>G121*E121</f>
        <v>0</v>
      </c>
      <c r="N121" s="70"/>
      <c r="O121" s="70">
        <f>H121*D121</f>
        <v>0</v>
      </c>
      <c r="P121" s="70">
        <f>I121*E121</f>
        <v>0</v>
      </c>
      <c r="T121" s="65"/>
    </row>
    <row r="122" spans="1:21" x14ac:dyDescent="0.2">
      <c r="A122" s="37">
        <f t="shared" si="11"/>
        <v>112</v>
      </c>
      <c r="B122" s="50" t="s">
        <v>228</v>
      </c>
      <c r="C122" s="278">
        <f>(C120/'Exh CTM-6 (Rate Design)'!$C$20)*'Exh CTM-6 (Rate Design)'!$C$22</f>
        <v>1048.7656036626579</v>
      </c>
      <c r="D122" s="75" t="s">
        <v>227</v>
      </c>
      <c r="E122" s="75"/>
      <c r="F122" s="69"/>
      <c r="G122" s="73">
        <f>'Exh CTM-6 (Rate Design)'!$G$22</f>
        <v>0.10585622997633853</v>
      </c>
      <c r="H122" s="74"/>
      <c r="I122" s="74"/>
      <c r="J122" s="55"/>
      <c r="K122" s="279">
        <f>G122*C122</f>
        <v>111.01837293258782</v>
      </c>
      <c r="L122" s="70">
        <f>G122*D122</f>
        <v>0</v>
      </c>
      <c r="M122" s="70">
        <f>G122*E122</f>
        <v>0</v>
      </c>
      <c r="N122" s="70"/>
      <c r="O122" s="70">
        <f>H122*D122</f>
        <v>0</v>
      </c>
      <c r="P122" s="70">
        <f>I122*E122</f>
        <v>0</v>
      </c>
      <c r="T122" s="65"/>
    </row>
    <row r="123" spans="1:21" ht="12" thickBot="1" x14ac:dyDescent="0.25">
      <c r="A123" s="37">
        <f t="shared" si="11"/>
        <v>113</v>
      </c>
      <c r="B123" s="46" t="s">
        <v>226</v>
      </c>
      <c r="C123" s="76">
        <f>SUM(C120:C122)</f>
        <v>632318.97938023647</v>
      </c>
      <c r="D123" s="76">
        <f>SUM(D120:D122)</f>
        <v>162436.96241397646</v>
      </c>
      <c r="E123" s="76">
        <f>SUM(E120:E122)</f>
        <v>162452.96811838081</v>
      </c>
      <c r="F123" s="69"/>
      <c r="G123" s="73"/>
      <c r="H123" s="74"/>
      <c r="I123" s="74"/>
      <c r="J123" s="55"/>
      <c r="K123" s="70">
        <f>SUM(K120:K122)</f>
        <v>56963.236356201298</v>
      </c>
      <c r="L123" s="72">
        <f>SUM(L120:L122)</f>
        <v>14632.220906807295</v>
      </c>
      <c r="M123" s="72">
        <f>SUM(M120:M122)</f>
        <v>14635.445950271231</v>
      </c>
      <c r="N123" s="72"/>
      <c r="O123" s="72">
        <f>SUM(O120:O122)</f>
        <v>18758.941021275714</v>
      </c>
      <c r="P123" s="72">
        <f>SUM(P120:P122)</f>
        <v>20160.401461182199</v>
      </c>
      <c r="T123" s="65"/>
    </row>
    <row r="124" spans="1:21" ht="12.75" thickTop="1" thickBot="1" x14ac:dyDescent="0.25">
      <c r="A124" s="37">
        <f t="shared" si="11"/>
        <v>114</v>
      </c>
      <c r="B124" s="39" t="s">
        <v>308</v>
      </c>
      <c r="G124" s="77">
        <f>K124/C123</f>
        <v>0.10742802923865895</v>
      </c>
      <c r="H124" s="77">
        <f>O124/D123</f>
        <v>0.20324284333768555</v>
      </c>
      <c r="I124" s="77">
        <f>P124/E123</f>
        <v>0.23817461583035171</v>
      </c>
      <c r="J124" s="55"/>
      <c r="K124" s="78">
        <f>SUM(K123,K110)</f>
        <v>67928.781805019025</v>
      </c>
      <c r="L124" s="78">
        <f>SUM(L123,L110)</f>
        <v>25597.766355174692</v>
      </c>
      <c r="M124" s="78">
        <f>SUM(M123,M110)</f>
        <v>25600.991400515923</v>
      </c>
      <c r="N124" s="78"/>
      <c r="O124" s="78">
        <f>SUM(O123,O110)</f>
        <v>33014.150104153334</v>
      </c>
      <c r="P124" s="78">
        <f>SUM(P123,P110)</f>
        <v>38692.173272095722</v>
      </c>
      <c r="R124" s="78"/>
      <c r="S124" s="78"/>
      <c r="T124" s="70"/>
    </row>
    <row r="125" spans="1:21" ht="12" thickTop="1" x14ac:dyDescent="0.2">
      <c r="A125" s="37">
        <f t="shared" si="11"/>
        <v>115</v>
      </c>
      <c r="G125" s="73"/>
      <c r="H125" s="73"/>
      <c r="I125" s="73"/>
      <c r="J125" s="55"/>
      <c r="K125" s="70"/>
      <c r="L125" s="70"/>
      <c r="M125" s="70"/>
      <c r="N125" s="70"/>
      <c r="O125" s="70"/>
      <c r="P125" s="70"/>
      <c r="R125" s="70"/>
      <c r="S125" s="70"/>
      <c r="T125" s="70"/>
    </row>
    <row r="126" spans="1:21" x14ac:dyDescent="0.2">
      <c r="A126" s="37">
        <f t="shared" si="11"/>
        <v>116</v>
      </c>
      <c r="B126" s="39" t="s">
        <v>397</v>
      </c>
      <c r="G126" s="73">
        <f>G113-G114</f>
        <v>0.452511</v>
      </c>
      <c r="H126" s="73">
        <f>H113-H114</f>
        <v>0.58013251812849276</v>
      </c>
      <c r="I126" s="73">
        <f>I113-I114</f>
        <v>0.62333621104534576</v>
      </c>
      <c r="J126" s="55"/>
      <c r="K126" s="70"/>
      <c r="L126" s="70"/>
      <c r="M126" s="70"/>
      <c r="N126" s="70"/>
      <c r="O126" s="70"/>
      <c r="P126" s="70"/>
      <c r="R126" s="82">
        <f>'Exh CTM-6 (Rate Design)'!O39/'Exh CTM-6 (Rate Design)'!D39</f>
        <v>0.11548443619296372</v>
      </c>
      <c r="S126" s="82">
        <f>'Exh CTM-6 (Rate Design)'!P39/'Exh CTM-6 (Rate Design)'!E39</f>
        <v>0.12409992685692973</v>
      </c>
      <c r="T126" s="70"/>
    </row>
    <row r="127" spans="1:21" x14ac:dyDescent="0.2">
      <c r="A127" s="37">
        <f t="shared" si="11"/>
        <v>117</v>
      </c>
      <c r="G127" s="73"/>
      <c r="H127" s="73"/>
      <c r="I127" s="73"/>
      <c r="J127" s="55"/>
      <c r="K127" s="70"/>
      <c r="L127" s="70"/>
      <c r="M127" s="70"/>
      <c r="N127" s="70"/>
      <c r="O127" s="70"/>
      <c r="P127" s="281" t="s">
        <v>160</v>
      </c>
      <c r="R127" s="82">
        <f>O120/D120-R126</f>
        <v>0</v>
      </c>
      <c r="S127" s="82">
        <f>P120/E120-S126</f>
        <v>0</v>
      </c>
      <c r="T127" s="70"/>
    </row>
    <row r="128" spans="1:21" x14ac:dyDescent="0.2">
      <c r="A128" s="37">
        <f t="shared" si="11"/>
        <v>118</v>
      </c>
      <c r="B128" s="43" t="s">
        <v>224</v>
      </c>
      <c r="C128" s="3"/>
      <c r="D128" s="280"/>
      <c r="G128" s="73"/>
      <c r="H128" s="73"/>
      <c r="I128" s="73"/>
      <c r="J128" s="55"/>
      <c r="K128" s="70"/>
      <c r="L128" s="70"/>
      <c r="M128" s="70"/>
      <c r="N128" s="70"/>
      <c r="O128" s="70"/>
      <c r="P128" s="70"/>
      <c r="R128" s="70"/>
      <c r="S128" s="70"/>
      <c r="T128" s="70"/>
    </row>
    <row r="129" spans="1:20" x14ac:dyDescent="0.2">
      <c r="A129" s="37">
        <f t="shared" si="11"/>
        <v>119</v>
      </c>
      <c r="B129" s="43" t="s">
        <v>223</v>
      </c>
      <c r="C129" s="3"/>
      <c r="D129" s="280"/>
      <c r="G129" s="73"/>
      <c r="H129" s="73"/>
      <c r="I129" s="73"/>
      <c r="J129" s="55"/>
      <c r="K129" s="70"/>
      <c r="L129" s="70"/>
      <c r="M129" s="70"/>
      <c r="N129" s="70"/>
      <c r="O129" s="70"/>
      <c r="P129" s="70"/>
      <c r="R129" s="70"/>
      <c r="S129" s="70"/>
      <c r="T129" s="70"/>
    </row>
    <row r="130" spans="1:20" x14ac:dyDescent="0.2">
      <c r="A130" s="37">
        <f t="shared" si="11"/>
        <v>120</v>
      </c>
      <c r="B130" s="43"/>
      <c r="C130" s="3"/>
      <c r="D130" s="280"/>
      <c r="G130" s="73"/>
      <c r="H130" s="73"/>
      <c r="I130" s="73"/>
      <c r="J130" s="55"/>
      <c r="K130" s="70"/>
      <c r="L130" s="70"/>
      <c r="M130" s="70"/>
      <c r="N130" s="70"/>
      <c r="O130" s="70"/>
      <c r="P130" s="70"/>
      <c r="R130" s="70"/>
      <c r="S130" s="70"/>
      <c r="T130" s="70"/>
    </row>
    <row r="131" spans="1:20" x14ac:dyDescent="0.2">
      <c r="A131" s="37">
        <f t="shared" si="11"/>
        <v>121</v>
      </c>
      <c r="B131" s="43"/>
      <c r="C131" s="3"/>
      <c r="D131" s="280"/>
      <c r="E131" s="63" t="s">
        <v>396</v>
      </c>
      <c r="F131" s="63"/>
      <c r="G131" s="63"/>
      <c r="H131" s="79"/>
      <c r="I131" s="79"/>
      <c r="J131" s="55"/>
      <c r="K131" s="70"/>
      <c r="L131" s="70"/>
      <c r="M131" s="70"/>
      <c r="N131" s="70"/>
      <c r="O131" s="70"/>
      <c r="P131" s="70"/>
      <c r="R131" s="70"/>
      <c r="S131" s="70"/>
      <c r="T131" s="70"/>
    </row>
    <row r="132" spans="1:20" x14ac:dyDescent="0.2">
      <c r="A132" s="37">
        <f t="shared" si="11"/>
        <v>122</v>
      </c>
      <c r="E132" s="80" t="s">
        <v>395</v>
      </c>
      <c r="F132" s="81"/>
      <c r="G132" s="80" t="s">
        <v>394</v>
      </c>
      <c r="H132" s="80" t="s">
        <v>393</v>
      </c>
      <c r="I132" s="80" t="s">
        <v>392</v>
      </c>
      <c r="J132" s="55"/>
      <c r="K132" s="7"/>
      <c r="L132" s="7"/>
      <c r="M132" s="7"/>
      <c r="N132" s="7"/>
      <c r="O132" s="70"/>
      <c r="P132" s="70"/>
      <c r="T132" s="70"/>
    </row>
    <row r="133" spans="1:20" x14ac:dyDescent="0.2">
      <c r="A133" s="37">
        <f t="shared" si="11"/>
        <v>123</v>
      </c>
      <c r="B133" s="83"/>
      <c r="C133" s="68"/>
      <c r="D133" s="83" t="s">
        <v>4</v>
      </c>
      <c r="E133" s="37" t="s">
        <v>391</v>
      </c>
      <c r="G133" s="22">
        <f>(G114/G115)</f>
        <v>2.3483376623376624</v>
      </c>
      <c r="H133" s="22">
        <f>(H114/H115)</f>
        <v>2.3483376623376624</v>
      </c>
      <c r="I133" s="22">
        <f>(I114/I115)</f>
        <v>2.3483376623376624</v>
      </c>
      <c r="J133" s="55"/>
      <c r="K133" s="68"/>
      <c r="L133" s="70"/>
      <c r="M133" s="70"/>
      <c r="N133" s="70"/>
      <c r="O133" s="70"/>
      <c r="P133" s="70"/>
      <c r="R133" s="70"/>
      <c r="S133" s="70"/>
      <c r="T133" s="84"/>
    </row>
    <row r="134" spans="1:20" x14ac:dyDescent="0.2">
      <c r="A134" s="37">
        <f t="shared" si="11"/>
        <v>124</v>
      </c>
      <c r="C134" s="68"/>
      <c r="D134" s="83" t="s">
        <v>3</v>
      </c>
      <c r="E134" s="37" t="s">
        <v>390</v>
      </c>
      <c r="G134" s="22">
        <f>G118/G119</f>
        <v>2.0221818181818185</v>
      </c>
      <c r="H134" s="22">
        <f>H118/H119</f>
        <v>2.0221818181818185</v>
      </c>
      <c r="I134" s="22">
        <f>I118/I119</f>
        <v>2.0221818181818185</v>
      </c>
      <c r="J134" s="55"/>
      <c r="K134" s="68"/>
      <c r="L134" s="70"/>
      <c r="M134" s="70"/>
      <c r="N134" s="70"/>
      <c r="O134" s="70"/>
      <c r="P134" s="70"/>
      <c r="R134" s="70"/>
      <c r="S134" s="70"/>
      <c r="T134" s="84"/>
    </row>
    <row r="135" spans="1:20" x14ac:dyDescent="0.2">
      <c r="A135" s="37">
        <f t="shared" si="11"/>
        <v>125</v>
      </c>
      <c r="B135" s="91" t="s">
        <v>389</v>
      </c>
      <c r="C135" s="68"/>
      <c r="D135" s="83" t="s">
        <v>388</v>
      </c>
      <c r="E135" s="94" t="s">
        <v>387</v>
      </c>
      <c r="F135" s="86"/>
      <c r="G135" s="93">
        <f>G113/G115</f>
        <v>8.2251038961038958</v>
      </c>
      <c r="H135" s="93">
        <f>H113/H115</f>
        <v>8.2251038961038958</v>
      </c>
      <c r="I135" s="93">
        <f>I113/I115</f>
        <v>8.2251038961038976</v>
      </c>
      <c r="J135" s="55"/>
      <c r="K135" s="68"/>
      <c r="L135" s="70"/>
      <c r="M135" s="70"/>
      <c r="N135" s="70"/>
      <c r="O135" s="70"/>
      <c r="P135" s="70"/>
      <c r="R135" s="70"/>
      <c r="S135" s="70"/>
      <c r="T135" s="84"/>
    </row>
    <row r="136" spans="1:20" ht="36" customHeight="1" x14ac:dyDescent="0.25">
      <c r="A136" s="37">
        <f t="shared" si="11"/>
        <v>126</v>
      </c>
      <c r="B136" s="401" t="s">
        <v>439</v>
      </c>
      <c r="C136" s="402"/>
      <c r="D136" s="402"/>
      <c r="E136" s="402"/>
      <c r="F136" s="402"/>
      <c r="G136" s="402"/>
      <c r="H136" s="402"/>
      <c r="I136" s="402"/>
      <c r="J136" s="402"/>
      <c r="K136" s="402"/>
      <c r="L136" s="402"/>
      <c r="M136" s="402"/>
      <c r="N136" s="402"/>
      <c r="O136" s="402"/>
      <c r="P136" s="402"/>
      <c r="Q136" s="402"/>
      <c r="R136" s="402"/>
      <c r="S136" s="402"/>
      <c r="T136" s="86"/>
    </row>
  </sheetData>
  <mergeCells count="6">
    <mergeCell ref="B136:S136"/>
    <mergeCell ref="C8:E8"/>
    <mergeCell ref="G8:I8"/>
    <mergeCell ref="K8:M8"/>
    <mergeCell ref="O8:P8"/>
    <mergeCell ref="R8:S8"/>
  </mergeCells>
  <printOptions horizontalCentered="1"/>
  <pageMargins left="0.7" right="0.7" top="0.75" bottom="0.75" header="0.3" footer="0.3"/>
  <pageSetup scale="45" fitToHeight="0" orientation="landscape" r:id="rId1"/>
  <headerFooter alignWithMargins="0">
    <oddFooter>&amp;R&amp;F
&amp;A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2024-08-13T07:00:00+00:00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A78F29A-7165-4948-991C-4D0976435047}"/>
</file>

<file path=customXml/itemProps2.xml><?xml version="1.0" encoding="utf-8"?>
<ds:datastoreItem xmlns:ds="http://schemas.openxmlformats.org/officeDocument/2006/customXml" ds:itemID="{3F0A77D5-9F63-4296-BBEC-B4814CCAC606}">
  <ds:schemaRefs>
    <ds:schemaRef ds:uri="http://schemas.microsoft.com/sharepoint/v3/contenttype/forms"/>
  </ds:schemaRefs>
</ds:datastoreItem>
</file>

<file path=customXml/itemProps3.xml><?xml version="1.0" encoding="utf-8"?>
<ds:datastoreItem xmlns:ds="http://schemas.openxmlformats.org/officeDocument/2006/customXml" ds:itemID="{6F26A103-6846-4DCF-B5B5-246CEBB76F40}">
  <ds:schemaRefs>
    <ds:schemaRef ds:uri="http://schemas.microsoft.com/office/2006/metadata/properties"/>
    <ds:schemaRef ds:uri="http://schemas.microsoft.com/office/infopath/2007/PartnerControls"/>
    <ds:schemaRef ds:uri="08c8d2a6-b026-4881-9b30-cdb1fe6b735d"/>
    <ds:schemaRef ds:uri="fbaf3abe-5afe-46cd-8068-c4b5a8ac1b20"/>
  </ds:schemaRefs>
</ds:datastoreItem>
</file>

<file path=customXml/itemProps4.xml><?xml version="1.0" encoding="utf-8"?>
<ds:datastoreItem xmlns:ds="http://schemas.openxmlformats.org/officeDocument/2006/customXml" ds:itemID="{3CC80CFC-1B8E-420F-B2E7-47EFB3328F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Exhibit DED-5</vt:lpstr>
      <vt:lpstr>Data &gt;</vt:lpstr>
      <vt:lpstr>Exh CTM-6 (Tariff)</vt:lpstr>
      <vt:lpstr>Exh CTM-6 (Rate Spread)</vt:lpstr>
      <vt:lpstr>Exh CTM-6 (Rate Design)</vt:lpstr>
      <vt:lpstr>Exh CTM-6 (141CGR)</vt:lpstr>
      <vt:lpstr>Exh CTM-6 (141DCARB)</vt:lpstr>
      <vt:lpstr>Exh CTM-6 (141WFP)</vt:lpstr>
      <vt:lpstr>Exh CTM-6 (TVR Rate Design)</vt:lpstr>
      <vt:lpstr>'Exh CTM-6 (Rate Design)'!Print_Area</vt:lpstr>
      <vt:lpstr>'Exh CTM-6 (Tariff)'!Print_Area</vt:lpstr>
      <vt:lpstr>'Exh CTM-6 (TVR Rate Design)'!Print_Area</vt:lpstr>
      <vt:lpstr>'Exh CTM-6 (Rate Design)'!Print_Titles</vt:lpstr>
      <vt:lpstr>'Exh CTM-6 (Tariff)'!Print_Titles</vt:lpstr>
      <vt:lpstr>'Exh CTM-6 (TVR Rate Design)'!Print_Titles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Zakharova, Elena</dc:creator>
  <cp:lastModifiedBy>Michael Deupree</cp:lastModifiedBy>
  <cp:lastPrinted>2024-02-08T19:14:26Z</cp:lastPrinted>
  <dcterms:created xsi:type="dcterms:W3CDTF">2024-02-08T18:49:46Z</dcterms:created>
  <dcterms:modified xsi:type="dcterms:W3CDTF">2024-08-09T15:26:31Z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y fmtid="{D5CDD505-2E9C-101B-9397-08002B2CF9AE}" pid="4" name="MediaServiceImageTags">
    <vt:lpwstr/>
  </property>
</Properties>
</file>