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4980" windowWidth="15480" windowHeight="5175" tabRatio="827"/>
  </bookViews>
  <sheets>
    <sheet name="Electric" sheetId="26" r:id="rId1"/>
    <sheet name="Gas" sheetId="27" r:id="rId2"/>
    <sheet name="Electric Summary" sheetId="4" r:id="rId3"/>
    <sheet name="Gas Summary" sheetId="29" r:id="rId4"/>
    <sheet name="Non-Union Wage Inc RS" sheetId="30" r:id="rId5"/>
    <sheet name="Union Wage Inc RS" sheetId="20" r:id="rId6"/>
    <sheet name="Union Wage Inc PR" sheetId="31" r:id="rId7"/>
    <sheet name="Non-Union Wage Inc PR" sheetId="32" r:id="rId8"/>
    <sheet name="Inv Plan from HR" sheetId="7" r:id="rId9"/>
  </sheets>
  <externalReferences>
    <externalReference r:id="rId10"/>
    <externalReference r:id="rId11"/>
  </externalReferences>
  <calcPr calcId="162913" calcMode="autoNoTable"/>
</workbook>
</file>

<file path=xl/calcChain.xml><?xml version="1.0" encoding="utf-8"?>
<calcChain xmlns="http://schemas.openxmlformats.org/spreadsheetml/2006/main">
  <c r="D8" i="7" l="1"/>
  <c r="C8" i="7"/>
  <c r="C17" i="20" l="1"/>
  <c r="C16" i="20"/>
  <c r="C9" i="20"/>
  <c r="C8" i="20"/>
  <c r="F44" i="32"/>
  <c r="E44" i="32"/>
  <c r="D44" i="32"/>
  <c r="E43" i="32"/>
  <c r="D43" i="32"/>
  <c r="E42" i="32"/>
  <c r="D42" i="32"/>
  <c r="E41" i="32"/>
  <c r="D41" i="32"/>
  <c r="E40" i="32"/>
  <c r="D40" i="32"/>
  <c r="E28" i="32"/>
  <c r="D28" i="32"/>
  <c r="F18" i="32"/>
  <c r="F16" i="32"/>
  <c r="F14" i="32"/>
  <c r="F12" i="32"/>
  <c r="C21" i="31"/>
  <c r="C20" i="31"/>
  <c r="C17" i="31"/>
  <c r="C16" i="31"/>
  <c r="C9" i="31"/>
  <c r="C8" i="31"/>
  <c r="E44" i="30"/>
  <c r="D44" i="30"/>
  <c r="E43" i="30"/>
  <c r="D43" i="30"/>
  <c r="E42" i="30"/>
  <c r="D42" i="30"/>
  <c r="E41" i="30"/>
  <c r="D41" i="30"/>
  <c r="E40" i="30"/>
  <c r="D40" i="30"/>
  <c r="D28" i="30"/>
  <c r="F18" i="30"/>
  <c r="F16" i="30"/>
  <c r="F14" i="30"/>
  <c r="F12" i="30"/>
  <c r="C25" i="26"/>
  <c r="C31" i="27" l="1"/>
  <c r="C25" i="27"/>
  <c r="C33" i="4" l="1"/>
  <c r="C33" i="29" s="1"/>
  <c r="F43" i="32"/>
  <c r="F42" i="32"/>
  <c r="F41" i="32"/>
  <c r="F40" i="32"/>
  <c r="D31" i="32"/>
  <c r="A13" i="32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G12" i="32"/>
  <c r="C25" i="31"/>
  <c r="G24" i="4" s="1"/>
  <c r="C18" i="31"/>
  <c r="C22" i="31" s="1"/>
  <c r="C23" i="31" s="1"/>
  <c r="C10" i="31"/>
  <c r="C12" i="31" s="1"/>
  <c r="A8" i="3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F44" i="30"/>
  <c r="F43" i="30"/>
  <c r="F42" i="30"/>
  <c r="F41" i="30"/>
  <c r="F40" i="30"/>
  <c r="E32" i="30"/>
  <c r="D29" i="30"/>
  <c r="D31" i="30" s="1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G12" i="30"/>
  <c r="G14" i="30" s="1"/>
  <c r="G16" i="30" s="1"/>
  <c r="G18" i="30" s="1"/>
  <c r="G19" i="30" s="1"/>
  <c r="F21" i="30" s="1"/>
  <c r="G44" i="30" l="1"/>
  <c r="D18" i="30" s="1"/>
  <c r="G42" i="32"/>
  <c r="D14" i="32" s="1"/>
  <c r="G19" i="4"/>
  <c r="G19" i="29"/>
  <c r="G43" i="32"/>
  <c r="D16" i="32" s="1"/>
  <c r="G24" i="29"/>
  <c r="G42" i="30"/>
  <c r="D14" i="30" s="1"/>
  <c r="G41" i="30"/>
  <c r="D12" i="30" s="1"/>
  <c r="E12" i="30" s="1"/>
  <c r="G14" i="32"/>
  <c r="G16" i="32" s="1"/>
  <c r="D32" i="32"/>
  <c r="G41" i="32"/>
  <c r="D12" i="32" s="1"/>
  <c r="E12" i="32" s="1"/>
  <c r="G44" i="32"/>
  <c r="D18" i="32" s="1"/>
  <c r="G43" i="30"/>
  <c r="D16" i="30" s="1"/>
  <c r="D32" i="30"/>
  <c r="F32" i="30" s="1"/>
  <c r="G32" i="30" s="1"/>
  <c r="F23" i="30" s="1"/>
  <c r="F31" i="30"/>
  <c r="E14" i="30" l="1"/>
  <c r="E16" i="30" s="1"/>
  <c r="E18" i="30" s="1"/>
  <c r="E19" i="30" s="1"/>
  <c r="D21" i="30" s="1"/>
  <c r="E14" i="32"/>
  <c r="E16" i="32" s="1"/>
  <c r="E18" i="32" s="1"/>
  <c r="E19" i="32" s="1"/>
  <c r="D21" i="32" s="1"/>
  <c r="G21" i="30" l="1"/>
  <c r="E23" i="30" s="1"/>
  <c r="G23" i="30" s="1"/>
  <c r="C14" i="4" s="1"/>
  <c r="H21" i="30"/>
  <c r="H23" i="30" l="1"/>
  <c r="E31" i="32"/>
  <c r="G18" i="32"/>
  <c r="G19" i="32" s="1"/>
  <c r="F21" i="32" l="1"/>
  <c r="G21" i="32"/>
  <c r="E23" i="32" s="1"/>
  <c r="H21" i="32"/>
  <c r="E32" i="32"/>
  <c r="F32" i="32" s="1"/>
  <c r="G32" i="32" s="1"/>
  <c r="F23" i="32" s="1"/>
  <c r="F31" i="32"/>
  <c r="H23" i="32" l="1"/>
  <c r="G23" i="32"/>
  <c r="G14" i="4" l="1"/>
  <c r="G14" i="29"/>
  <c r="G33" i="29" l="1"/>
  <c r="A13" i="29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14" i="27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C18" i="20"/>
  <c r="C20" i="20" s="1"/>
  <c r="C24" i="29" s="1"/>
  <c r="C10" i="20"/>
  <c r="C12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C19" i="29" l="1"/>
  <c r="C19" i="4"/>
  <c r="C14" i="29"/>
  <c r="C24" i="4"/>
  <c r="C29" i="29"/>
  <c r="G29" i="29" s="1"/>
  <c r="C29" i="4" l="1"/>
  <c r="G29" i="4" s="1"/>
  <c r="A14" i="26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B17" i="7" l="1"/>
  <c r="B13" i="7" l="1"/>
  <c r="B19" i="7" s="1"/>
  <c r="A4" i="7" l="1"/>
  <c r="A3" i="7"/>
  <c r="A5" i="7"/>
  <c r="G33" i="4" l="1"/>
  <c r="D16" i="7" l="1"/>
  <c r="D18" i="29" s="1"/>
  <c r="C11" i="7"/>
  <c r="A13" i="4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C15" i="7"/>
  <c r="C16" i="7"/>
  <c r="D18" i="4" s="1"/>
  <c r="D17" i="26" s="1"/>
  <c r="C12" i="7"/>
  <c r="D11" i="7"/>
  <c r="D12" i="7"/>
  <c r="D15" i="7"/>
  <c r="D23" i="29" s="1"/>
  <c r="D20" i="27" l="1"/>
  <c r="D24" i="29"/>
  <c r="E25" i="29" s="1"/>
  <c r="D17" i="27"/>
  <c r="D19" i="29"/>
  <c r="E20" i="29" s="1"/>
  <c r="C17" i="7"/>
  <c r="C13" i="7"/>
  <c r="D13" i="4" s="1"/>
  <c r="D17" i="7"/>
  <c r="D23" i="4"/>
  <c r="D13" i="7"/>
  <c r="D13" i="29" s="1"/>
  <c r="D19" i="4"/>
  <c r="E20" i="4" s="1"/>
  <c r="H18" i="4" s="1"/>
  <c r="H18" i="29" l="1"/>
  <c r="H19" i="29" s="1"/>
  <c r="I20" i="29" s="1"/>
  <c r="G17" i="27" s="1"/>
  <c r="E17" i="27"/>
  <c r="H23" i="29"/>
  <c r="H24" i="29" s="1"/>
  <c r="I25" i="29" s="1"/>
  <c r="G20" i="27" s="1"/>
  <c r="E20" i="27"/>
  <c r="D19" i="7"/>
  <c r="H19" i="4"/>
  <c r="I20" i="4" s="1"/>
  <c r="G17" i="26" s="1"/>
  <c r="D24" i="4"/>
  <c r="E25" i="4" s="1"/>
  <c r="H23" i="4" s="1"/>
  <c r="H24" i="4" s="1"/>
  <c r="I25" i="4" s="1"/>
  <c r="G20" i="26" s="1"/>
  <c r="D20" i="26"/>
  <c r="E17" i="26"/>
  <c r="D14" i="4"/>
  <c r="E15" i="4" s="1"/>
  <c r="H13" i="4" s="1"/>
  <c r="H14" i="4" s="1"/>
  <c r="I15" i="4" s="1"/>
  <c r="G14" i="26" s="1"/>
  <c r="D14" i="26"/>
  <c r="E30" i="4"/>
  <c r="C19" i="7"/>
  <c r="H17" i="27" l="1"/>
  <c r="F17" i="27"/>
  <c r="F20" i="27"/>
  <c r="H20" i="27"/>
  <c r="D14" i="27"/>
  <c r="D14" i="29"/>
  <c r="E15" i="29" s="1"/>
  <c r="E30" i="29"/>
  <c r="I30" i="4"/>
  <c r="I28" i="4"/>
  <c r="I29" i="4" s="1"/>
  <c r="E28" i="4"/>
  <c r="E29" i="4" s="1"/>
  <c r="E31" i="4" s="1"/>
  <c r="E33" i="4" s="1"/>
  <c r="E34" i="4" s="1"/>
  <c r="E14" i="26"/>
  <c r="F17" i="26"/>
  <c r="D23" i="26"/>
  <c r="D25" i="26" s="1"/>
  <c r="D27" i="26" s="1"/>
  <c r="H17" i="26"/>
  <c r="E20" i="26"/>
  <c r="I31" i="4" l="1"/>
  <c r="I33" i="4" s="1"/>
  <c r="I34" i="4" s="1"/>
  <c r="E14" i="27"/>
  <c r="E28" i="29"/>
  <c r="E29" i="29" s="1"/>
  <c r="E31" i="29" s="1"/>
  <c r="E33" i="29" s="1"/>
  <c r="E34" i="29" s="1"/>
  <c r="H13" i="29"/>
  <c r="D23" i="27"/>
  <c r="D25" i="27" s="1"/>
  <c r="D27" i="27" s="1"/>
  <c r="F20" i="26"/>
  <c r="E23" i="26"/>
  <c r="E25" i="26" s="1"/>
  <c r="E27" i="26" s="1"/>
  <c r="F27" i="26" s="1"/>
  <c r="F29" i="26" s="1"/>
  <c r="F31" i="26" s="1"/>
  <c r="F33" i="26" s="1"/>
  <c r="F14" i="26"/>
  <c r="H20" i="26"/>
  <c r="G23" i="26"/>
  <c r="H14" i="26"/>
  <c r="E23" i="27" l="1"/>
  <c r="E25" i="27" s="1"/>
  <c r="E27" i="27" s="1"/>
  <c r="F27" i="27" s="1"/>
  <c r="F29" i="27" s="1"/>
  <c r="F31" i="27" s="1"/>
  <c r="F33" i="27" s="1"/>
  <c r="F14" i="27"/>
  <c r="F23" i="27" s="1"/>
  <c r="F25" i="27" s="1"/>
  <c r="I30" i="29"/>
  <c r="H14" i="29"/>
  <c r="I15" i="29" s="1"/>
  <c r="G25" i="26"/>
  <c r="H23" i="26"/>
  <c r="F23" i="26"/>
  <c r="F25" i="26" s="1"/>
  <c r="I28" i="29" l="1"/>
  <c r="I29" i="29" s="1"/>
  <c r="I31" i="29" s="1"/>
  <c r="I33" i="29" s="1"/>
  <c r="I34" i="29" s="1"/>
  <c r="G14" i="27"/>
  <c r="G27" i="26"/>
  <c r="H27" i="26" s="1"/>
  <c r="H29" i="26" s="1"/>
  <c r="H25" i="26"/>
  <c r="H14" i="27" l="1"/>
  <c r="G23" i="27"/>
  <c r="H31" i="26"/>
  <c r="H33" i="26" s="1"/>
  <c r="H23" i="27" l="1"/>
  <c r="G25" i="27"/>
  <c r="H25" i="27" l="1"/>
  <c r="G27" i="27"/>
  <c r="H27" i="27" s="1"/>
  <c r="H29" i="27" s="1"/>
  <c r="H31" i="27" s="1"/>
  <c r="H33" i="27" s="1"/>
</calcChain>
</file>

<file path=xl/sharedStrings.xml><?xml version="1.0" encoding="utf-8"?>
<sst xmlns="http://schemas.openxmlformats.org/spreadsheetml/2006/main" count="303" uniqueCount="109">
  <si>
    <t>TOTAL</t>
  </si>
  <si>
    <t>LINE</t>
  </si>
  <si>
    <t>NO.</t>
  </si>
  <si>
    <t>DESCRIPTION</t>
  </si>
  <si>
    <t>AMOUNT</t>
  </si>
  <si>
    <t>INCREASE (DECREASE) NOI</t>
  </si>
  <si>
    <t>INVESTMENT PLAN</t>
  </si>
  <si>
    <t>INVESTMENT PLAN APPLICABLE TO MANAGEMENT</t>
  </si>
  <si>
    <t>TOTAL COMPANY CONTRIBUTION FOR MANAGEMENT</t>
  </si>
  <si>
    <t>PRO FORMA COSTS APPLICABLE TO OPERATIONS</t>
  </si>
  <si>
    <t>INCREASE (DECREASE) EXPENSE</t>
  </si>
  <si>
    <t>INCREASE (DECREASE) FIT @</t>
  </si>
  <si>
    <t>PUGET SOUND ENERGY-ELECTRIC</t>
  </si>
  <si>
    <t>Non-Union,excludes Execs.</t>
  </si>
  <si>
    <t>UA</t>
  </si>
  <si>
    <t>IBEW</t>
  </si>
  <si>
    <t>Electric</t>
  </si>
  <si>
    <t>Gas</t>
  </si>
  <si>
    <t>Labor Benefit Distribution Allocator</t>
  </si>
  <si>
    <t>PUGET SOUND ENERGY-GAS</t>
  </si>
  <si>
    <t>INVESTMENT PLAN APPLICABLE TO IBEW</t>
  </si>
  <si>
    <t xml:space="preserve">RATE YEAR IBEW WAGE INCREASE                   </t>
  </si>
  <si>
    <t>TOTAL COMPANY CONTRIBUTION FOR IBEW</t>
  </si>
  <si>
    <t>INVESTMENT PLAN APPLICABLE TO UA</t>
  </si>
  <si>
    <t xml:space="preserve">RATE YEAR UA WAGE INCREASE                   </t>
  </si>
  <si>
    <t>TOTAL COMPANY CONTRIBUTION FOR UA</t>
  </si>
  <si>
    <t>Puget Sound Energy</t>
  </si>
  <si>
    <t>Union Wage Increases</t>
  </si>
  <si>
    <t>(a)</t>
  </si>
  <si>
    <t>(b)</t>
  </si>
  <si>
    <t>(d)</t>
  </si>
  <si>
    <t>(e)</t>
  </si>
  <si>
    <t>(g) =</t>
  </si>
  <si>
    <t>Line</t>
  </si>
  <si>
    <t>(f) + 1</t>
  </si>
  <si>
    <t>Total</t>
  </si>
  <si>
    <t>Non-Union Wage Increase</t>
  </si>
  <si>
    <t xml:space="preserve">Effective </t>
  </si>
  <si>
    <t>Effective Rate</t>
  </si>
  <si>
    <t>Wage Increase</t>
  </si>
  <si>
    <t>Increase</t>
  </si>
  <si>
    <t>Compounded</t>
  </si>
  <si>
    <t>(c )</t>
  </si>
  <si>
    <t>(g)</t>
  </si>
  <si>
    <t xml:space="preserve">4 Year Compounded Increase </t>
  </si>
  <si>
    <t>Rate Year Increase Compounded:</t>
  </si>
  <si>
    <t># of non-union</t>
  </si>
  <si>
    <t>Total non-</t>
  </si>
  <si>
    <t>Amount per</t>
  </si>
  <si>
    <t>employees</t>
  </si>
  <si>
    <t>union wages</t>
  </si>
  <si>
    <t>employee</t>
  </si>
  <si>
    <t>Percentage</t>
  </si>
  <si>
    <t>Match, 1% &amp; 4%</t>
  </si>
  <si>
    <t>Officers</t>
  </si>
  <si>
    <t>Annualized</t>
  </si>
  <si>
    <t xml:space="preserve">Annualized Wage </t>
  </si>
  <si>
    <t>Increase Slippage</t>
  </si>
  <si>
    <t>Slippage calculation</t>
  </si>
  <si>
    <t>NON-UNION (INC. EXECUTIVES)</t>
  </si>
  <si>
    <t>March 1, 2016</t>
  </si>
  <si>
    <t>IBEW:</t>
  </si>
  <si>
    <t>Effective</t>
  </si>
  <si>
    <t>General Wage increase</t>
  </si>
  <si>
    <t>Amount of increase not in TY</t>
  </si>
  <si>
    <t xml:space="preserve"># of months not in TY </t>
  </si>
  <si>
    <t xml:space="preserve">RATE YEAR NON-UNION WAGE INCREASE </t>
  </si>
  <si>
    <t>Compound</t>
  </si>
  <si>
    <t>Expressed as a percentage of total</t>
  </si>
  <si>
    <t>a</t>
  </si>
  <si>
    <t>b</t>
  </si>
  <si>
    <t>(compounded percentages referenced in testimony)</t>
  </si>
  <si>
    <t>2019 GENERAL RATE INCREASE</t>
  </si>
  <si>
    <t>FOR THE TWELVE MONTHS ENDED DECEMBER 31, 2018</t>
  </si>
  <si>
    <t>2019 GENERAL RATE CASE</t>
  </si>
  <si>
    <t>RESTATED</t>
  </si>
  <si>
    <t>PROFORMA</t>
  </si>
  <si>
    <t>ADJUSTMENT</t>
  </si>
  <si>
    <t>INCREASE(DECREASE) OPERATING EXPENSE (LINE 3)</t>
  </si>
  <si>
    <t>INCREASE (DECREASE) IN EXPENSE</t>
  </si>
  <si>
    <t>(e)=(d)-(b)</t>
  </si>
  <si>
    <t>(c)=(b)-(a)</t>
  </si>
  <si>
    <t>%'s</t>
  </si>
  <si>
    <t>ACTUAL</t>
  </si>
  <si>
    <t>TY</t>
  </si>
  <si>
    <t>TOTAL PROFORMA COSTS (LN 4 + LN 9 + LN 14)</t>
  </si>
  <si>
    <t>COSTS APPLICABLE TO OPERATIONS</t>
  </si>
  <si>
    <t>Test Year:  Twelve Months Ended 12/31/2018</t>
  </si>
  <si>
    <r>
      <t>Rate Year: Twelve Months Ended 04/28/2021</t>
    </r>
    <r>
      <rPr>
        <sz val="8"/>
        <color rgb="FF0000CC"/>
        <rFont val="Arial"/>
        <family val="2"/>
      </rPr>
      <t xml:space="preserve"> </t>
    </r>
    <r>
      <rPr>
        <b/>
        <sz val="8"/>
        <rFont val="Arial"/>
        <family val="2"/>
      </rPr>
      <t>(May 2020 - April 2021)</t>
    </r>
  </si>
  <si>
    <r>
      <t xml:space="preserve">Monthly amount </t>
    </r>
    <r>
      <rPr>
        <sz val="8"/>
        <color rgb="FF0000CC"/>
        <rFont val="Calibri"/>
        <family val="2"/>
      </rPr>
      <t>(% wage Inc. divided by 12 mos.)</t>
    </r>
  </si>
  <si>
    <r>
      <t xml:space="preserve"># of months not in TY </t>
    </r>
    <r>
      <rPr>
        <sz val="8"/>
        <color rgb="FF0000CC"/>
        <rFont val="Calibri"/>
        <family val="2"/>
        <scheme val="minor"/>
      </rPr>
      <t>(Jan - Sep)</t>
    </r>
  </si>
  <si>
    <t>CHARGED TO EXPENSE FOR TEST YEAR ENDED 12/31/2018</t>
  </si>
  <si>
    <r>
      <t xml:space="preserve">General Wage increase </t>
    </r>
    <r>
      <rPr>
        <sz val="8"/>
        <color rgb="FF0000CC"/>
        <rFont val="Calibri"/>
        <family val="2"/>
      </rPr>
      <t>(out of TY period)</t>
    </r>
  </si>
  <si>
    <r>
      <t xml:space="preserve">10/1/2019 increase </t>
    </r>
    <r>
      <rPr>
        <sz val="8"/>
        <color rgb="FF0000CC"/>
        <rFont val="Calibri"/>
        <family val="2"/>
      </rPr>
      <t xml:space="preserve">(2.75% x line 19) </t>
    </r>
  </si>
  <si>
    <t>March 1, 2017</t>
  </si>
  <si>
    <t>March 1, 2018</t>
  </si>
  <si>
    <t>March 1, 2019</t>
  </si>
  <si>
    <t>March 1, 2020</t>
  </si>
  <si>
    <r>
      <t>Slippage Calculation</t>
    </r>
    <r>
      <rPr>
        <sz val="8"/>
        <color rgb="FF0000CC"/>
        <rFont val="Arial"/>
        <family val="2"/>
      </rPr>
      <t xml:space="preserve"> (Slippage Increase/ Annualized Increase)</t>
    </r>
  </si>
  <si>
    <r>
      <t>Rate Year Increase</t>
    </r>
    <r>
      <rPr>
        <sz val="8"/>
        <color rgb="FF0000CC"/>
        <rFont val="Arial"/>
        <family val="2"/>
      </rPr>
      <t xml:space="preserve"> (col (g) = col (d) * col (e))</t>
    </r>
  </si>
  <si>
    <t xml:space="preserve">3/2019 - 2/2020 </t>
  </si>
  <si>
    <t xml:space="preserve">3/2020 - 2/2021 </t>
  </si>
  <si>
    <t xml:space="preserve">d = a x b </t>
  </si>
  <si>
    <t>e = 1 - d</t>
  </si>
  <si>
    <t>March 1, 2015</t>
  </si>
  <si>
    <t xml:space="preserve">3/2018 - 12/2018 </t>
  </si>
  <si>
    <t xml:space="preserve">c = a x b </t>
  </si>
  <si>
    <t>d = 1 - c</t>
  </si>
  <si>
    <t>March 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</si>
</sst>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&quot;$&quot;#,##0"/>
    <numFmt numFmtId="167" formatCode="&quot;$&quot;#,##0.00"/>
    <numFmt numFmtId="168" formatCode="_(* #,##0.000_);_(* \(#,##0.000\);_(* &quot;-&quot;??_);_(@_)"/>
    <numFmt numFmtId="169" formatCode="_(* #,##0.0000_);_(* \(#,##0.0000\);_(* &quot;-&quot;??_);_(@_)"/>
    <numFmt numFmtId="170" formatCode="0.0000%"/>
    <numFmt numFmtId="171" formatCode="#,##0.0000"/>
    <numFmt numFmtId="172" formatCode="m/d/yyyy;@"/>
    <numFmt numFmtId="173" formatCode="0.0%"/>
    <numFmt numFmtId="174" formatCode="0.00000000000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0"/>
      <name val="Times New Roman"/>
      <family val="1"/>
    </font>
    <font>
      <b/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u/>
      <sz val="8"/>
      <name val="Arial"/>
      <family val="2"/>
    </font>
    <font>
      <u val="double"/>
      <sz val="11"/>
      <color indexed="8"/>
      <name val="Calibri"/>
      <family val="2"/>
    </font>
    <font>
      <sz val="10"/>
      <color rgb="FF0000FF"/>
      <name val="Arial"/>
      <family val="2"/>
    </font>
    <font>
      <b/>
      <sz val="10"/>
      <color rgb="FFFF0000"/>
      <name val="Times New Roman"/>
      <family val="1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8"/>
      <color rgb="FF0000CC"/>
      <name val="Arial"/>
      <family val="2"/>
    </font>
    <font>
      <sz val="10"/>
      <color rgb="FF0000CC"/>
      <name val="Arial"/>
      <family val="2"/>
    </font>
    <font>
      <b/>
      <sz val="10"/>
      <color theme="0"/>
      <name val="Arial"/>
      <family val="2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Times New Roman"/>
      <family val="1"/>
    </font>
    <font>
      <sz val="8"/>
      <color rgb="FF0000CC"/>
      <name val="Calibri"/>
      <family val="2"/>
    </font>
    <font>
      <sz val="8"/>
      <color rgb="FF0000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43" fontId="3" fillId="0" borderId="0" xfId="0" applyNumberFormat="1" applyFont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Protection="1">
      <protection locked="0"/>
    </xf>
    <xf numFmtId="0" fontId="5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7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Alignment="1" applyProtection="1">
      <alignment horizontal="right"/>
      <protection locked="0"/>
    </xf>
    <xf numFmtId="164" fontId="4" fillId="0" borderId="0" xfId="0" applyNumberFormat="1" applyFont="1" applyFill="1" applyAlignment="1" applyProtection="1">
      <protection locked="0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44" fontId="4" fillId="0" borderId="0" xfId="0" applyNumberFormat="1" applyFont="1" applyFill="1"/>
    <xf numFmtId="164" fontId="4" fillId="0" borderId="0" xfId="0" applyNumberFormat="1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15" fontId="4" fillId="0" borderId="0" xfId="0" applyNumberFormat="1" applyFont="1" applyFill="1"/>
    <xf numFmtId="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0" fillId="0" borderId="0" xfId="0" applyAlignment="1"/>
    <xf numFmtId="0" fontId="11" fillId="0" borderId="0" xfId="0" applyFont="1" applyBorder="1"/>
    <xf numFmtId="37" fontId="4" fillId="0" borderId="0" xfId="0" applyNumberFormat="1" applyFont="1" applyFill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top"/>
    </xf>
    <xf numFmtId="0" fontId="11" fillId="0" borderId="0" xfId="0" applyFont="1" applyFill="1"/>
    <xf numFmtId="0" fontId="11" fillId="0" borderId="0" xfId="0" applyFont="1" applyFill="1" applyAlignment="1">
      <alignment horizontal="centerContinuous"/>
    </xf>
    <xf numFmtId="37" fontId="13" fillId="0" borderId="0" xfId="0" applyNumberFormat="1" applyFont="1" applyFill="1" applyBorder="1"/>
    <xf numFmtId="37" fontId="13" fillId="0" borderId="4" xfId="0" applyNumberFormat="1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16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/>
    <xf numFmtId="167" fontId="0" fillId="0" borderId="0" xfId="0" applyNumberFormat="1" applyFill="1"/>
    <xf numFmtId="0" fontId="0" fillId="0" borderId="0" xfId="0" applyFill="1" applyBorder="1"/>
    <xf numFmtId="0" fontId="20" fillId="0" borderId="0" xfId="0" applyFont="1" applyBorder="1" applyAlignment="1"/>
    <xf numFmtId="0" fontId="21" fillId="0" borderId="0" xfId="0" applyFont="1" applyFill="1" applyBorder="1" applyAlignment="1">
      <alignment horizontal="left"/>
    </xf>
    <xf numFmtId="18" fontId="5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Border="1"/>
    <xf numFmtId="37" fontId="4" fillId="0" borderId="3" xfId="0" applyNumberFormat="1" applyFont="1" applyFill="1" applyBorder="1"/>
    <xf numFmtId="37" fontId="4" fillId="0" borderId="0" xfId="0" applyNumberFormat="1" applyFont="1" applyFill="1"/>
    <xf numFmtId="10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4" fillId="0" borderId="0" xfId="0" applyNumberFormat="1" applyFont="1" applyFill="1" applyAlignment="1" applyProtection="1">
      <alignment vertical="center"/>
      <protection locked="0"/>
    </xf>
    <xf numFmtId="37" fontId="4" fillId="0" borderId="0" xfId="0" applyNumberFormat="1" applyFont="1" applyFill="1" applyBorder="1" applyProtection="1">
      <protection locked="0"/>
    </xf>
    <xf numFmtId="5" fontId="4" fillId="0" borderId="2" xfId="0" applyNumberFormat="1" applyFont="1" applyFill="1" applyBorder="1"/>
    <xf numFmtId="37" fontId="4" fillId="0" borderId="0" xfId="0" applyNumberFormat="1" applyFont="1" applyFill="1" applyAlignment="1">
      <alignment vertical="top"/>
    </xf>
    <xf numFmtId="166" fontId="2" fillId="0" borderId="0" xfId="0" applyNumberFormat="1" applyFont="1" applyFill="1" applyBorder="1"/>
    <xf numFmtId="166" fontId="2" fillId="0" borderId="4" xfId="0" applyNumberFormat="1" applyFont="1" applyFill="1" applyBorder="1"/>
    <xf numFmtId="166" fontId="9" fillId="0" borderId="6" xfId="0" applyNumberFormat="1" applyFont="1" applyFill="1" applyBorder="1"/>
    <xf numFmtId="172" fontId="22" fillId="0" borderId="0" xfId="0" applyNumberFormat="1" applyFon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3" xfId="0" applyFont="1" applyBorder="1"/>
    <xf numFmtId="0" fontId="9" fillId="0" borderId="3" xfId="0" applyFont="1" applyFill="1" applyBorder="1" applyAlignment="1">
      <alignment horizontal="center"/>
    </xf>
    <xf numFmtId="5" fontId="11" fillId="0" borderId="0" xfId="0" applyNumberFormat="1" applyFont="1" applyFill="1"/>
    <xf numFmtId="0" fontId="6" fillId="0" borderId="0" xfId="0" applyFont="1" applyFill="1" applyBorder="1" applyAlignment="1">
      <alignment horizontal="centerContinuous"/>
    </xf>
    <xf numFmtId="0" fontId="11" fillId="0" borderId="0" xfId="0" applyFont="1"/>
    <xf numFmtId="0" fontId="11" fillId="0" borderId="0" xfId="0" applyFont="1"/>
    <xf numFmtId="0" fontId="4" fillId="0" borderId="0" xfId="0" applyFont="1" applyAlignment="1">
      <alignment horizontal="left"/>
    </xf>
    <xf numFmtId="42" fontId="4" fillId="0" borderId="1" xfId="0" applyNumberFormat="1" applyFont="1" applyBorder="1" applyAlignment="1">
      <alignment horizontal="right"/>
    </xf>
    <xf numFmtId="0" fontId="4" fillId="0" borderId="0" xfId="0" applyFont="1"/>
    <xf numFmtId="41" fontId="4" fillId="0" borderId="0" xfId="0" applyNumberFormat="1" applyFont="1" applyBorder="1" applyAlignment="1" applyProtection="1">
      <alignment horizontal="right"/>
      <protection locked="0"/>
    </xf>
    <xf numFmtId="173" fontId="27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42" fontId="4" fillId="0" borderId="0" xfId="0" applyNumberFormat="1" applyFont="1"/>
    <xf numFmtId="42" fontId="4" fillId="0" borderId="0" xfId="0" applyNumberFormat="1" applyFont="1" applyAlignment="1">
      <alignment horizontal="right"/>
    </xf>
    <xf numFmtId="42" fontId="4" fillId="0" borderId="0" xfId="0" applyNumberFormat="1" applyFont="1" applyAlignment="1" applyProtection="1">
      <alignment horizontal="right"/>
      <protection locked="0"/>
    </xf>
    <xf numFmtId="0" fontId="28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0" fillId="0" borderId="3" xfId="0" applyFont="1" applyBorder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0" fontId="5" fillId="0" borderId="3" xfId="0" quotePrefix="1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5" fontId="4" fillId="0" borderId="0" xfId="0" applyNumberFormat="1" applyFont="1"/>
    <xf numFmtId="37" fontId="4" fillId="0" borderId="0" xfId="0" applyNumberFormat="1" applyFont="1"/>
    <xf numFmtId="165" fontId="4" fillId="0" borderId="0" xfId="0" applyNumberFormat="1" applyFont="1"/>
    <xf numFmtId="0" fontId="11" fillId="0" borderId="0" xfId="0" applyFont="1" applyFill="1" applyAlignment="1">
      <alignment horizontal="centerContinuous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0" fontId="0" fillId="0" borderId="0" xfId="0" applyNumberFormat="1" applyFont="1"/>
    <xf numFmtId="0" fontId="0" fillId="0" borderId="0" xfId="0" applyFill="1" applyAlignment="1">
      <alignment horizontal="left"/>
    </xf>
    <xf numFmtId="10" fontId="23" fillId="0" borderId="0" xfId="0" applyNumberFormat="1" applyFont="1"/>
    <xf numFmtId="9" fontId="31" fillId="0" borderId="0" xfId="0" applyNumberFormat="1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quotePrefix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/>
    <xf numFmtId="0" fontId="11" fillId="0" borderId="0" xfId="0" applyFont="1"/>
    <xf numFmtId="0" fontId="11" fillId="0" borderId="0" xfId="0" quotePrefix="1" applyFont="1" applyFill="1" applyBorder="1" applyAlignment="1"/>
    <xf numFmtId="165" fontId="12" fillId="0" borderId="0" xfId="0" applyNumberFormat="1" applyFont="1" applyFill="1" applyBorder="1" applyAlignment="1">
      <alignment horizontal="left" indent="1"/>
    </xf>
    <xf numFmtId="10" fontId="11" fillId="0" borderId="0" xfId="0" quotePrefix="1" applyNumberFormat="1" applyFont="1" applyFill="1" applyBorder="1"/>
    <xf numFmtId="171" fontId="11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/>
    <xf numFmtId="0" fontId="11" fillId="0" borderId="0" xfId="0" quotePrefix="1" applyFont="1" applyFill="1" applyBorder="1" applyAlignment="1"/>
    <xf numFmtId="171" fontId="15" fillId="0" borderId="0" xfId="0" applyNumberFormat="1" applyFont="1" applyFill="1" applyBorder="1"/>
    <xf numFmtId="10" fontId="19" fillId="0" borderId="0" xfId="0" applyNumberFormat="1" applyFont="1" applyFill="1"/>
    <xf numFmtId="0" fontId="9" fillId="0" borderId="0" xfId="0" applyFont="1" applyFill="1"/>
    <xf numFmtId="43" fontId="9" fillId="0" borderId="0" xfId="0" applyNumberFormat="1" applyFont="1" applyFill="1"/>
    <xf numFmtId="10" fontId="11" fillId="0" borderId="15" xfId="0" applyNumberFormat="1" applyFont="1" applyFill="1" applyBorder="1"/>
    <xf numFmtId="0" fontId="11" fillId="0" borderId="4" xfId="0" applyFont="1" applyBorder="1"/>
    <xf numFmtId="10" fontId="11" fillId="0" borderId="16" xfId="0" applyNumberFormat="1" applyFont="1" applyFill="1" applyBorder="1" applyAlignment="1">
      <alignment horizontal="right"/>
    </xf>
    <xf numFmtId="10" fontId="12" fillId="0" borderId="0" xfId="0" applyNumberFormat="1" applyFont="1" applyFill="1"/>
    <xf numFmtId="0" fontId="24" fillId="0" borderId="0" xfId="0" applyFont="1" applyFill="1"/>
    <xf numFmtId="0" fontId="11" fillId="0" borderId="10" xfId="0" applyFont="1" applyFill="1" applyBorder="1" applyAlignment="1">
      <alignment horizontal="centerContinuous"/>
    </xf>
    <xf numFmtId="0" fontId="11" fillId="0" borderId="3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25" fillId="0" borderId="0" xfId="0" applyFont="1" applyFill="1"/>
    <xf numFmtId="10" fontId="11" fillId="0" borderId="0" xfId="0" applyNumberFormat="1" applyFont="1" applyFill="1"/>
    <xf numFmtId="10" fontId="17" fillId="2" borderId="7" xfId="0" applyNumberFormat="1" applyFont="1" applyFill="1" applyBorder="1"/>
    <xf numFmtId="10" fontId="17" fillId="0" borderId="0" xfId="0" applyNumberFormat="1" applyFont="1" applyFill="1" applyBorder="1"/>
    <xf numFmtId="0" fontId="1" fillId="0" borderId="0" xfId="0" applyFont="1"/>
    <xf numFmtId="10" fontId="9" fillId="0" borderId="0" xfId="0" applyNumberFormat="1" applyFont="1" applyFill="1" applyBorder="1"/>
    <xf numFmtId="0" fontId="16" fillId="2" borderId="15" xfId="0" applyFont="1" applyFill="1" applyBorder="1" applyAlignment="1">
      <alignment horizontal="centerContinuous"/>
    </xf>
    <xf numFmtId="0" fontId="16" fillId="2" borderId="4" xfId="0" applyFont="1" applyFill="1" applyBorder="1" applyAlignment="1">
      <alignment horizontal="centerContinuous"/>
    </xf>
    <xf numFmtId="0" fontId="16" fillId="2" borderId="16" xfId="0" applyFont="1" applyFill="1" applyBorder="1" applyAlignment="1">
      <alignment horizontal="centerContinuous"/>
    </xf>
    <xf numFmtId="0" fontId="1" fillId="2" borderId="8" xfId="0" applyFont="1" applyFill="1" applyBorder="1"/>
    <xf numFmtId="0" fontId="11" fillId="2" borderId="0" xfId="0" applyFont="1" applyFill="1" applyBorder="1"/>
    <xf numFmtId="172" fontId="22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9" xfId="0" applyFont="1" applyFill="1" applyBorder="1"/>
    <xf numFmtId="0" fontId="1" fillId="2" borderId="8" xfId="0" applyFont="1" applyFill="1" applyBorder="1" applyAlignment="1">
      <alignment horizontal="left"/>
    </xf>
    <xf numFmtId="10" fontId="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0" fontId="11" fillId="2" borderId="9" xfId="0" applyNumberFormat="1" applyFont="1" applyFill="1" applyBorder="1" applyAlignment="1">
      <alignment horizontal="center"/>
    </xf>
    <xf numFmtId="169" fontId="12" fillId="0" borderId="0" xfId="0" applyNumberFormat="1" applyFont="1" applyFill="1" applyBorder="1"/>
    <xf numFmtId="10" fontId="1" fillId="2" borderId="0" xfId="0" applyNumberFormat="1" applyFont="1" applyFill="1" applyBorder="1" applyAlignment="1">
      <alignment horizontal="center"/>
    </xf>
    <xf numFmtId="4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168" fontId="12" fillId="0" borderId="0" xfId="0" applyNumberFormat="1" applyFont="1" applyFill="1" applyBorder="1"/>
    <xf numFmtId="0" fontId="11" fillId="2" borderId="8" xfId="0" applyFont="1" applyFill="1" applyBorder="1"/>
    <xf numFmtId="14" fontId="9" fillId="2" borderId="0" xfId="0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center"/>
    </xf>
    <xf numFmtId="10" fontId="26" fillId="3" borderId="13" xfId="0" applyNumberFormat="1" applyFont="1" applyFill="1" applyBorder="1" applyAlignment="1">
      <alignment horizontal="center"/>
    </xf>
    <xf numFmtId="171" fontId="12" fillId="0" borderId="0" xfId="0" applyNumberFormat="1" applyFont="1" applyFill="1" applyBorder="1"/>
    <xf numFmtId="165" fontId="11" fillId="0" borderId="0" xfId="0" applyNumberFormat="1" applyFont="1" applyFill="1"/>
    <xf numFmtId="0" fontId="9" fillId="2" borderId="14" xfId="0" quotePrefix="1" applyFont="1" applyFill="1" applyBorder="1" applyAlignment="1">
      <alignment horizontal="center"/>
    </xf>
    <xf numFmtId="10" fontId="9" fillId="2" borderId="14" xfId="0" quotePrefix="1" applyNumberFormat="1" applyFont="1" applyFill="1" applyBorder="1" applyAlignment="1">
      <alignment horizontal="center"/>
    </xf>
    <xf numFmtId="0" fontId="11" fillId="3" borderId="8" xfId="0" applyFont="1" applyFill="1" applyBorder="1"/>
    <xf numFmtId="0" fontId="11" fillId="3" borderId="0" xfId="0" applyFont="1" applyFill="1" applyBorder="1"/>
    <xf numFmtId="165" fontId="11" fillId="0" borderId="0" xfId="0" applyNumberFormat="1" applyFont="1"/>
    <xf numFmtId="0" fontId="16" fillId="2" borderId="4" xfId="0" applyFont="1" applyFill="1" applyBorder="1" applyAlignment="1">
      <alignment horizontal="center" vertical="top"/>
    </xf>
    <xf numFmtId="10" fontId="11" fillId="0" borderId="0" xfId="0" applyNumberFormat="1" applyFont="1"/>
    <xf numFmtId="0" fontId="11" fillId="2" borderId="9" xfId="0" applyFont="1" applyFill="1" applyBorder="1" applyAlignment="1">
      <alignment horizontal="center"/>
    </xf>
    <xf numFmtId="170" fontId="11" fillId="0" borderId="0" xfId="0" applyNumberFormat="1" applyFont="1"/>
    <xf numFmtId="0" fontId="11" fillId="2" borderId="10" xfId="0" applyFont="1" applyFill="1" applyBorder="1"/>
    <xf numFmtId="0" fontId="11" fillId="2" borderId="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8" xfId="0" quotePrefix="1" applyFont="1" applyFill="1" applyBorder="1" applyAlignment="1"/>
    <xf numFmtId="0" fontId="11" fillId="2" borderId="0" xfId="0" quotePrefix="1" applyFont="1" applyFill="1" applyBorder="1" applyAlignment="1"/>
    <xf numFmtId="165" fontId="11" fillId="2" borderId="0" xfId="0" applyNumberFormat="1" applyFont="1" applyFill="1" applyBorder="1"/>
    <xf numFmtId="10" fontId="12" fillId="2" borderId="9" xfId="0" applyNumberFormat="1" applyFont="1" applyFill="1" applyBorder="1"/>
    <xf numFmtId="0" fontId="11" fillId="2" borderId="8" xfId="0" quotePrefix="1" applyFont="1" applyFill="1" applyBorder="1" applyAlignment="1"/>
    <xf numFmtId="0" fontId="11" fillId="2" borderId="0" xfId="0" quotePrefix="1" applyFont="1" applyFill="1" applyBorder="1" applyAlignment="1"/>
    <xf numFmtId="10" fontId="11" fillId="0" borderId="0" xfId="0" applyNumberFormat="1" applyFont="1" applyFill="1" applyBorder="1"/>
    <xf numFmtId="0" fontId="11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1" fillId="0" borderId="0" xfId="0" applyNumberFormat="1" applyFont="1"/>
    <xf numFmtId="0" fontId="16" fillId="0" borderId="0" xfId="0" applyFont="1" applyFill="1" applyBorder="1"/>
    <xf numFmtId="0" fontId="18" fillId="0" borderId="0" xfId="0" applyFont="1" applyFill="1" applyBorder="1" applyAlignment="1">
      <alignment horizontal="center"/>
    </xf>
    <xf numFmtId="172" fontId="22" fillId="0" borderId="0" xfId="0" applyNumberFormat="1" applyFont="1"/>
    <xf numFmtId="0" fontId="1" fillId="0" borderId="0" xfId="0" applyFont="1" applyAlignment="1">
      <alignment horizontal="left"/>
    </xf>
    <xf numFmtId="10" fontId="1" fillId="0" borderId="0" xfId="0" applyNumberFormat="1" applyFont="1"/>
    <xf numFmtId="10" fontId="1" fillId="0" borderId="0" xfId="0" applyNumberFormat="1" applyFont="1"/>
    <xf numFmtId="0" fontId="1" fillId="0" borderId="0" xfId="0" applyFont="1" applyFill="1" applyAlignment="1">
      <alignment horizontal="left"/>
    </xf>
    <xf numFmtId="0" fontId="1" fillId="0" borderId="3" xfId="0" applyFont="1" applyBorder="1"/>
    <xf numFmtId="10" fontId="23" fillId="0" borderId="0" xfId="0" applyNumberFormat="1" applyFont="1"/>
    <xf numFmtId="10" fontId="1" fillId="0" borderId="0" xfId="0" applyNumberFormat="1" applyFont="1" applyBorder="1"/>
    <xf numFmtId="10" fontId="1" fillId="0" borderId="3" xfId="0" applyNumberFormat="1" applyFont="1" applyBorder="1"/>
    <xf numFmtId="174" fontId="1" fillId="0" borderId="0" xfId="0" applyNumberFormat="1" applyFont="1"/>
    <xf numFmtId="165" fontId="11" fillId="2" borderId="0" xfId="0" applyNumberFormat="1" applyFont="1" applyFill="1" applyBorder="1"/>
    <xf numFmtId="10" fontId="12" fillId="2" borderId="9" xfId="0" applyNumberFormat="1" applyFont="1" applyFill="1" applyBorder="1"/>
    <xf numFmtId="0" fontId="11" fillId="2" borderId="3" xfId="0" applyFont="1" applyFill="1" applyBorder="1"/>
    <xf numFmtId="165" fontId="9" fillId="2" borderId="0" xfId="0" applyNumberFormat="1" applyFont="1" applyFill="1" applyBorder="1"/>
    <xf numFmtId="10" fontId="12" fillId="2" borderId="11" xfId="0" applyNumberFormat="1" applyFont="1" applyFill="1" applyBorder="1"/>
    <xf numFmtId="0" fontId="2" fillId="0" borderId="0" xfId="0" applyFont="1"/>
    <xf numFmtId="0" fontId="2" fillId="0" borderId="0" xfId="0" applyFont="1" applyBorder="1"/>
    <xf numFmtId="0" fontId="9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Fill="1"/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0" fontId="9" fillId="0" borderId="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6" fontId="2" fillId="0" borderId="1" xfId="0" applyNumberFormat="1" applyFont="1" applyFill="1" applyBorder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</row>
      </sheetData>
      <sheetData sheetId="1">
        <row r="13">
          <cell r="D13">
            <v>87900.023997021053</v>
          </cell>
        </row>
      </sheetData>
      <sheetData sheetId="2" refreshError="1"/>
      <sheetData sheetId="3" refreshError="1"/>
      <sheetData sheetId="4">
        <row r="13">
          <cell r="N13">
            <v>1.2955679071612061</v>
          </cell>
        </row>
      </sheetData>
      <sheetData sheetId="5">
        <row r="8">
          <cell r="C8">
            <v>43040</v>
          </cell>
        </row>
        <row r="9">
          <cell r="C9">
            <v>0.06</v>
          </cell>
        </row>
        <row r="16">
          <cell r="C16">
            <v>43374</v>
          </cell>
        </row>
        <row r="17">
          <cell r="C17">
            <v>0.03</v>
          </cell>
        </row>
      </sheetData>
      <sheetData sheetId="6" refreshError="1"/>
      <sheetData sheetId="7">
        <row r="30">
          <cell r="D30">
            <v>0.03</v>
          </cell>
          <cell r="E30">
            <v>43466</v>
          </cell>
        </row>
        <row r="31">
          <cell r="F31">
            <v>0.03</v>
          </cell>
          <cell r="G31">
            <v>43739</v>
          </cell>
        </row>
        <row r="32">
          <cell r="F32">
            <v>2.75E-2</v>
          </cell>
          <cell r="G32">
            <v>44105</v>
          </cell>
        </row>
        <row r="40">
          <cell r="F40">
            <v>142113479</v>
          </cell>
          <cell r="G40">
            <v>1575</v>
          </cell>
        </row>
        <row r="41">
          <cell r="C41">
            <v>2.86E-2</v>
          </cell>
          <cell r="F41">
            <v>149492520</v>
          </cell>
          <cell r="G41">
            <v>1610</v>
          </cell>
        </row>
        <row r="42">
          <cell r="C42">
            <v>2.9100000000000001E-2</v>
          </cell>
          <cell r="F42">
            <v>166812412.44999999</v>
          </cell>
          <cell r="G42">
            <v>1787.7999999999997</v>
          </cell>
        </row>
        <row r="43">
          <cell r="C43">
            <v>2.8500000000000001E-2</v>
          </cell>
          <cell r="F43">
            <v>181017032.94</v>
          </cell>
          <cell r="G43">
            <v>1912</v>
          </cell>
        </row>
        <row r="44">
          <cell r="C44">
            <v>0.03</v>
          </cell>
          <cell r="F44">
            <v>198037442</v>
          </cell>
          <cell r="G44">
            <v>2145</v>
          </cell>
        </row>
        <row r="45">
          <cell r="C45">
            <v>3.5000000000000003E-2</v>
          </cell>
          <cell r="F45">
            <v>208388971.22</v>
          </cell>
          <cell r="G45">
            <v>2110</v>
          </cell>
        </row>
        <row r="46">
          <cell r="C46">
            <v>2.8733333333333333E-2</v>
          </cell>
          <cell r="F46">
            <v>211765093.17482549</v>
          </cell>
          <cell r="G46">
            <v>2144.1842338535339</v>
          </cell>
          <cell r="H46">
            <v>100362.60340039122</v>
          </cell>
        </row>
      </sheetData>
      <sheetData sheetId="8" refreshError="1"/>
      <sheetData sheetId="9" refreshError="1"/>
      <sheetData sheetId="10">
        <row r="13">
          <cell r="N13">
            <v>49.669871095118467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D14" sqref="D14"/>
    </sheetView>
  </sheetViews>
  <sheetFormatPr defaultColWidth="8.85546875" defaultRowHeight="12.75" x14ac:dyDescent="0.2"/>
  <cols>
    <col min="1" max="1" width="5.42578125" style="72" bestFit="1" customWidth="1"/>
    <col min="2" max="2" width="47" style="72" customWidth="1"/>
    <col min="3" max="3" width="7" style="72" bestFit="1" customWidth="1"/>
    <col min="4" max="4" width="12.7109375" style="72" bestFit="1" customWidth="1"/>
    <col min="5" max="5" width="12.28515625" style="72" bestFit="1" customWidth="1"/>
    <col min="6" max="6" width="14.5703125" style="72" bestFit="1" customWidth="1"/>
    <col min="7" max="7" width="12.7109375" style="72" bestFit="1" customWidth="1"/>
    <col min="8" max="8" width="14.5703125" style="72" bestFit="1" customWidth="1"/>
    <col min="9" max="16384" width="8.85546875" style="72"/>
  </cols>
  <sheetData>
    <row r="1" spans="1:8" x14ac:dyDescent="0.2">
      <c r="A1" s="76"/>
      <c r="B1" s="76"/>
      <c r="C1" s="76"/>
    </row>
    <row r="2" spans="1:8" x14ac:dyDescent="0.2">
      <c r="A2" s="92"/>
      <c r="B2" s="92"/>
      <c r="C2" s="92"/>
    </row>
    <row r="3" spans="1:8" x14ac:dyDescent="0.2">
      <c r="A3" s="100"/>
      <c r="B3" s="100"/>
      <c r="C3" s="100"/>
    </row>
    <row r="4" spans="1:8" x14ac:dyDescent="0.2">
      <c r="A4" s="98" t="s">
        <v>12</v>
      </c>
      <c r="B4" s="98"/>
      <c r="C4" s="98"/>
      <c r="D4" s="98"/>
      <c r="E4" s="98"/>
      <c r="F4" s="98"/>
      <c r="G4" s="98"/>
      <c r="H4" s="98"/>
    </row>
    <row r="5" spans="1:8" x14ac:dyDescent="0.2">
      <c r="A5" s="5" t="s">
        <v>6</v>
      </c>
      <c r="B5" s="99"/>
      <c r="C5" s="99"/>
      <c r="D5" s="99"/>
      <c r="E5" s="99"/>
      <c r="F5" s="99"/>
      <c r="G5" s="99"/>
      <c r="H5" s="99"/>
    </row>
    <row r="6" spans="1:8" x14ac:dyDescent="0.2">
      <c r="A6" s="99" t="s">
        <v>73</v>
      </c>
      <c r="B6" s="99"/>
      <c r="C6" s="99"/>
      <c r="D6" s="99"/>
      <c r="E6" s="99"/>
      <c r="F6" s="99"/>
      <c r="G6" s="99"/>
      <c r="H6" s="99"/>
    </row>
    <row r="7" spans="1:8" x14ac:dyDescent="0.2">
      <c r="A7" s="98" t="s">
        <v>74</v>
      </c>
      <c r="B7" s="98"/>
      <c r="C7" s="98"/>
      <c r="D7" s="98"/>
      <c r="E7" s="98"/>
      <c r="F7" s="98"/>
      <c r="G7" s="98"/>
      <c r="H7" s="98"/>
    </row>
    <row r="8" spans="1:8" x14ac:dyDescent="0.2">
      <c r="A8" s="98"/>
      <c r="B8" s="98"/>
      <c r="C8" s="98"/>
      <c r="D8" s="98"/>
      <c r="E8" s="98"/>
      <c r="F8" s="98"/>
      <c r="G8" s="98"/>
      <c r="H8" s="98"/>
    </row>
    <row r="9" spans="1:8" x14ac:dyDescent="0.2">
      <c r="A9" s="92"/>
      <c r="B9" s="97"/>
      <c r="C9" s="96"/>
      <c r="D9" s="95" t="s">
        <v>84</v>
      </c>
      <c r="E9" s="94"/>
      <c r="F9" s="90" t="s">
        <v>75</v>
      </c>
      <c r="G9" s="94"/>
      <c r="H9" s="90" t="s">
        <v>76</v>
      </c>
    </row>
    <row r="10" spans="1:8" x14ac:dyDescent="0.2">
      <c r="A10" s="93" t="s">
        <v>1</v>
      </c>
      <c r="B10" s="92"/>
      <c r="C10" s="91"/>
      <c r="D10" s="90" t="s">
        <v>83</v>
      </c>
      <c r="E10" s="90" t="s">
        <v>75</v>
      </c>
      <c r="F10" s="90" t="s">
        <v>77</v>
      </c>
      <c r="G10" s="90" t="s">
        <v>76</v>
      </c>
      <c r="H10" s="90" t="s">
        <v>77</v>
      </c>
    </row>
    <row r="11" spans="1:8" x14ac:dyDescent="0.2">
      <c r="A11" s="89" t="s">
        <v>2</v>
      </c>
      <c r="B11" s="88" t="s">
        <v>3</v>
      </c>
      <c r="C11" s="87" t="s">
        <v>82</v>
      </c>
      <c r="D11" s="85" t="s">
        <v>28</v>
      </c>
      <c r="E11" s="86" t="s">
        <v>29</v>
      </c>
      <c r="F11" s="85" t="s">
        <v>81</v>
      </c>
      <c r="G11" s="86" t="s">
        <v>30</v>
      </c>
      <c r="H11" s="85" t="s">
        <v>80</v>
      </c>
    </row>
    <row r="12" spans="1:8" ht="14.25" x14ac:dyDescent="0.2">
      <c r="A12" s="74"/>
      <c r="B12" s="74"/>
      <c r="C12" s="84"/>
      <c r="D12" s="83"/>
      <c r="E12" s="83"/>
      <c r="F12" s="83"/>
      <c r="G12" s="83"/>
      <c r="H12" s="83"/>
    </row>
    <row r="13" spans="1:8" x14ac:dyDescent="0.2">
      <c r="A13" s="14">
        <v>1</v>
      </c>
      <c r="B13" s="36" t="s">
        <v>59</v>
      </c>
      <c r="C13" s="18"/>
      <c r="D13" s="80"/>
      <c r="E13" s="80"/>
      <c r="F13" s="82"/>
      <c r="G13" s="80"/>
      <c r="H13" s="80"/>
    </row>
    <row r="14" spans="1:8" x14ac:dyDescent="0.2">
      <c r="A14" s="14">
        <f t="shared" ref="A14:A33" si="0">A13+1</f>
        <v>2</v>
      </c>
      <c r="B14" s="22" t="s">
        <v>7</v>
      </c>
      <c r="C14" s="14"/>
      <c r="D14" s="101">
        <f>+'Electric Summary'!D13</f>
        <v>9540504.8394000009</v>
      </c>
      <c r="E14" s="102">
        <f>+'Electric Summary'!E15</f>
        <v>9550045.3442394007</v>
      </c>
      <c r="F14" s="82">
        <f>+E14-D14</f>
        <v>9540.5048393998295</v>
      </c>
      <c r="G14" s="102">
        <f>+'Electric Summary'!I15</f>
        <v>9915812.0809237696</v>
      </c>
      <c r="H14" s="80">
        <f>+G14-E14</f>
        <v>365766.73668436892</v>
      </c>
    </row>
    <row r="15" spans="1:8" x14ac:dyDescent="0.2">
      <c r="A15" s="14">
        <f t="shared" si="0"/>
        <v>3</v>
      </c>
      <c r="B15" s="18"/>
      <c r="C15" s="29"/>
      <c r="D15" s="80"/>
      <c r="E15" s="80"/>
      <c r="F15" s="82"/>
      <c r="G15" s="80"/>
      <c r="H15" s="80"/>
    </row>
    <row r="16" spans="1:8" x14ac:dyDescent="0.2">
      <c r="A16" s="14">
        <f t="shared" si="0"/>
        <v>4</v>
      </c>
      <c r="B16" s="36" t="s">
        <v>15</v>
      </c>
      <c r="C16" s="23"/>
      <c r="D16" s="76"/>
      <c r="E16" s="76"/>
      <c r="F16" s="76"/>
      <c r="G16" s="76"/>
      <c r="H16" s="76"/>
    </row>
    <row r="17" spans="1:8" x14ac:dyDescent="0.2">
      <c r="A17" s="14">
        <f t="shared" si="0"/>
        <v>5</v>
      </c>
      <c r="B17" s="22" t="s">
        <v>20</v>
      </c>
      <c r="C17" s="14"/>
      <c r="D17" s="101">
        <f>+'Electric Summary'!D18</f>
        <v>3276439.5071999999</v>
      </c>
      <c r="E17" s="102">
        <f>+'Electric Summary'!E20</f>
        <v>3276439.5071999999</v>
      </c>
      <c r="F17" s="82">
        <f>+E17-D17</f>
        <v>0</v>
      </c>
      <c r="G17" s="102">
        <f>+'Electric Summary'!I20</f>
        <v>3374732.6924159997</v>
      </c>
      <c r="H17" s="80">
        <f>+G17-E17</f>
        <v>98293.185215999838</v>
      </c>
    </row>
    <row r="18" spans="1:8" x14ac:dyDescent="0.2">
      <c r="A18" s="14">
        <f t="shared" si="0"/>
        <v>6</v>
      </c>
      <c r="B18" s="18"/>
      <c r="C18" s="56"/>
      <c r="D18" s="76"/>
      <c r="E18" s="76"/>
      <c r="F18" s="76"/>
      <c r="G18" s="76"/>
      <c r="H18" s="76"/>
    </row>
    <row r="19" spans="1:8" ht="13.5" x14ac:dyDescent="0.25">
      <c r="A19" s="14">
        <f t="shared" si="0"/>
        <v>7</v>
      </c>
      <c r="B19" s="36" t="s">
        <v>14</v>
      </c>
      <c r="C19" s="44"/>
      <c r="D19" s="76"/>
      <c r="E19" s="76"/>
      <c r="F19" s="76"/>
      <c r="G19" s="76"/>
      <c r="H19" s="76"/>
    </row>
    <row r="20" spans="1:8" ht="13.5" x14ac:dyDescent="0.25">
      <c r="A20" s="14">
        <f t="shared" si="0"/>
        <v>8</v>
      </c>
      <c r="B20" s="22" t="s">
        <v>23</v>
      </c>
      <c r="C20" s="45"/>
      <c r="D20" s="101">
        <f>+'Electric Summary'!D23</f>
        <v>1056410.8019999999</v>
      </c>
      <c r="E20" s="102">
        <f>+'Electric Summary'!E25</f>
        <v>1080180.0450449998</v>
      </c>
      <c r="F20" s="82">
        <f>+E20-D20</f>
        <v>23769.243044999894</v>
      </c>
      <c r="G20" s="102">
        <f>+'Electric Summary'!I25</f>
        <v>1143181.5461722496</v>
      </c>
      <c r="H20" s="80">
        <f>+G20-E20</f>
        <v>63001.501127249794</v>
      </c>
    </row>
    <row r="21" spans="1:8" x14ac:dyDescent="0.2">
      <c r="A21" s="14">
        <f t="shared" si="0"/>
        <v>9</v>
      </c>
      <c r="B21" s="18"/>
      <c r="C21" s="56"/>
      <c r="D21" s="76"/>
      <c r="E21" s="76"/>
      <c r="F21" s="76"/>
      <c r="G21" s="76"/>
      <c r="H21" s="76"/>
    </row>
    <row r="22" spans="1:8" x14ac:dyDescent="0.2">
      <c r="A22" s="14">
        <f t="shared" si="0"/>
        <v>10</v>
      </c>
      <c r="B22" s="37" t="s">
        <v>0</v>
      </c>
      <c r="C22" s="24"/>
      <c r="D22" s="76"/>
      <c r="E22" s="76"/>
      <c r="F22" s="76"/>
      <c r="G22" s="76"/>
      <c r="H22" s="76"/>
    </row>
    <row r="23" spans="1:8" x14ac:dyDescent="0.2">
      <c r="A23" s="14">
        <f t="shared" si="0"/>
        <v>11</v>
      </c>
      <c r="B23" s="25" t="s">
        <v>85</v>
      </c>
      <c r="C23" s="14"/>
      <c r="D23" s="101">
        <f>+D20+D17+D14</f>
        <v>13873355.148600001</v>
      </c>
      <c r="E23" s="101">
        <f>+E20+E17+E14</f>
        <v>13906664.896484401</v>
      </c>
      <c r="F23" s="101">
        <f>+F20+F17+F14</f>
        <v>33309.747884399723</v>
      </c>
      <c r="G23" s="101">
        <f>+G20+G17+G14</f>
        <v>14433726.319512019</v>
      </c>
      <c r="H23" s="80">
        <f>+G23-E23</f>
        <v>527061.42302761786</v>
      </c>
    </row>
    <row r="24" spans="1:8" x14ac:dyDescent="0.2">
      <c r="A24" s="14">
        <f t="shared" si="0"/>
        <v>12</v>
      </c>
      <c r="B24" s="27"/>
      <c r="C24" s="26"/>
      <c r="D24" s="76"/>
      <c r="E24" s="76"/>
      <c r="F24" s="76"/>
      <c r="G24" s="76"/>
      <c r="H24" s="76"/>
    </row>
    <row r="25" spans="1:8" x14ac:dyDescent="0.2">
      <c r="A25" s="14">
        <f t="shared" si="0"/>
        <v>13</v>
      </c>
      <c r="B25" s="25" t="s">
        <v>86</v>
      </c>
      <c r="C25" s="79">
        <f>+[1]Lead!$G$43</f>
        <v>0.49997132880489842</v>
      </c>
      <c r="D25" s="103">
        <f>+D23*$C$25</f>
        <v>6936279.8086278215</v>
      </c>
      <c r="E25" s="103">
        <f>+E23*$C$25</f>
        <v>6952933.7275397414</v>
      </c>
      <c r="F25" s="103">
        <f>+F23*$C$25</f>
        <v>16653.918911919485</v>
      </c>
      <c r="G25" s="103">
        <f>+G23*$C$25</f>
        <v>7216449.3275726596</v>
      </c>
      <c r="H25" s="80">
        <f>+G25-E25</f>
        <v>263515.60003291816</v>
      </c>
    </row>
    <row r="26" spans="1:8" x14ac:dyDescent="0.2">
      <c r="A26" s="14">
        <f t="shared" si="0"/>
        <v>14</v>
      </c>
      <c r="B26" s="27"/>
      <c r="C26" s="26"/>
      <c r="D26" s="76"/>
      <c r="E26" s="76"/>
      <c r="F26" s="76"/>
      <c r="G26" s="76"/>
      <c r="H26" s="76"/>
    </row>
    <row r="27" spans="1:8" x14ac:dyDescent="0.2">
      <c r="A27" s="14">
        <f t="shared" si="0"/>
        <v>15</v>
      </c>
      <c r="B27" s="74" t="s">
        <v>79</v>
      </c>
      <c r="C27" s="74"/>
      <c r="D27" s="81">
        <f>SUM(D25:D26)</f>
        <v>6936279.8086278215</v>
      </c>
      <c r="E27" s="81">
        <f>SUM(E25:E26)</f>
        <v>6952933.7275397414</v>
      </c>
      <c r="F27" s="82">
        <f>+E27-D27</f>
        <v>16653.918911919929</v>
      </c>
      <c r="G27" s="81">
        <f>SUM(G25:G26)</f>
        <v>7216449.3275726596</v>
      </c>
      <c r="H27" s="80">
        <f>+G27-E27</f>
        <v>263515.60003291816</v>
      </c>
    </row>
    <row r="28" spans="1:8" x14ac:dyDescent="0.2">
      <c r="A28" s="14">
        <f t="shared" si="0"/>
        <v>16</v>
      </c>
      <c r="B28" s="74"/>
      <c r="C28" s="74"/>
      <c r="D28" s="76"/>
      <c r="E28" s="76"/>
      <c r="F28" s="76"/>
      <c r="G28" s="76"/>
      <c r="H28" s="76"/>
    </row>
    <row r="29" spans="1:8" x14ac:dyDescent="0.2">
      <c r="A29" s="14">
        <f t="shared" si="0"/>
        <v>17</v>
      </c>
      <c r="B29" s="74" t="s">
        <v>78</v>
      </c>
      <c r="C29" s="74"/>
      <c r="D29" s="76"/>
      <c r="E29" s="76"/>
      <c r="F29" s="80">
        <f>+F27</f>
        <v>16653.918911919929</v>
      </c>
      <c r="G29" s="76"/>
      <c r="H29" s="80">
        <f>+H27</f>
        <v>263515.60003291816</v>
      </c>
    </row>
    <row r="30" spans="1:8" x14ac:dyDescent="0.2">
      <c r="A30" s="14">
        <f t="shared" si="0"/>
        <v>18</v>
      </c>
      <c r="B30" s="74"/>
      <c r="C30" s="74"/>
      <c r="D30" s="76"/>
      <c r="E30" s="76"/>
      <c r="F30" s="76"/>
      <c r="G30" s="76"/>
      <c r="H30" s="76"/>
    </row>
    <row r="31" spans="1:8" x14ac:dyDescent="0.2">
      <c r="A31" s="14">
        <f t="shared" si="0"/>
        <v>19</v>
      </c>
      <c r="B31" s="74" t="s">
        <v>11</v>
      </c>
      <c r="C31" s="79">
        <v>0.21</v>
      </c>
      <c r="D31" s="76"/>
      <c r="E31" s="78"/>
      <c r="F31" s="77">
        <f>-F29*C31</f>
        <v>-3497.3229715031848</v>
      </c>
      <c r="G31" s="78"/>
      <c r="H31" s="77">
        <f>-H29*C31</f>
        <v>-55338.276006912813</v>
      </c>
    </row>
    <row r="32" spans="1:8" x14ac:dyDescent="0.2">
      <c r="A32" s="14">
        <f t="shared" si="0"/>
        <v>20</v>
      </c>
      <c r="B32" s="74"/>
      <c r="C32" s="74"/>
      <c r="D32" s="76"/>
      <c r="E32" s="76"/>
      <c r="F32" s="76"/>
      <c r="G32" s="76"/>
      <c r="H32" s="76"/>
    </row>
    <row r="33" spans="1:8" x14ac:dyDescent="0.2">
      <c r="A33" s="14">
        <f t="shared" si="0"/>
        <v>21</v>
      </c>
      <c r="B33" s="74" t="s">
        <v>5</v>
      </c>
      <c r="C33" s="74"/>
      <c r="D33" s="76"/>
      <c r="E33" s="76"/>
      <c r="F33" s="75">
        <f>-F29-F31</f>
        <v>-13156.595940416744</v>
      </c>
      <c r="G33" s="76"/>
      <c r="H33" s="75">
        <f>-H29-H31</f>
        <v>-208177.32402600534</v>
      </c>
    </row>
    <row r="34" spans="1:8" x14ac:dyDescent="0.2">
      <c r="A34" s="14"/>
      <c r="B34" s="74"/>
      <c r="C34" s="74"/>
    </row>
    <row r="36" spans="1:8" x14ac:dyDescent="0.2">
      <c r="B36" s="73"/>
      <c r="C36" s="73"/>
    </row>
  </sheetData>
  <pageMargins left="0.75" right="0.7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D14" sqref="D14"/>
    </sheetView>
  </sheetViews>
  <sheetFormatPr defaultColWidth="8.85546875" defaultRowHeight="12.75" x14ac:dyDescent="0.2"/>
  <cols>
    <col min="1" max="1" width="5.42578125" style="72" bestFit="1" customWidth="1"/>
    <col min="2" max="2" width="47" style="72" customWidth="1"/>
    <col min="3" max="3" width="4.5703125" style="72" bestFit="1" customWidth="1"/>
    <col min="4" max="5" width="12.28515625" style="72" bestFit="1" customWidth="1"/>
    <col min="6" max="6" width="14.5703125" style="72" bestFit="1" customWidth="1"/>
    <col min="7" max="7" width="12.7109375" style="72" bestFit="1" customWidth="1"/>
    <col min="8" max="8" width="14.5703125" style="72" bestFit="1" customWidth="1"/>
    <col min="9" max="16384" width="8.85546875" style="72"/>
  </cols>
  <sheetData>
    <row r="1" spans="1:8" x14ac:dyDescent="0.2">
      <c r="A1" s="76"/>
      <c r="B1" s="76"/>
      <c r="C1" s="76"/>
    </row>
    <row r="2" spans="1:8" x14ac:dyDescent="0.2">
      <c r="A2" s="92"/>
      <c r="B2" s="92"/>
      <c r="C2" s="92"/>
    </row>
    <row r="3" spans="1:8" x14ac:dyDescent="0.2">
      <c r="A3" s="100"/>
      <c r="B3" s="100"/>
      <c r="C3" s="100"/>
    </row>
    <row r="4" spans="1:8" x14ac:dyDescent="0.2">
      <c r="A4" s="98" t="s">
        <v>19</v>
      </c>
      <c r="B4" s="98"/>
      <c r="C4" s="98"/>
      <c r="D4" s="98"/>
      <c r="E4" s="98"/>
      <c r="F4" s="98"/>
      <c r="G4" s="98"/>
      <c r="H4" s="98"/>
    </row>
    <row r="5" spans="1:8" x14ac:dyDescent="0.2">
      <c r="A5" s="5" t="s">
        <v>6</v>
      </c>
      <c r="B5" s="99"/>
      <c r="C5" s="99"/>
      <c r="D5" s="99"/>
      <c r="E5" s="99"/>
      <c r="F5" s="99"/>
      <c r="G5" s="99"/>
      <c r="H5" s="99"/>
    </row>
    <row r="6" spans="1:8" x14ac:dyDescent="0.2">
      <c r="A6" s="99" t="s">
        <v>73</v>
      </c>
      <c r="B6" s="99"/>
      <c r="C6" s="99"/>
      <c r="D6" s="99"/>
      <c r="E6" s="99"/>
      <c r="F6" s="99"/>
      <c r="G6" s="99"/>
      <c r="H6" s="99"/>
    </row>
    <row r="7" spans="1:8" x14ac:dyDescent="0.2">
      <c r="A7" s="98" t="s">
        <v>74</v>
      </c>
      <c r="B7" s="98"/>
      <c r="C7" s="98"/>
      <c r="D7" s="98"/>
      <c r="E7" s="98"/>
      <c r="F7" s="98"/>
      <c r="G7" s="98"/>
      <c r="H7" s="98"/>
    </row>
    <row r="8" spans="1:8" x14ac:dyDescent="0.2">
      <c r="A8" s="98"/>
      <c r="B8" s="98"/>
      <c r="C8" s="98"/>
      <c r="D8" s="98"/>
      <c r="E8" s="98"/>
      <c r="F8" s="98"/>
      <c r="G8" s="98"/>
      <c r="H8" s="98"/>
    </row>
    <row r="9" spans="1:8" x14ac:dyDescent="0.2">
      <c r="A9" s="92"/>
      <c r="B9" s="97"/>
      <c r="C9" s="96"/>
      <c r="D9" s="95" t="s">
        <v>84</v>
      </c>
      <c r="E9" s="94"/>
      <c r="F9" s="90" t="s">
        <v>75</v>
      </c>
      <c r="G9" s="94"/>
      <c r="H9" s="90" t="s">
        <v>76</v>
      </c>
    </row>
    <row r="10" spans="1:8" x14ac:dyDescent="0.2">
      <c r="A10" s="93" t="s">
        <v>1</v>
      </c>
      <c r="B10" s="92"/>
      <c r="C10" s="91"/>
      <c r="D10" s="90" t="s">
        <v>83</v>
      </c>
      <c r="E10" s="90" t="s">
        <v>75</v>
      </c>
      <c r="F10" s="90" t="s">
        <v>77</v>
      </c>
      <c r="G10" s="90" t="s">
        <v>76</v>
      </c>
      <c r="H10" s="90" t="s">
        <v>77</v>
      </c>
    </row>
    <row r="11" spans="1:8" x14ac:dyDescent="0.2">
      <c r="A11" s="89" t="s">
        <v>2</v>
      </c>
      <c r="B11" s="88" t="s">
        <v>3</v>
      </c>
      <c r="C11" s="87" t="s">
        <v>82</v>
      </c>
      <c r="D11" s="85" t="s">
        <v>28</v>
      </c>
      <c r="E11" s="86" t="s">
        <v>29</v>
      </c>
      <c r="F11" s="85" t="s">
        <v>81</v>
      </c>
      <c r="G11" s="86" t="s">
        <v>30</v>
      </c>
      <c r="H11" s="85" t="s">
        <v>80</v>
      </c>
    </row>
    <row r="12" spans="1:8" ht="14.25" x14ac:dyDescent="0.2">
      <c r="A12" s="74"/>
      <c r="B12" s="74"/>
      <c r="C12" s="84"/>
      <c r="D12" s="83"/>
      <c r="E12" s="83"/>
      <c r="F12" s="83"/>
      <c r="G12" s="83"/>
      <c r="H12" s="83"/>
    </row>
    <row r="13" spans="1:8" x14ac:dyDescent="0.2">
      <c r="A13" s="14">
        <v>1</v>
      </c>
      <c r="B13" s="36" t="s">
        <v>59</v>
      </c>
      <c r="C13" s="18"/>
      <c r="D13" s="80"/>
      <c r="E13" s="80"/>
      <c r="F13" s="82"/>
      <c r="G13" s="80"/>
      <c r="H13" s="80"/>
    </row>
    <row r="14" spans="1:8" x14ac:dyDescent="0.2">
      <c r="A14" s="14">
        <f t="shared" ref="A14:A33" si="0">A13+1</f>
        <v>2</v>
      </c>
      <c r="B14" s="22" t="s">
        <v>7</v>
      </c>
      <c r="C14" s="14"/>
      <c r="D14" s="101">
        <f>+'Gas Summary'!D13</f>
        <v>4258316.1606000001</v>
      </c>
      <c r="E14" s="102">
        <f>+'Gas Summary'!E15</f>
        <v>4258316.1606000001</v>
      </c>
      <c r="F14" s="82">
        <f>+E14-D14</f>
        <v>0</v>
      </c>
      <c r="G14" s="102">
        <f>+'Gas Summary'!I15</f>
        <v>4421409.6695509804</v>
      </c>
      <c r="H14" s="80">
        <f>+G14-E14</f>
        <v>163093.50895098038</v>
      </c>
    </row>
    <row r="15" spans="1:8" x14ac:dyDescent="0.2">
      <c r="A15" s="14">
        <f t="shared" si="0"/>
        <v>3</v>
      </c>
      <c r="B15" s="18"/>
      <c r="C15" s="29"/>
      <c r="D15" s="80"/>
      <c r="E15" s="80"/>
      <c r="F15" s="82"/>
      <c r="G15" s="80"/>
      <c r="H15" s="80"/>
    </row>
    <row r="16" spans="1:8" x14ac:dyDescent="0.2">
      <c r="A16" s="14">
        <f t="shared" si="0"/>
        <v>4</v>
      </c>
      <c r="B16" s="36" t="s">
        <v>15</v>
      </c>
      <c r="C16" s="23"/>
      <c r="D16" s="76"/>
      <c r="E16" s="76"/>
      <c r="F16" s="76"/>
      <c r="G16" s="76"/>
      <c r="H16" s="76"/>
    </row>
    <row r="17" spans="1:8" x14ac:dyDescent="0.2">
      <c r="A17" s="14">
        <f t="shared" si="0"/>
        <v>5</v>
      </c>
      <c r="B17" s="22" t="s">
        <v>20</v>
      </c>
      <c r="C17" s="14"/>
      <c r="D17" s="101">
        <f>+'Gas Summary'!D18</f>
        <v>1462408.4927999999</v>
      </c>
      <c r="E17" s="102">
        <f>+'Gas Summary'!E20</f>
        <v>1462408.4927999999</v>
      </c>
      <c r="F17" s="82">
        <f>+E17-D17</f>
        <v>0</v>
      </c>
      <c r="G17" s="102">
        <f>+'Gas Summary'!I20</f>
        <v>1506280.747584</v>
      </c>
      <c r="H17" s="80">
        <f>+G17-E17</f>
        <v>43872.254784000106</v>
      </c>
    </row>
    <row r="18" spans="1:8" x14ac:dyDescent="0.2">
      <c r="A18" s="14">
        <f t="shared" si="0"/>
        <v>6</v>
      </c>
      <c r="B18" s="18"/>
      <c r="C18" s="56"/>
      <c r="D18" s="76"/>
      <c r="E18" s="76"/>
      <c r="F18" s="76"/>
      <c r="G18" s="76"/>
      <c r="H18" s="76"/>
    </row>
    <row r="19" spans="1:8" ht="13.5" x14ac:dyDescent="0.25">
      <c r="A19" s="14">
        <f t="shared" si="0"/>
        <v>7</v>
      </c>
      <c r="B19" s="36" t="s">
        <v>14</v>
      </c>
      <c r="C19" s="44"/>
      <c r="D19" s="76"/>
      <c r="E19" s="76"/>
      <c r="F19" s="76"/>
      <c r="G19" s="76"/>
      <c r="H19" s="76"/>
    </row>
    <row r="20" spans="1:8" ht="13.5" x14ac:dyDescent="0.25">
      <c r="A20" s="14">
        <f t="shared" si="0"/>
        <v>8</v>
      </c>
      <c r="B20" s="22" t="s">
        <v>23</v>
      </c>
      <c r="C20" s="45"/>
      <c r="D20" s="101">
        <f>+'Gas Summary'!D23</f>
        <v>471519.19799999997</v>
      </c>
      <c r="E20" s="102">
        <f>+'Gas Summary'!E25</f>
        <v>482128.37995499995</v>
      </c>
      <c r="F20" s="82">
        <f>+E20-D20</f>
        <v>10609.181954999978</v>
      </c>
      <c r="G20" s="102">
        <f>+'Gas Summary'!I25</f>
        <v>510248.51771587541</v>
      </c>
      <c r="H20" s="80">
        <f>+G20-E20</f>
        <v>28120.137760875456</v>
      </c>
    </row>
    <row r="21" spans="1:8" x14ac:dyDescent="0.2">
      <c r="A21" s="14">
        <f t="shared" si="0"/>
        <v>9</v>
      </c>
      <c r="B21" s="18"/>
      <c r="C21" s="56"/>
      <c r="D21" s="76"/>
      <c r="E21" s="76"/>
      <c r="F21" s="76"/>
      <c r="G21" s="76"/>
      <c r="H21" s="76"/>
    </row>
    <row r="22" spans="1:8" x14ac:dyDescent="0.2">
      <c r="A22" s="14">
        <f t="shared" si="0"/>
        <v>10</v>
      </c>
      <c r="B22" s="37" t="s">
        <v>0</v>
      </c>
      <c r="C22" s="24"/>
      <c r="D22" s="76"/>
      <c r="E22" s="76"/>
      <c r="F22" s="76"/>
      <c r="G22" s="76"/>
      <c r="H22" s="76"/>
    </row>
    <row r="23" spans="1:8" x14ac:dyDescent="0.2">
      <c r="A23" s="14">
        <f t="shared" si="0"/>
        <v>11</v>
      </c>
      <c r="B23" s="25" t="s">
        <v>85</v>
      </c>
      <c r="C23" s="14"/>
      <c r="D23" s="101">
        <f>+D20+D17+D14</f>
        <v>6192243.8514</v>
      </c>
      <c r="E23" s="101">
        <f>+E20+E17+E14</f>
        <v>6202853.0333549995</v>
      </c>
      <c r="F23" s="101">
        <f>+F20+F17+F14</f>
        <v>10609.181954999978</v>
      </c>
      <c r="G23" s="101">
        <f>+G20+G17+G14</f>
        <v>6437938.9348508557</v>
      </c>
      <c r="H23" s="80">
        <f>+G23-E23</f>
        <v>235085.90149585623</v>
      </c>
    </row>
    <row r="24" spans="1:8" x14ac:dyDescent="0.2">
      <c r="A24" s="14">
        <f t="shared" si="0"/>
        <v>12</v>
      </c>
      <c r="B24" s="27"/>
      <c r="C24" s="26"/>
      <c r="D24" s="76"/>
      <c r="E24" s="76"/>
      <c r="F24" s="76"/>
      <c r="G24" s="76"/>
      <c r="H24" s="76"/>
    </row>
    <row r="25" spans="1:8" x14ac:dyDescent="0.2">
      <c r="A25" s="14">
        <f t="shared" si="0"/>
        <v>13</v>
      </c>
      <c r="B25" s="25" t="s">
        <v>86</v>
      </c>
      <c r="C25" s="79">
        <f>+Electric!C25</f>
        <v>0.49997132880489842</v>
      </c>
      <c r="D25" s="103">
        <f>+D23*$C$25</f>
        <v>3095944.3866684199</v>
      </c>
      <c r="E25" s="103">
        <f>+E23*$C$25</f>
        <v>3101248.6734679942</v>
      </c>
      <c r="F25" s="103">
        <f>+F23*$C$25</f>
        <v>5304.286799574289</v>
      </c>
      <c r="G25" s="103">
        <f>+G23*$C$25</f>
        <v>3218784.8840221749</v>
      </c>
      <c r="H25" s="80">
        <f>+G25-E25</f>
        <v>117536.21055418067</v>
      </c>
    </row>
    <row r="26" spans="1:8" x14ac:dyDescent="0.2">
      <c r="A26" s="14">
        <f t="shared" si="0"/>
        <v>14</v>
      </c>
      <c r="B26" s="27"/>
      <c r="C26" s="26"/>
      <c r="D26" s="76"/>
      <c r="E26" s="76"/>
      <c r="F26" s="76"/>
      <c r="G26" s="76"/>
      <c r="H26" s="76"/>
    </row>
    <row r="27" spans="1:8" x14ac:dyDescent="0.2">
      <c r="A27" s="14">
        <f t="shared" si="0"/>
        <v>15</v>
      </c>
      <c r="B27" s="74" t="s">
        <v>79</v>
      </c>
      <c r="C27" s="74"/>
      <c r="D27" s="81">
        <f>SUM(D25:D26)</f>
        <v>3095944.3866684199</v>
      </c>
      <c r="E27" s="81">
        <f>SUM(E25:E26)</f>
        <v>3101248.6734679942</v>
      </c>
      <c r="F27" s="82">
        <f>+E27-D27</f>
        <v>5304.2867995742708</v>
      </c>
      <c r="G27" s="81">
        <f>SUM(G25:G26)</f>
        <v>3218784.8840221749</v>
      </c>
      <c r="H27" s="80">
        <f>+G27-E27</f>
        <v>117536.21055418067</v>
      </c>
    </row>
    <row r="28" spans="1:8" x14ac:dyDescent="0.2">
      <c r="A28" s="14">
        <f t="shared" si="0"/>
        <v>16</v>
      </c>
      <c r="B28" s="74"/>
      <c r="C28" s="74"/>
      <c r="D28" s="76"/>
      <c r="E28" s="76"/>
      <c r="F28" s="76"/>
      <c r="G28" s="76"/>
      <c r="H28" s="76"/>
    </row>
    <row r="29" spans="1:8" x14ac:dyDescent="0.2">
      <c r="A29" s="14">
        <f t="shared" si="0"/>
        <v>17</v>
      </c>
      <c r="B29" s="74" t="s">
        <v>78</v>
      </c>
      <c r="C29" s="74"/>
      <c r="D29" s="76"/>
      <c r="E29" s="76"/>
      <c r="F29" s="80">
        <f>+F27</f>
        <v>5304.2867995742708</v>
      </c>
      <c r="G29" s="76"/>
      <c r="H29" s="80">
        <f>+H27</f>
        <v>117536.21055418067</v>
      </c>
    </row>
    <row r="30" spans="1:8" x14ac:dyDescent="0.2">
      <c r="A30" s="14">
        <f t="shared" si="0"/>
        <v>18</v>
      </c>
      <c r="B30" s="74"/>
      <c r="C30" s="74"/>
      <c r="D30" s="76"/>
      <c r="E30" s="76"/>
      <c r="F30" s="76"/>
      <c r="G30" s="76"/>
      <c r="H30" s="76"/>
    </row>
    <row r="31" spans="1:8" x14ac:dyDescent="0.2">
      <c r="A31" s="14">
        <f t="shared" si="0"/>
        <v>19</v>
      </c>
      <c r="B31" s="74" t="s">
        <v>11</v>
      </c>
      <c r="C31" s="79">
        <f>+Electric!C31</f>
        <v>0.21</v>
      </c>
      <c r="D31" s="76"/>
      <c r="E31" s="78"/>
      <c r="F31" s="77">
        <f>-F29*C31</f>
        <v>-1113.9002279105969</v>
      </c>
      <c r="G31" s="78"/>
      <c r="H31" s="77">
        <f>-H29*C31</f>
        <v>-24682.604216377938</v>
      </c>
    </row>
    <row r="32" spans="1:8" x14ac:dyDescent="0.2">
      <c r="A32" s="14">
        <f t="shared" si="0"/>
        <v>20</v>
      </c>
      <c r="B32" s="74"/>
      <c r="C32" s="74"/>
      <c r="D32" s="76"/>
      <c r="E32" s="76"/>
      <c r="F32" s="76"/>
      <c r="G32" s="76"/>
      <c r="H32" s="76"/>
    </row>
    <row r="33" spans="1:8" x14ac:dyDescent="0.2">
      <c r="A33" s="14">
        <f t="shared" si="0"/>
        <v>21</v>
      </c>
      <c r="B33" s="74" t="s">
        <v>5</v>
      </c>
      <c r="C33" s="74"/>
      <c r="D33" s="76"/>
      <c r="E33" s="76"/>
      <c r="F33" s="75">
        <f>-F29-F31</f>
        <v>-4190.3865716636737</v>
      </c>
      <c r="G33" s="76"/>
      <c r="H33" s="75">
        <f>-H29-H31</f>
        <v>-92853.606337802732</v>
      </c>
    </row>
  </sheetData>
  <pageMargins left="0.75" right="0.75" top="1" bottom="1" header="0.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activeCell="C33" sqref="C33"/>
    </sheetView>
  </sheetViews>
  <sheetFormatPr defaultRowHeight="12.75" x14ac:dyDescent="0.2"/>
  <cols>
    <col min="1" max="1" width="5.42578125" bestFit="1" customWidth="1"/>
    <col min="2" max="2" width="48" customWidth="1"/>
    <col min="3" max="3" width="7" bestFit="1" customWidth="1"/>
    <col min="4" max="4" width="14.5703125" customWidth="1"/>
    <col min="5" max="5" width="13.28515625" customWidth="1"/>
    <col min="6" max="6" width="8.7109375" customWidth="1"/>
    <col min="7" max="7" width="7.85546875" bestFit="1" customWidth="1"/>
    <col min="8" max="8" width="14.5703125" customWidth="1"/>
    <col min="9" max="9" width="13.28515625" customWidth="1"/>
    <col min="10" max="10" width="10.7109375" customWidth="1"/>
    <col min="11" max="11" width="15.42578125" customWidth="1"/>
    <col min="12" max="12" width="15.7109375" customWidth="1"/>
  </cols>
  <sheetData>
    <row r="1" spans="1:9" x14ac:dyDescent="0.2">
      <c r="A1" s="2"/>
      <c r="B1" s="2"/>
    </row>
    <row r="2" spans="1:9" x14ac:dyDescent="0.2">
      <c r="A2" s="3"/>
      <c r="B2" s="3"/>
    </row>
    <row r="3" spans="1:9" x14ac:dyDescent="0.2">
      <c r="A3" s="3"/>
      <c r="B3" s="3"/>
      <c r="C3" s="3"/>
      <c r="D3" s="3"/>
      <c r="G3" s="3"/>
      <c r="H3" s="3"/>
    </row>
    <row r="4" spans="1:9" x14ac:dyDescent="0.2">
      <c r="A4" s="4" t="s">
        <v>12</v>
      </c>
      <c r="B4" s="4"/>
      <c r="C4" s="4"/>
      <c r="D4" s="4"/>
      <c r="E4" s="4"/>
      <c r="G4" s="4"/>
      <c r="H4" s="4"/>
      <c r="I4" s="4"/>
    </row>
    <row r="5" spans="1:9" x14ac:dyDescent="0.2">
      <c r="A5" s="5" t="s">
        <v>6</v>
      </c>
      <c r="B5" s="5"/>
      <c r="C5" s="5"/>
      <c r="D5" s="5"/>
      <c r="E5" s="6"/>
      <c r="G5" s="5"/>
      <c r="H5" s="5"/>
      <c r="I5" s="6"/>
    </row>
    <row r="6" spans="1:9" x14ac:dyDescent="0.2">
      <c r="A6" s="5" t="s">
        <v>73</v>
      </c>
      <c r="B6" s="5"/>
      <c r="C6" s="5"/>
      <c r="D6" s="5"/>
      <c r="E6" s="52"/>
      <c r="G6" s="5"/>
      <c r="H6" s="5"/>
      <c r="I6" s="52"/>
    </row>
    <row r="7" spans="1:9" x14ac:dyDescent="0.2">
      <c r="A7" s="4" t="s">
        <v>72</v>
      </c>
      <c r="B7" s="5"/>
      <c r="C7" s="5"/>
      <c r="D7" s="5"/>
      <c r="E7" s="52"/>
      <c r="G7" s="5"/>
      <c r="H7" s="5"/>
      <c r="I7" s="52"/>
    </row>
    <row r="8" spans="1:9" x14ac:dyDescent="0.2">
      <c r="A8" s="3"/>
      <c r="B8" s="7"/>
      <c r="C8" s="8"/>
      <c r="D8" s="51"/>
      <c r="E8" s="8"/>
      <c r="G8" s="8"/>
      <c r="H8" s="51"/>
      <c r="I8" s="8"/>
    </row>
    <row r="9" spans="1:9" x14ac:dyDescent="0.2">
      <c r="A9" s="9" t="s">
        <v>1</v>
      </c>
      <c r="B9" s="3"/>
      <c r="C9" s="3"/>
      <c r="D9" s="3"/>
      <c r="E9" s="10" t="s">
        <v>75</v>
      </c>
      <c r="G9" s="3"/>
      <c r="H9" s="3"/>
      <c r="I9" s="10" t="s">
        <v>76</v>
      </c>
    </row>
    <row r="10" spans="1:9" x14ac:dyDescent="0.2">
      <c r="A10" s="11" t="s">
        <v>2</v>
      </c>
      <c r="B10" s="12" t="s">
        <v>3</v>
      </c>
      <c r="C10" s="13"/>
      <c r="D10" s="13"/>
      <c r="E10" s="13" t="s">
        <v>4</v>
      </c>
      <c r="G10" s="13"/>
      <c r="H10" s="13"/>
      <c r="I10" s="13" t="s">
        <v>4</v>
      </c>
    </row>
    <row r="11" spans="1:9" x14ac:dyDescent="0.2">
      <c r="A11" s="14"/>
      <c r="B11" s="15"/>
      <c r="C11" s="16"/>
      <c r="D11" s="16"/>
      <c r="E11" s="17"/>
      <c r="G11" s="16"/>
      <c r="H11" s="16"/>
      <c r="I11" s="17"/>
    </row>
    <row r="12" spans="1:9" x14ac:dyDescent="0.2">
      <c r="A12" s="14">
        <v>1</v>
      </c>
      <c r="B12" s="36" t="s">
        <v>59</v>
      </c>
      <c r="C12" s="18"/>
      <c r="D12" s="21"/>
      <c r="E12" s="2"/>
      <c r="G12" s="18"/>
      <c r="H12" s="21"/>
      <c r="I12" s="2"/>
    </row>
    <row r="13" spans="1:9" x14ac:dyDescent="0.2">
      <c r="A13" s="14">
        <f t="shared" ref="A13:A34" si="0">A12+1</f>
        <v>2</v>
      </c>
      <c r="B13" s="22" t="s">
        <v>7</v>
      </c>
      <c r="C13" s="14"/>
      <c r="D13" s="53">
        <f>'Inv Plan from HR'!C13</f>
        <v>9540504.8394000009</v>
      </c>
      <c r="E13" s="2"/>
      <c r="G13" s="14"/>
      <c r="H13" s="53">
        <f>+E15</f>
        <v>9550045.3442394007</v>
      </c>
      <c r="I13" s="2"/>
    </row>
    <row r="14" spans="1:9" x14ac:dyDescent="0.2">
      <c r="A14" s="14">
        <f t="shared" si="0"/>
        <v>3</v>
      </c>
      <c r="B14" s="18" t="s">
        <v>66</v>
      </c>
      <c r="C14" s="29">
        <f>+'Non-Union Wage Inc RS'!G23</f>
        <v>1E-3</v>
      </c>
      <c r="D14" s="54">
        <f>+D13*C14</f>
        <v>9540.5048394000005</v>
      </c>
      <c r="E14" s="49"/>
      <c r="G14" s="29">
        <f>+'Non-Union Wage Inc PR'!G23</f>
        <v>3.8300000000000001E-2</v>
      </c>
      <c r="H14" s="54">
        <f>+H13*G14</f>
        <v>365766.73668436904</v>
      </c>
      <c r="I14" s="49"/>
    </row>
    <row r="15" spans="1:9" x14ac:dyDescent="0.2">
      <c r="A15" s="14">
        <f t="shared" si="0"/>
        <v>4</v>
      </c>
      <c r="B15" s="19" t="s">
        <v>8</v>
      </c>
      <c r="C15" s="14"/>
      <c r="D15" s="14"/>
      <c r="E15" s="35">
        <f>SUM(D13:D14)</f>
        <v>9550045.3442394007</v>
      </c>
      <c r="G15" s="14"/>
      <c r="H15" s="14"/>
      <c r="I15" s="35">
        <f>SUM(H13:H14)</f>
        <v>9915812.0809237696</v>
      </c>
    </row>
    <row r="16" spans="1:9" x14ac:dyDescent="0.2">
      <c r="A16" s="14">
        <f t="shared" si="0"/>
        <v>5</v>
      </c>
      <c r="B16" s="19"/>
      <c r="C16" s="14"/>
      <c r="D16" s="14"/>
      <c r="E16" s="35"/>
      <c r="G16" s="14"/>
      <c r="H16" s="14"/>
      <c r="I16" s="35"/>
    </row>
    <row r="17" spans="1:9" x14ac:dyDescent="0.2">
      <c r="A17" s="14">
        <f t="shared" si="0"/>
        <v>6</v>
      </c>
      <c r="B17" s="36" t="s">
        <v>15</v>
      </c>
      <c r="C17" s="23"/>
      <c r="D17" s="23"/>
      <c r="E17" s="35"/>
      <c r="G17" s="23"/>
      <c r="H17" s="23"/>
      <c r="I17" s="35"/>
    </row>
    <row r="18" spans="1:9" x14ac:dyDescent="0.2">
      <c r="A18" s="14">
        <f t="shared" si="0"/>
        <v>7</v>
      </c>
      <c r="B18" s="22" t="s">
        <v>20</v>
      </c>
      <c r="C18" s="14"/>
      <c r="D18" s="55">
        <f>+'Inv Plan from HR'!C16</f>
        <v>3276439.5071999999</v>
      </c>
      <c r="E18" s="49"/>
      <c r="G18" s="14"/>
      <c r="H18" s="55">
        <f>+E20</f>
        <v>3276439.5071999999</v>
      </c>
      <c r="I18" s="49"/>
    </row>
    <row r="19" spans="1:9" x14ac:dyDescent="0.2">
      <c r="A19" s="14">
        <f t="shared" si="0"/>
        <v>8</v>
      </c>
      <c r="B19" s="18" t="s">
        <v>21</v>
      </c>
      <c r="C19" s="56">
        <f>+'Union Wage Inc RS'!C12</f>
        <v>0</v>
      </c>
      <c r="D19" s="54">
        <f>+D18*C19</f>
        <v>0</v>
      </c>
      <c r="E19" s="49"/>
      <c r="G19" s="56">
        <f>+'Union Wage Inc PR'!C12</f>
        <v>0.03</v>
      </c>
      <c r="H19" s="54">
        <f>+H18*G19</f>
        <v>98293.185215999998</v>
      </c>
      <c r="I19" s="49"/>
    </row>
    <row r="20" spans="1:9" ht="13.5" x14ac:dyDescent="0.2">
      <c r="A20" s="14">
        <f t="shared" si="0"/>
        <v>9</v>
      </c>
      <c r="B20" s="19" t="s">
        <v>22</v>
      </c>
      <c r="C20" s="42"/>
      <c r="D20" s="19"/>
      <c r="E20" s="35">
        <f>SUM(D18:D19)</f>
        <v>3276439.5071999999</v>
      </c>
      <c r="G20" s="42"/>
      <c r="H20" s="19"/>
      <c r="I20" s="35">
        <f>SUM(H18:H19)</f>
        <v>3374732.6924159997</v>
      </c>
    </row>
    <row r="21" spans="1:9" ht="13.5" x14ac:dyDescent="0.25">
      <c r="A21" s="14">
        <f t="shared" si="0"/>
        <v>10</v>
      </c>
      <c r="B21" s="18"/>
      <c r="C21" s="43"/>
      <c r="D21" s="18"/>
      <c r="E21" s="40"/>
      <c r="G21" s="43"/>
      <c r="H21" s="18"/>
      <c r="I21" s="40"/>
    </row>
    <row r="22" spans="1:9" ht="13.5" x14ac:dyDescent="0.25">
      <c r="A22" s="14">
        <f t="shared" si="0"/>
        <v>11</v>
      </c>
      <c r="B22" s="36" t="s">
        <v>14</v>
      </c>
      <c r="C22" s="44"/>
      <c r="D22" s="23"/>
      <c r="E22" s="40"/>
      <c r="G22" s="44"/>
      <c r="H22" s="23"/>
      <c r="I22" s="40"/>
    </row>
    <row r="23" spans="1:9" ht="13.5" x14ac:dyDescent="0.25">
      <c r="A23" s="14">
        <f t="shared" si="0"/>
        <v>12</v>
      </c>
      <c r="B23" s="22" t="s">
        <v>23</v>
      </c>
      <c r="C23" s="45"/>
      <c r="D23" s="55">
        <f>+'Inv Plan from HR'!C15</f>
        <v>1056410.8019999999</v>
      </c>
      <c r="E23" s="57"/>
      <c r="G23" s="45"/>
      <c r="H23" s="55">
        <f>+E25</f>
        <v>1080180.0450449998</v>
      </c>
      <c r="I23" s="57"/>
    </row>
    <row r="24" spans="1:9" x14ac:dyDescent="0.2">
      <c r="A24" s="14">
        <f t="shared" si="0"/>
        <v>13</v>
      </c>
      <c r="B24" s="18" t="s">
        <v>24</v>
      </c>
      <c r="C24" s="56">
        <f>+'Union Wage Inc RS'!C20</f>
        <v>2.2499999999999999E-2</v>
      </c>
      <c r="D24" s="54">
        <f>+D23*C24</f>
        <v>23769.243044999996</v>
      </c>
      <c r="E24" s="57"/>
      <c r="G24" s="56">
        <f>+'Union Wage Inc PR'!C25</f>
        <v>5.8325000000000182E-2</v>
      </c>
      <c r="H24" s="54">
        <f>+H23*G24</f>
        <v>63001.501127249809</v>
      </c>
      <c r="I24" s="57"/>
    </row>
    <row r="25" spans="1:9" x14ac:dyDescent="0.2">
      <c r="A25" s="14">
        <f t="shared" si="0"/>
        <v>14</v>
      </c>
      <c r="B25" s="19" t="s">
        <v>25</v>
      </c>
      <c r="C25" s="19"/>
      <c r="D25" s="19"/>
      <c r="E25" s="35">
        <f>SUM(D23:D24)</f>
        <v>1080180.0450449998</v>
      </c>
      <c r="G25" s="19"/>
      <c r="H25" s="19"/>
      <c r="I25" s="35">
        <f>SUM(H23:H24)</f>
        <v>1143181.5461722496</v>
      </c>
    </row>
    <row r="26" spans="1:9" ht="13.5" x14ac:dyDescent="0.25">
      <c r="A26" s="14">
        <f t="shared" si="0"/>
        <v>15</v>
      </c>
      <c r="B26" s="18"/>
      <c r="C26" s="18"/>
      <c r="D26" s="18"/>
      <c r="E26" s="41"/>
      <c r="G26" s="18"/>
      <c r="H26" s="18"/>
      <c r="I26" s="41"/>
    </row>
    <row r="27" spans="1:9" x14ac:dyDescent="0.2">
      <c r="A27" s="14">
        <f t="shared" si="0"/>
        <v>16</v>
      </c>
      <c r="B27" s="37" t="s">
        <v>0</v>
      </c>
      <c r="C27" s="24"/>
      <c r="D27" s="24"/>
      <c r="E27" s="61"/>
      <c r="G27" s="24"/>
      <c r="H27" s="24"/>
      <c r="I27" s="61"/>
    </row>
    <row r="28" spans="1:9" x14ac:dyDescent="0.2">
      <c r="A28" s="14">
        <f t="shared" si="0"/>
        <v>17</v>
      </c>
      <c r="B28" s="25" t="s">
        <v>85</v>
      </c>
      <c r="C28" s="14"/>
      <c r="D28" s="14"/>
      <c r="E28" s="55">
        <f>+E15+E20+E25</f>
        <v>13906664.896484401</v>
      </c>
      <c r="G28" s="14"/>
      <c r="H28" s="14"/>
      <c r="I28" s="55">
        <f>+I15+I20+I25</f>
        <v>14433726.319512019</v>
      </c>
    </row>
    <row r="29" spans="1:9" x14ac:dyDescent="0.2">
      <c r="A29" s="14">
        <f t="shared" si="0"/>
        <v>18</v>
      </c>
      <c r="B29" s="25" t="s">
        <v>9</v>
      </c>
      <c r="C29" s="114">
        <f>+Electric!C25</f>
        <v>0.49997132880489842</v>
      </c>
      <c r="D29" s="29"/>
      <c r="E29" s="55">
        <f>+E28*C29</f>
        <v>6952933.7275397414</v>
      </c>
      <c r="G29" s="114">
        <f>+C29</f>
        <v>0.49997132880489842</v>
      </c>
      <c r="H29" s="29"/>
      <c r="I29" s="55">
        <f>+I28*G29</f>
        <v>7216449.3275726596</v>
      </c>
    </row>
    <row r="30" spans="1:9" x14ac:dyDescent="0.2">
      <c r="A30" s="14">
        <f t="shared" si="0"/>
        <v>19</v>
      </c>
      <c r="B30" s="22" t="s">
        <v>91</v>
      </c>
      <c r="C30" s="26"/>
      <c r="D30" s="26"/>
      <c r="E30" s="54">
        <f>(+D13+D18+D23)*C29</f>
        <v>6936279.8086278206</v>
      </c>
      <c r="G30" s="26"/>
      <c r="H30" s="26"/>
      <c r="I30" s="54">
        <f>(+H13+H18+H23)*G29</f>
        <v>6952933.7275397414</v>
      </c>
    </row>
    <row r="31" spans="1:9" x14ac:dyDescent="0.2">
      <c r="A31" s="14">
        <f t="shared" si="0"/>
        <v>20</v>
      </c>
      <c r="B31" s="27" t="s">
        <v>10</v>
      </c>
      <c r="C31" s="28"/>
      <c r="D31" s="28"/>
      <c r="E31" s="58">
        <f>E29-E30</f>
        <v>16653.91891192086</v>
      </c>
      <c r="G31" s="28"/>
      <c r="H31" s="28"/>
      <c r="I31" s="58">
        <f>I29-I30</f>
        <v>263515.60003291816</v>
      </c>
    </row>
    <row r="32" spans="1:9" x14ac:dyDescent="0.2">
      <c r="A32" s="14">
        <f t="shared" si="0"/>
        <v>21</v>
      </c>
      <c r="B32" s="18"/>
      <c r="C32" s="14"/>
      <c r="D32" s="14"/>
      <c r="E32" s="55"/>
      <c r="G32" s="14"/>
      <c r="H32" s="14"/>
      <c r="I32" s="55"/>
    </row>
    <row r="33" spans="1:9" x14ac:dyDescent="0.2">
      <c r="A33" s="14">
        <f t="shared" si="0"/>
        <v>22</v>
      </c>
      <c r="B33" s="22" t="s">
        <v>11</v>
      </c>
      <c r="C33" s="114">
        <f>+Electric!C31</f>
        <v>0.21</v>
      </c>
      <c r="D33" s="26"/>
      <c r="E33" s="59">
        <f>ROUND(-E31*C33,0)</f>
        <v>-3497</v>
      </c>
      <c r="G33" s="114">
        <f>+C33</f>
        <v>0.21</v>
      </c>
      <c r="H33" s="26"/>
      <c r="I33" s="59">
        <f>ROUND(-I31*G33,0)</f>
        <v>-55338</v>
      </c>
    </row>
    <row r="34" spans="1:9" ht="13.5" thickBot="1" x14ac:dyDescent="0.25">
      <c r="A34" s="14">
        <f t="shared" si="0"/>
        <v>23</v>
      </c>
      <c r="B34" s="22" t="s">
        <v>5</v>
      </c>
      <c r="C34" s="14"/>
      <c r="D34" s="14"/>
      <c r="E34" s="60">
        <f>-E31-E33</f>
        <v>-13156.91891192086</v>
      </c>
      <c r="G34" s="14"/>
      <c r="H34" s="14"/>
      <c r="I34" s="60">
        <f>-I31-I33</f>
        <v>-208177.60003291816</v>
      </c>
    </row>
    <row r="35" spans="1:9" ht="13.5" thickTop="1" x14ac:dyDescent="0.2">
      <c r="A35" s="14"/>
      <c r="B35" s="18"/>
      <c r="C35" s="18"/>
      <c r="D35" s="18"/>
      <c r="E35" s="20"/>
      <c r="G35" s="18"/>
      <c r="H35" s="18"/>
      <c r="I35" s="20"/>
    </row>
    <row r="36" spans="1:9" x14ac:dyDescent="0.2">
      <c r="C36" s="2"/>
      <c r="D36" s="2"/>
      <c r="G36" s="2"/>
      <c r="H36" s="2"/>
    </row>
    <row r="37" spans="1:9" x14ac:dyDescent="0.2">
      <c r="C37" s="2"/>
      <c r="D37" s="2"/>
      <c r="E37" s="70"/>
      <c r="G37" s="2"/>
      <c r="H37" s="2"/>
      <c r="I37" s="70"/>
    </row>
    <row r="38" spans="1:9" x14ac:dyDescent="0.2">
      <c r="C38" s="2"/>
      <c r="D38" s="2"/>
      <c r="E38" s="2"/>
      <c r="G38" s="2"/>
      <c r="H38" s="2"/>
      <c r="I38" s="2"/>
    </row>
    <row r="39" spans="1:9" x14ac:dyDescent="0.2">
      <c r="C39" s="2"/>
      <c r="D39" s="2"/>
      <c r="E39" s="2"/>
      <c r="G39" s="2"/>
      <c r="H39" s="2"/>
      <c r="I39" s="2"/>
    </row>
    <row r="40" spans="1:9" x14ac:dyDescent="0.2">
      <c r="A40" s="1"/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activeCell="D14" sqref="D14"/>
    </sheetView>
  </sheetViews>
  <sheetFormatPr defaultRowHeight="12.75" x14ac:dyDescent="0.2"/>
  <cols>
    <col min="1" max="1" width="5.42578125" bestFit="1" customWidth="1"/>
    <col min="2" max="2" width="48" customWidth="1"/>
    <col min="3" max="3" width="7" bestFit="1" customWidth="1"/>
    <col min="4" max="4" width="14.5703125" customWidth="1"/>
    <col min="5" max="5" width="13.28515625" customWidth="1"/>
    <col min="6" max="6" width="8.7109375" customWidth="1"/>
    <col min="7" max="7" width="7.85546875" bestFit="1" customWidth="1"/>
    <col min="8" max="8" width="10.5703125" bestFit="1" customWidth="1"/>
    <col min="9" max="9" width="13.28515625" customWidth="1"/>
    <col min="10" max="10" width="10.7109375" customWidth="1"/>
    <col min="11" max="11" width="15.42578125" customWidth="1"/>
    <col min="12" max="12" width="15.7109375" customWidth="1"/>
  </cols>
  <sheetData>
    <row r="1" spans="1:9" x14ac:dyDescent="0.2">
      <c r="A1" s="2"/>
      <c r="B1" s="2"/>
    </row>
    <row r="2" spans="1:9" x14ac:dyDescent="0.2">
      <c r="A2" s="3"/>
      <c r="B2" s="3"/>
    </row>
    <row r="3" spans="1:9" x14ac:dyDescent="0.2">
      <c r="A3" s="3"/>
      <c r="B3" s="3"/>
      <c r="C3" s="3"/>
      <c r="D3" s="3"/>
      <c r="G3" s="3"/>
      <c r="H3" s="3"/>
    </row>
    <row r="4" spans="1:9" x14ac:dyDescent="0.2">
      <c r="A4" s="4" t="s">
        <v>19</v>
      </c>
      <c r="B4" s="4"/>
      <c r="C4" s="4"/>
      <c r="D4" s="4"/>
      <c r="E4" s="4"/>
      <c r="G4" s="4"/>
      <c r="H4" s="4"/>
      <c r="I4" s="4"/>
    </row>
    <row r="5" spans="1:9" x14ac:dyDescent="0.2">
      <c r="A5" s="5" t="s">
        <v>6</v>
      </c>
      <c r="B5" s="5"/>
      <c r="C5" s="5"/>
      <c r="D5" s="5"/>
      <c r="E5" s="6"/>
      <c r="G5" s="5"/>
      <c r="H5" s="5"/>
      <c r="I5" s="6"/>
    </row>
    <row r="6" spans="1:9" x14ac:dyDescent="0.2">
      <c r="A6" s="5" t="s">
        <v>73</v>
      </c>
      <c r="B6" s="5"/>
      <c r="C6" s="5"/>
      <c r="D6" s="5"/>
      <c r="E6" s="52"/>
      <c r="G6" s="5"/>
      <c r="H6" s="5"/>
      <c r="I6" s="52"/>
    </row>
    <row r="7" spans="1:9" x14ac:dyDescent="0.2">
      <c r="A7" s="4" t="s">
        <v>72</v>
      </c>
      <c r="B7" s="5"/>
      <c r="C7" s="5"/>
      <c r="D7" s="5"/>
      <c r="E7" s="52"/>
      <c r="G7" s="5"/>
      <c r="H7" s="5"/>
      <c r="I7" s="52"/>
    </row>
    <row r="8" spans="1:9" x14ac:dyDescent="0.2">
      <c r="A8" s="3"/>
      <c r="B8" s="7"/>
      <c r="C8" s="8"/>
      <c r="D8" s="51"/>
      <c r="E8" s="8"/>
      <c r="G8" s="8"/>
      <c r="H8" s="51"/>
      <c r="I8" s="8"/>
    </row>
    <row r="9" spans="1:9" x14ac:dyDescent="0.2">
      <c r="A9" s="9" t="s">
        <v>1</v>
      </c>
      <c r="B9" s="3"/>
      <c r="C9" s="3"/>
      <c r="D9" s="3"/>
      <c r="E9" s="10" t="s">
        <v>75</v>
      </c>
      <c r="G9" s="3"/>
      <c r="H9" s="3"/>
      <c r="I9" s="10" t="s">
        <v>76</v>
      </c>
    </row>
    <row r="10" spans="1:9" x14ac:dyDescent="0.2">
      <c r="A10" s="11" t="s">
        <v>2</v>
      </c>
      <c r="B10" s="12" t="s">
        <v>3</v>
      </c>
      <c r="C10" s="13"/>
      <c r="D10" s="13"/>
      <c r="E10" s="13" t="s">
        <v>4</v>
      </c>
      <c r="G10" s="13"/>
      <c r="H10" s="13"/>
      <c r="I10" s="13" t="s">
        <v>4</v>
      </c>
    </row>
    <row r="11" spans="1:9" x14ac:dyDescent="0.2">
      <c r="A11" s="14"/>
      <c r="B11" s="15"/>
      <c r="C11" s="16"/>
      <c r="D11" s="16"/>
      <c r="E11" s="17"/>
      <c r="G11" s="16"/>
      <c r="H11" s="16"/>
      <c r="I11" s="17"/>
    </row>
    <row r="12" spans="1:9" x14ac:dyDescent="0.2">
      <c r="A12" s="14">
        <v>1</v>
      </c>
      <c r="B12" s="36" t="s">
        <v>59</v>
      </c>
      <c r="C12" s="18"/>
      <c r="D12" s="21"/>
      <c r="E12" s="2"/>
      <c r="G12" s="18"/>
      <c r="H12" s="21"/>
      <c r="I12" s="2"/>
    </row>
    <row r="13" spans="1:9" x14ac:dyDescent="0.2">
      <c r="A13" s="14">
        <f t="shared" ref="A13:A34" si="0">A12+1</f>
        <v>2</v>
      </c>
      <c r="B13" s="22" t="s">
        <v>7</v>
      </c>
      <c r="C13" s="14"/>
      <c r="D13" s="53">
        <f>'Inv Plan from HR'!D13</f>
        <v>4258316.1606000001</v>
      </c>
      <c r="E13" s="2"/>
      <c r="G13" s="14"/>
      <c r="H13" s="53">
        <f>+E15</f>
        <v>4258316.1606000001</v>
      </c>
      <c r="I13" s="2"/>
    </row>
    <row r="14" spans="1:9" x14ac:dyDescent="0.2">
      <c r="A14" s="14">
        <f t="shared" si="0"/>
        <v>3</v>
      </c>
      <c r="B14" s="18" t="s">
        <v>66</v>
      </c>
      <c r="C14" s="29">
        <f>+'Union Wage Inc RS'!C28</f>
        <v>0</v>
      </c>
      <c r="D14" s="54">
        <f>+D13*C14</f>
        <v>0</v>
      </c>
      <c r="E14" s="49"/>
      <c r="G14" s="29">
        <f>+'Non-Union Wage Inc PR'!G23</f>
        <v>3.8300000000000001E-2</v>
      </c>
      <c r="H14" s="54">
        <f>+H13*G14</f>
        <v>163093.50895098</v>
      </c>
      <c r="I14" s="49"/>
    </row>
    <row r="15" spans="1:9" x14ac:dyDescent="0.2">
      <c r="A15" s="14">
        <f t="shared" si="0"/>
        <v>4</v>
      </c>
      <c r="B15" s="19" t="s">
        <v>8</v>
      </c>
      <c r="C15" s="14"/>
      <c r="D15" s="14"/>
      <c r="E15" s="35">
        <f>SUM(D13:D14)</f>
        <v>4258316.1606000001</v>
      </c>
      <c r="G15" s="14"/>
      <c r="H15" s="14"/>
      <c r="I15" s="35">
        <f>SUM(H13:H14)</f>
        <v>4421409.6695509804</v>
      </c>
    </row>
    <row r="16" spans="1:9" x14ac:dyDescent="0.2">
      <c r="A16" s="14">
        <f t="shared" si="0"/>
        <v>5</v>
      </c>
      <c r="B16" s="19"/>
      <c r="C16" s="14"/>
      <c r="D16" s="14"/>
      <c r="E16" s="35"/>
      <c r="G16" s="14"/>
      <c r="H16" s="14"/>
      <c r="I16" s="35"/>
    </row>
    <row r="17" spans="1:9" x14ac:dyDescent="0.2">
      <c r="A17" s="14">
        <f t="shared" si="0"/>
        <v>6</v>
      </c>
      <c r="B17" s="36" t="s">
        <v>15</v>
      </c>
      <c r="C17" s="23"/>
      <c r="D17" s="23"/>
      <c r="E17" s="35"/>
      <c r="G17" s="23"/>
      <c r="H17" s="23"/>
      <c r="I17" s="35"/>
    </row>
    <row r="18" spans="1:9" x14ac:dyDescent="0.2">
      <c r="A18" s="14">
        <f t="shared" si="0"/>
        <v>7</v>
      </c>
      <c r="B18" s="22" t="s">
        <v>20</v>
      </c>
      <c r="C18" s="14"/>
      <c r="D18" s="55">
        <f>+'Inv Plan from HR'!D16</f>
        <v>1462408.4927999999</v>
      </c>
      <c r="E18" s="49"/>
      <c r="G18" s="14"/>
      <c r="H18" s="55">
        <f>+E20</f>
        <v>1462408.4927999999</v>
      </c>
      <c r="I18" s="49"/>
    </row>
    <row r="19" spans="1:9" x14ac:dyDescent="0.2">
      <c r="A19" s="14">
        <f t="shared" si="0"/>
        <v>8</v>
      </c>
      <c r="B19" s="18" t="s">
        <v>21</v>
      </c>
      <c r="C19" s="56">
        <f>+'Union Wage Inc RS'!C12</f>
        <v>0</v>
      </c>
      <c r="D19" s="54">
        <f>+D18*C19</f>
        <v>0</v>
      </c>
      <c r="E19" s="49"/>
      <c r="G19" s="56">
        <f>+'Union Wage Inc PR'!C12</f>
        <v>0.03</v>
      </c>
      <c r="H19" s="54">
        <f>+H18*G19</f>
        <v>43872.254783999997</v>
      </c>
      <c r="I19" s="49"/>
    </row>
    <row r="20" spans="1:9" ht="13.5" x14ac:dyDescent="0.2">
      <c r="A20" s="14">
        <f t="shared" si="0"/>
        <v>9</v>
      </c>
      <c r="B20" s="19" t="s">
        <v>22</v>
      </c>
      <c r="C20" s="42"/>
      <c r="D20" s="19"/>
      <c r="E20" s="35">
        <f>SUM(D18:D19)</f>
        <v>1462408.4927999999</v>
      </c>
      <c r="G20" s="42"/>
      <c r="H20" s="19"/>
      <c r="I20" s="35">
        <f>SUM(H18:H19)</f>
        <v>1506280.747584</v>
      </c>
    </row>
    <row r="21" spans="1:9" ht="13.5" x14ac:dyDescent="0.25">
      <c r="A21" s="14">
        <f t="shared" si="0"/>
        <v>10</v>
      </c>
      <c r="B21" s="18"/>
      <c r="C21" s="43"/>
      <c r="D21" s="18"/>
      <c r="E21" s="40"/>
      <c r="G21" s="43"/>
      <c r="H21" s="18"/>
      <c r="I21" s="40"/>
    </row>
    <row r="22" spans="1:9" ht="13.5" x14ac:dyDescent="0.25">
      <c r="A22" s="14">
        <f t="shared" si="0"/>
        <v>11</v>
      </c>
      <c r="B22" s="36" t="s">
        <v>14</v>
      </c>
      <c r="C22" s="44"/>
      <c r="D22" s="23"/>
      <c r="E22" s="40"/>
      <c r="G22" s="44"/>
      <c r="H22" s="23"/>
      <c r="I22" s="40"/>
    </row>
    <row r="23" spans="1:9" ht="13.5" x14ac:dyDescent="0.25">
      <c r="A23" s="14">
        <f t="shared" si="0"/>
        <v>12</v>
      </c>
      <c r="B23" s="22" t="s">
        <v>23</v>
      </c>
      <c r="C23" s="45"/>
      <c r="D23" s="55">
        <f>+'Inv Plan from HR'!D15</f>
        <v>471519.19799999997</v>
      </c>
      <c r="E23" s="57"/>
      <c r="G23" s="45"/>
      <c r="H23" s="55">
        <f>+E25</f>
        <v>482128.37995499995</v>
      </c>
      <c r="I23" s="57"/>
    </row>
    <row r="24" spans="1:9" x14ac:dyDescent="0.2">
      <c r="A24" s="14">
        <f t="shared" si="0"/>
        <v>13</v>
      </c>
      <c r="B24" s="18" t="s">
        <v>24</v>
      </c>
      <c r="C24" s="56">
        <f>+'Union Wage Inc RS'!C20</f>
        <v>2.2499999999999999E-2</v>
      </c>
      <c r="D24" s="54">
        <f>+D23*C24</f>
        <v>10609.181954999998</v>
      </c>
      <c r="E24" s="57"/>
      <c r="G24" s="56">
        <f>+'Union Wage Inc PR'!C25</f>
        <v>5.8325000000000182E-2</v>
      </c>
      <c r="H24" s="54">
        <f>+H23*G24</f>
        <v>28120.137760875459</v>
      </c>
      <c r="I24" s="57"/>
    </row>
    <row r="25" spans="1:9" x14ac:dyDescent="0.2">
      <c r="A25" s="14">
        <f t="shared" si="0"/>
        <v>14</v>
      </c>
      <c r="B25" s="19" t="s">
        <v>25</v>
      </c>
      <c r="C25" s="19"/>
      <c r="D25" s="19"/>
      <c r="E25" s="35">
        <f>SUM(D23:D24)</f>
        <v>482128.37995499995</v>
      </c>
      <c r="G25" s="19"/>
      <c r="H25" s="19"/>
      <c r="I25" s="35">
        <f>SUM(H23:H24)</f>
        <v>510248.51771587541</v>
      </c>
    </row>
    <row r="26" spans="1:9" ht="13.5" x14ac:dyDescent="0.25">
      <c r="A26" s="14">
        <f t="shared" si="0"/>
        <v>15</v>
      </c>
      <c r="B26" s="18"/>
      <c r="C26" s="18"/>
      <c r="D26" s="18"/>
      <c r="E26" s="41"/>
      <c r="G26" s="18"/>
      <c r="H26" s="18"/>
      <c r="I26" s="41"/>
    </row>
    <row r="27" spans="1:9" x14ac:dyDescent="0.2">
      <c r="A27" s="14">
        <f t="shared" si="0"/>
        <v>16</v>
      </c>
      <c r="B27" s="37" t="s">
        <v>0</v>
      </c>
      <c r="C27" s="24"/>
      <c r="D27" s="24"/>
      <c r="E27" s="61"/>
      <c r="G27" s="24"/>
      <c r="H27" s="24"/>
      <c r="I27" s="61"/>
    </row>
    <row r="28" spans="1:9" x14ac:dyDescent="0.2">
      <c r="A28" s="14">
        <f t="shared" si="0"/>
        <v>17</v>
      </c>
      <c r="B28" s="25" t="s">
        <v>85</v>
      </c>
      <c r="C28" s="14"/>
      <c r="D28" s="14"/>
      <c r="E28" s="55">
        <f>+E15+E20+E25</f>
        <v>6202853.0333550004</v>
      </c>
      <c r="G28" s="14"/>
      <c r="H28" s="14"/>
      <c r="I28" s="55">
        <f>+I15+I20+I25</f>
        <v>6437938.9348508557</v>
      </c>
    </row>
    <row r="29" spans="1:9" x14ac:dyDescent="0.2">
      <c r="A29" s="14">
        <f t="shared" si="0"/>
        <v>18</v>
      </c>
      <c r="B29" s="25" t="s">
        <v>9</v>
      </c>
      <c r="C29" s="114">
        <f>+Electric!C25</f>
        <v>0.49997132880489842</v>
      </c>
      <c r="D29" s="29"/>
      <c r="E29" s="55">
        <f>+E28*C29</f>
        <v>3101248.6734679947</v>
      </c>
      <c r="G29" s="114">
        <f>+C29</f>
        <v>0.49997132880489842</v>
      </c>
      <c r="H29" s="29"/>
      <c r="I29" s="55">
        <f>+I28*G29</f>
        <v>3218784.8840221749</v>
      </c>
    </row>
    <row r="30" spans="1:9" x14ac:dyDescent="0.2">
      <c r="A30" s="14">
        <f t="shared" si="0"/>
        <v>19</v>
      </c>
      <c r="B30" s="22" t="s">
        <v>91</v>
      </c>
      <c r="C30" s="26"/>
      <c r="D30" s="26"/>
      <c r="E30" s="54">
        <f>(+D13+D18+D23)*C29</f>
        <v>3095944.3866684199</v>
      </c>
      <c r="G30" s="26"/>
      <c r="H30" s="26"/>
      <c r="I30" s="54">
        <f>(+H13+H18+H23)*G29</f>
        <v>3101248.6734679947</v>
      </c>
    </row>
    <row r="31" spans="1:9" x14ac:dyDescent="0.2">
      <c r="A31" s="14">
        <f t="shared" si="0"/>
        <v>20</v>
      </c>
      <c r="B31" s="27" t="s">
        <v>10</v>
      </c>
      <c r="C31" s="28"/>
      <c r="D31" s="28"/>
      <c r="E31" s="58">
        <f>E29-E30</f>
        <v>5304.2867995747365</v>
      </c>
      <c r="G31" s="28"/>
      <c r="H31" s="28"/>
      <c r="I31" s="58">
        <f>I29-I30</f>
        <v>117536.2105541802</v>
      </c>
    </row>
    <row r="32" spans="1:9" x14ac:dyDescent="0.2">
      <c r="A32" s="14">
        <f t="shared" si="0"/>
        <v>21</v>
      </c>
      <c r="B32" s="18"/>
      <c r="C32" s="14"/>
      <c r="D32" s="14"/>
      <c r="E32" s="55"/>
      <c r="G32" s="14"/>
      <c r="H32" s="14"/>
      <c r="I32" s="55"/>
    </row>
    <row r="33" spans="1:9" x14ac:dyDescent="0.2">
      <c r="A33" s="14">
        <f t="shared" si="0"/>
        <v>22</v>
      </c>
      <c r="B33" s="22" t="s">
        <v>11</v>
      </c>
      <c r="C33" s="114">
        <f>+'Electric Summary'!C33</f>
        <v>0.21</v>
      </c>
      <c r="D33" s="26"/>
      <c r="E33" s="59">
        <f>ROUND(-E31*C33,0)</f>
        <v>-1114</v>
      </c>
      <c r="G33" s="114">
        <f>+C33</f>
        <v>0.21</v>
      </c>
      <c r="H33" s="26"/>
      <c r="I33" s="59">
        <f>ROUND(-I31*G33,0)</f>
        <v>-24683</v>
      </c>
    </row>
    <row r="34" spans="1:9" ht="13.5" thickBot="1" x14ac:dyDescent="0.25">
      <c r="A34" s="14">
        <f t="shared" si="0"/>
        <v>23</v>
      </c>
      <c r="B34" s="22" t="s">
        <v>5</v>
      </c>
      <c r="C34" s="14"/>
      <c r="D34" s="14"/>
      <c r="E34" s="60">
        <f>-E31-E33</f>
        <v>-4190.2867995747365</v>
      </c>
      <c r="G34" s="14"/>
      <c r="H34" s="14"/>
      <c r="I34" s="60">
        <f>-I31-I33</f>
        <v>-92853.210554180201</v>
      </c>
    </row>
    <row r="35" spans="1:9" ht="13.5" thickTop="1" x14ac:dyDescent="0.2">
      <c r="A35" s="14"/>
      <c r="B35" s="18"/>
      <c r="C35" s="18"/>
      <c r="D35" s="18"/>
      <c r="E35" s="20"/>
      <c r="G35" s="18"/>
      <c r="H35" s="18"/>
      <c r="I35" s="20"/>
    </row>
    <row r="36" spans="1:9" x14ac:dyDescent="0.2">
      <c r="C36" s="2"/>
      <c r="D36" s="2"/>
      <c r="G36" s="2"/>
      <c r="H36" s="2"/>
    </row>
    <row r="37" spans="1:9" x14ac:dyDescent="0.2">
      <c r="C37" s="2"/>
      <c r="D37" s="2"/>
      <c r="E37" s="70"/>
      <c r="G37" s="2"/>
      <c r="H37" s="2"/>
      <c r="I37" s="70"/>
    </row>
    <row r="38" spans="1:9" x14ac:dyDescent="0.2">
      <c r="C38" s="2"/>
      <c r="D38" s="2"/>
      <c r="E38" s="2"/>
      <c r="G38" s="2"/>
      <c r="H38" s="2"/>
      <c r="I38" s="2"/>
    </row>
    <row r="39" spans="1:9" x14ac:dyDescent="0.2">
      <c r="C39" s="2"/>
      <c r="D39" s="2"/>
      <c r="E39" s="2"/>
      <c r="G39" s="2"/>
      <c r="H39" s="2"/>
      <c r="I39" s="2"/>
    </row>
    <row r="40" spans="1:9" x14ac:dyDescent="0.2">
      <c r="A40" s="1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topLeftCell="A13" zoomScaleNormal="100" zoomScalePageLayoutView="76" workbookViewId="0">
      <selection activeCell="E40" sqref="E40"/>
    </sheetView>
  </sheetViews>
  <sheetFormatPr defaultColWidth="9.140625" defaultRowHeight="12.75" x14ac:dyDescent="0.2"/>
  <cols>
    <col min="1" max="1" width="5.42578125" style="115" customWidth="1"/>
    <col min="2" max="2" width="48.28515625" style="115" customWidth="1"/>
    <col min="3" max="3" width="8.140625" style="115" bestFit="1" customWidth="1"/>
    <col min="4" max="4" width="18.85546875" style="115" bestFit="1" customWidth="1"/>
    <col min="5" max="5" width="20.140625" style="115" customWidth="1"/>
    <col min="6" max="6" width="15.28515625" style="115" customWidth="1"/>
    <col min="7" max="7" width="13.7109375" style="115" bestFit="1" customWidth="1"/>
    <col min="8" max="8" width="13" style="115" customWidth="1"/>
    <col min="9" max="9" width="35.28515625" style="115" bestFit="1" customWidth="1"/>
    <col min="10" max="11" width="18.85546875" style="115" bestFit="1" customWidth="1"/>
    <col min="12" max="12" width="7.85546875" style="115" bestFit="1" customWidth="1"/>
    <col min="13" max="13" width="9.28515625" style="115" bestFit="1" customWidth="1"/>
    <col min="14" max="255" width="9.140625" style="115"/>
    <col min="256" max="256" width="6.140625" style="115" bestFit="1" customWidth="1"/>
    <col min="257" max="257" width="38.7109375" style="115" customWidth="1"/>
    <col min="258" max="258" width="28.7109375" style="115" customWidth="1"/>
    <col min="259" max="259" width="14.140625" style="115" customWidth="1"/>
    <col min="260" max="260" width="17.140625" style="115" customWidth="1"/>
    <col min="261" max="262" width="14.140625" style="115" customWidth="1"/>
    <col min="263" max="264" width="8.28515625" style="115" customWidth="1"/>
    <col min="265" max="265" width="9.140625" style="115"/>
    <col min="266" max="266" width="16.42578125" style="115" bestFit="1" customWidth="1"/>
    <col min="267" max="511" width="9.140625" style="115"/>
    <col min="512" max="512" width="6.140625" style="115" bestFit="1" customWidth="1"/>
    <col min="513" max="513" width="38.7109375" style="115" customWidth="1"/>
    <col min="514" max="514" width="28.7109375" style="115" customWidth="1"/>
    <col min="515" max="515" width="14.140625" style="115" customWidth="1"/>
    <col min="516" max="516" width="17.140625" style="115" customWidth="1"/>
    <col min="517" max="518" width="14.140625" style="115" customWidth="1"/>
    <col min="519" max="520" width="8.28515625" style="115" customWidth="1"/>
    <col min="521" max="521" width="9.140625" style="115"/>
    <col min="522" max="522" width="16.42578125" style="115" bestFit="1" customWidth="1"/>
    <col min="523" max="767" width="9.140625" style="115"/>
    <col min="768" max="768" width="6.140625" style="115" bestFit="1" customWidth="1"/>
    <col min="769" max="769" width="38.7109375" style="115" customWidth="1"/>
    <col min="770" max="770" width="28.7109375" style="115" customWidth="1"/>
    <col min="771" max="771" width="14.140625" style="115" customWidth="1"/>
    <col min="772" max="772" width="17.140625" style="115" customWidth="1"/>
    <col min="773" max="774" width="14.140625" style="115" customWidth="1"/>
    <col min="775" max="776" width="8.28515625" style="115" customWidth="1"/>
    <col min="777" max="777" width="9.140625" style="115"/>
    <col min="778" max="778" width="16.42578125" style="115" bestFit="1" customWidth="1"/>
    <col min="779" max="1023" width="9.140625" style="115"/>
    <col min="1024" max="1024" width="6.140625" style="115" bestFit="1" customWidth="1"/>
    <col min="1025" max="1025" width="38.7109375" style="115" customWidth="1"/>
    <col min="1026" max="1026" width="28.7109375" style="115" customWidth="1"/>
    <col min="1027" max="1027" width="14.140625" style="115" customWidth="1"/>
    <col min="1028" max="1028" width="17.140625" style="115" customWidth="1"/>
    <col min="1029" max="1030" width="14.140625" style="115" customWidth="1"/>
    <col min="1031" max="1032" width="8.28515625" style="115" customWidth="1"/>
    <col min="1033" max="1033" width="9.140625" style="115"/>
    <col min="1034" max="1034" width="16.42578125" style="115" bestFit="1" customWidth="1"/>
    <col min="1035" max="1279" width="9.140625" style="115"/>
    <col min="1280" max="1280" width="6.140625" style="115" bestFit="1" customWidth="1"/>
    <col min="1281" max="1281" width="38.7109375" style="115" customWidth="1"/>
    <col min="1282" max="1282" width="28.7109375" style="115" customWidth="1"/>
    <col min="1283" max="1283" width="14.140625" style="115" customWidth="1"/>
    <col min="1284" max="1284" width="17.140625" style="115" customWidth="1"/>
    <col min="1285" max="1286" width="14.140625" style="115" customWidth="1"/>
    <col min="1287" max="1288" width="8.28515625" style="115" customWidth="1"/>
    <col min="1289" max="1289" width="9.140625" style="115"/>
    <col min="1290" max="1290" width="16.42578125" style="115" bestFit="1" customWidth="1"/>
    <col min="1291" max="1535" width="9.140625" style="115"/>
    <col min="1536" max="1536" width="6.140625" style="115" bestFit="1" customWidth="1"/>
    <col min="1537" max="1537" width="38.7109375" style="115" customWidth="1"/>
    <col min="1538" max="1538" width="28.7109375" style="115" customWidth="1"/>
    <col min="1539" max="1539" width="14.140625" style="115" customWidth="1"/>
    <col min="1540" max="1540" width="17.140625" style="115" customWidth="1"/>
    <col min="1541" max="1542" width="14.140625" style="115" customWidth="1"/>
    <col min="1543" max="1544" width="8.28515625" style="115" customWidth="1"/>
    <col min="1545" max="1545" width="9.140625" style="115"/>
    <col min="1546" max="1546" width="16.42578125" style="115" bestFit="1" customWidth="1"/>
    <col min="1547" max="1791" width="9.140625" style="115"/>
    <col min="1792" max="1792" width="6.140625" style="115" bestFit="1" customWidth="1"/>
    <col min="1793" max="1793" width="38.7109375" style="115" customWidth="1"/>
    <col min="1794" max="1794" width="28.7109375" style="115" customWidth="1"/>
    <col min="1795" max="1795" width="14.140625" style="115" customWidth="1"/>
    <col min="1796" max="1796" width="17.140625" style="115" customWidth="1"/>
    <col min="1797" max="1798" width="14.140625" style="115" customWidth="1"/>
    <col min="1799" max="1800" width="8.28515625" style="115" customWidth="1"/>
    <col min="1801" max="1801" width="9.140625" style="115"/>
    <col min="1802" max="1802" width="16.42578125" style="115" bestFit="1" customWidth="1"/>
    <col min="1803" max="2047" width="9.140625" style="115"/>
    <col min="2048" max="2048" width="6.140625" style="115" bestFit="1" customWidth="1"/>
    <col min="2049" max="2049" width="38.7109375" style="115" customWidth="1"/>
    <col min="2050" max="2050" width="28.7109375" style="115" customWidth="1"/>
    <col min="2051" max="2051" width="14.140625" style="115" customWidth="1"/>
    <col min="2052" max="2052" width="17.140625" style="115" customWidth="1"/>
    <col min="2053" max="2054" width="14.140625" style="115" customWidth="1"/>
    <col min="2055" max="2056" width="8.28515625" style="115" customWidth="1"/>
    <col min="2057" max="2057" width="9.140625" style="115"/>
    <col min="2058" max="2058" width="16.42578125" style="115" bestFit="1" customWidth="1"/>
    <col min="2059" max="2303" width="9.140625" style="115"/>
    <col min="2304" max="2304" width="6.140625" style="115" bestFit="1" customWidth="1"/>
    <col min="2305" max="2305" width="38.7109375" style="115" customWidth="1"/>
    <col min="2306" max="2306" width="28.7109375" style="115" customWidth="1"/>
    <col min="2307" max="2307" width="14.140625" style="115" customWidth="1"/>
    <col min="2308" max="2308" width="17.140625" style="115" customWidth="1"/>
    <col min="2309" max="2310" width="14.140625" style="115" customWidth="1"/>
    <col min="2311" max="2312" width="8.28515625" style="115" customWidth="1"/>
    <col min="2313" max="2313" width="9.140625" style="115"/>
    <col min="2314" max="2314" width="16.42578125" style="115" bestFit="1" customWidth="1"/>
    <col min="2315" max="2559" width="9.140625" style="115"/>
    <col min="2560" max="2560" width="6.140625" style="115" bestFit="1" customWidth="1"/>
    <col min="2561" max="2561" width="38.7109375" style="115" customWidth="1"/>
    <col min="2562" max="2562" width="28.7109375" style="115" customWidth="1"/>
    <col min="2563" max="2563" width="14.140625" style="115" customWidth="1"/>
    <col min="2564" max="2564" width="17.140625" style="115" customWidth="1"/>
    <col min="2565" max="2566" width="14.140625" style="115" customWidth="1"/>
    <col min="2567" max="2568" width="8.28515625" style="115" customWidth="1"/>
    <col min="2569" max="2569" width="9.140625" style="115"/>
    <col min="2570" max="2570" width="16.42578125" style="115" bestFit="1" customWidth="1"/>
    <col min="2571" max="2815" width="9.140625" style="115"/>
    <col min="2816" max="2816" width="6.140625" style="115" bestFit="1" customWidth="1"/>
    <col min="2817" max="2817" width="38.7109375" style="115" customWidth="1"/>
    <col min="2818" max="2818" width="28.7109375" style="115" customWidth="1"/>
    <col min="2819" max="2819" width="14.140625" style="115" customWidth="1"/>
    <col min="2820" max="2820" width="17.140625" style="115" customWidth="1"/>
    <col min="2821" max="2822" width="14.140625" style="115" customWidth="1"/>
    <col min="2823" max="2824" width="8.28515625" style="115" customWidth="1"/>
    <col min="2825" max="2825" width="9.140625" style="115"/>
    <col min="2826" max="2826" width="16.42578125" style="115" bestFit="1" customWidth="1"/>
    <col min="2827" max="3071" width="9.140625" style="115"/>
    <col min="3072" max="3072" width="6.140625" style="115" bestFit="1" customWidth="1"/>
    <col min="3073" max="3073" width="38.7109375" style="115" customWidth="1"/>
    <col min="3074" max="3074" width="28.7109375" style="115" customWidth="1"/>
    <col min="3075" max="3075" width="14.140625" style="115" customWidth="1"/>
    <col min="3076" max="3076" width="17.140625" style="115" customWidth="1"/>
    <col min="3077" max="3078" width="14.140625" style="115" customWidth="1"/>
    <col min="3079" max="3080" width="8.28515625" style="115" customWidth="1"/>
    <col min="3081" max="3081" width="9.140625" style="115"/>
    <col min="3082" max="3082" width="16.42578125" style="115" bestFit="1" customWidth="1"/>
    <col min="3083" max="3327" width="9.140625" style="115"/>
    <col min="3328" max="3328" width="6.140625" style="115" bestFit="1" customWidth="1"/>
    <col min="3329" max="3329" width="38.7109375" style="115" customWidth="1"/>
    <col min="3330" max="3330" width="28.7109375" style="115" customWidth="1"/>
    <col min="3331" max="3331" width="14.140625" style="115" customWidth="1"/>
    <col min="3332" max="3332" width="17.140625" style="115" customWidth="1"/>
    <col min="3333" max="3334" width="14.140625" style="115" customWidth="1"/>
    <col min="3335" max="3336" width="8.28515625" style="115" customWidth="1"/>
    <col min="3337" max="3337" width="9.140625" style="115"/>
    <col min="3338" max="3338" width="16.42578125" style="115" bestFit="1" customWidth="1"/>
    <col min="3339" max="3583" width="9.140625" style="115"/>
    <col min="3584" max="3584" width="6.140625" style="115" bestFit="1" customWidth="1"/>
    <col min="3585" max="3585" width="38.7109375" style="115" customWidth="1"/>
    <col min="3586" max="3586" width="28.7109375" style="115" customWidth="1"/>
    <col min="3587" max="3587" width="14.140625" style="115" customWidth="1"/>
    <col min="3588" max="3588" width="17.140625" style="115" customWidth="1"/>
    <col min="3589" max="3590" width="14.140625" style="115" customWidth="1"/>
    <col min="3591" max="3592" width="8.28515625" style="115" customWidth="1"/>
    <col min="3593" max="3593" width="9.140625" style="115"/>
    <col min="3594" max="3594" width="16.42578125" style="115" bestFit="1" customWidth="1"/>
    <col min="3595" max="3839" width="9.140625" style="115"/>
    <col min="3840" max="3840" width="6.140625" style="115" bestFit="1" customWidth="1"/>
    <col min="3841" max="3841" width="38.7109375" style="115" customWidth="1"/>
    <col min="3842" max="3842" width="28.7109375" style="115" customWidth="1"/>
    <col min="3843" max="3843" width="14.140625" style="115" customWidth="1"/>
    <col min="3844" max="3844" width="17.140625" style="115" customWidth="1"/>
    <col min="3845" max="3846" width="14.140625" style="115" customWidth="1"/>
    <col min="3847" max="3848" width="8.28515625" style="115" customWidth="1"/>
    <col min="3849" max="3849" width="9.140625" style="115"/>
    <col min="3850" max="3850" width="16.42578125" style="115" bestFit="1" customWidth="1"/>
    <col min="3851" max="4095" width="9.140625" style="115"/>
    <col min="4096" max="4096" width="6.140625" style="115" bestFit="1" customWidth="1"/>
    <col min="4097" max="4097" width="38.7109375" style="115" customWidth="1"/>
    <col min="4098" max="4098" width="28.7109375" style="115" customWidth="1"/>
    <col min="4099" max="4099" width="14.140625" style="115" customWidth="1"/>
    <col min="4100" max="4100" width="17.140625" style="115" customWidth="1"/>
    <col min="4101" max="4102" width="14.140625" style="115" customWidth="1"/>
    <col min="4103" max="4104" width="8.28515625" style="115" customWidth="1"/>
    <col min="4105" max="4105" width="9.140625" style="115"/>
    <col min="4106" max="4106" width="16.42578125" style="115" bestFit="1" customWidth="1"/>
    <col min="4107" max="4351" width="9.140625" style="115"/>
    <col min="4352" max="4352" width="6.140625" style="115" bestFit="1" customWidth="1"/>
    <col min="4353" max="4353" width="38.7109375" style="115" customWidth="1"/>
    <col min="4354" max="4354" width="28.7109375" style="115" customWidth="1"/>
    <col min="4355" max="4355" width="14.140625" style="115" customWidth="1"/>
    <col min="4356" max="4356" width="17.140625" style="115" customWidth="1"/>
    <col min="4357" max="4358" width="14.140625" style="115" customWidth="1"/>
    <col min="4359" max="4360" width="8.28515625" style="115" customWidth="1"/>
    <col min="4361" max="4361" width="9.140625" style="115"/>
    <col min="4362" max="4362" width="16.42578125" style="115" bestFit="1" customWidth="1"/>
    <col min="4363" max="4607" width="9.140625" style="115"/>
    <col min="4608" max="4608" width="6.140625" style="115" bestFit="1" customWidth="1"/>
    <col min="4609" max="4609" width="38.7109375" style="115" customWidth="1"/>
    <col min="4610" max="4610" width="28.7109375" style="115" customWidth="1"/>
    <col min="4611" max="4611" width="14.140625" style="115" customWidth="1"/>
    <col min="4612" max="4612" width="17.140625" style="115" customWidth="1"/>
    <col min="4613" max="4614" width="14.140625" style="115" customWidth="1"/>
    <col min="4615" max="4616" width="8.28515625" style="115" customWidth="1"/>
    <col min="4617" max="4617" width="9.140625" style="115"/>
    <col min="4618" max="4618" width="16.42578125" style="115" bestFit="1" customWidth="1"/>
    <col min="4619" max="4863" width="9.140625" style="115"/>
    <col min="4864" max="4864" width="6.140625" style="115" bestFit="1" customWidth="1"/>
    <col min="4865" max="4865" width="38.7109375" style="115" customWidth="1"/>
    <col min="4866" max="4866" width="28.7109375" style="115" customWidth="1"/>
    <col min="4867" max="4867" width="14.140625" style="115" customWidth="1"/>
    <col min="4868" max="4868" width="17.140625" style="115" customWidth="1"/>
    <col min="4869" max="4870" width="14.140625" style="115" customWidth="1"/>
    <col min="4871" max="4872" width="8.28515625" style="115" customWidth="1"/>
    <col min="4873" max="4873" width="9.140625" style="115"/>
    <col min="4874" max="4874" width="16.42578125" style="115" bestFit="1" customWidth="1"/>
    <col min="4875" max="5119" width="9.140625" style="115"/>
    <col min="5120" max="5120" width="6.140625" style="115" bestFit="1" customWidth="1"/>
    <col min="5121" max="5121" width="38.7109375" style="115" customWidth="1"/>
    <col min="5122" max="5122" width="28.7109375" style="115" customWidth="1"/>
    <col min="5123" max="5123" width="14.140625" style="115" customWidth="1"/>
    <col min="5124" max="5124" width="17.140625" style="115" customWidth="1"/>
    <col min="5125" max="5126" width="14.140625" style="115" customWidth="1"/>
    <col min="5127" max="5128" width="8.28515625" style="115" customWidth="1"/>
    <col min="5129" max="5129" width="9.140625" style="115"/>
    <col min="5130" max="5130" width="16.42578125" style="115" bestFit="1" customWidth="1"/>
    <col min="5131" max="5375" width="9.140625" style="115"/>
    <col min="5376" max="5376" width="6.140625" style="115" bestFit="1" customWidth="1"/>
    <col min="5377" max="5377" width="38.7109375" style="115" customWidth="1"/>
    <col min="5378" max="5378" width="28.7109375" style="115" customWidth="1"/>
    <col min="5379" max="5379" width="14.140625" style="115" customWidth="1"/>
    <col min="5380" max="5380" width="17.140625" style="115" customWidth="1"/>
    <col min="5381" max="5382" width="14.140625" style="115" customWidth="1"/>
    <col min="5383" max="5384" width="8.28515625" style="115" customWidth="1"/>
    <col min="5385" max="5385" width="9.140625" style="115"/>
    <col min="5386" max="5386" width="16.42578125" style="115" bestFit="1" customWidth="1"/>
    <col min="5387" max="5631" width="9.140625" style="115"/>
    <col min="5632" max="5632" width="6.140625" style="115" bestFit="1" customWidth="1"/>
    <col min="5633" max="5633" width="38.7109375" style="115" customWidth="1"/>
    <col min="5634" max="5634" width="28.7109375" style="115" customWidth="1"/>
    <col min="5635" max="5635" width="14.140625" style="115" customWidth="1"/>
    <col min="5636" max="5636" width="17.140625" style="115" customWidth="1"/>
    <col min="5637" max="5638" width="14.140625" style="115" customWidth="1"/>
    <col min="5639" max="5640" width="8.28515625" style="115" customWidth="1"/>
    <col min="5641" max="5641" width="9.140625" style="115"/>
    <col min="5642" max="5642" width="16.42578125" style="115" bestFit="1" customWidth="1"/>
    <col min="5643" max="5887" width="9.140625" style="115"/>
    <col min="5888" max="5888" width="6.140625" style="115" bestFit="1" customWidth="1"/>
    <col min="5889" max="5889" width="38.7109375" style="115" customWidth="1"/>
    <col min="5890" max="5890" width="28.7109375" style="115" customWidth="1"/>
    <col min="5891" max="5891" width="14.140625" style="115" customWidth="1"/>
    <col min="5892" max="5892" width="17.140625" style="115" customWidth="1"/>
    <col min="5893" max="5894" width="14.140625" style="115" customWidth="1"/>
    <col min="5895" max="5896" width="8.28515625" style="115" customWidth="1"/>
    <col min="5897" max="5897" width="9.140625" style="115"/>
    <col min="5898" max="5898" width="16.42578125" style="115" bestFit="1" customWidth="1"/>
    <col min="5899" max="6143" width="9.140625" style="115"/>
    <col min="6144" max="6144" width="6.140625" style="115" bestFit="1" customWidth="1"/>
    <col min="6145" max="6145" width="38.7109375" style="115" customWidth="1"/>
    <col min="6146" max="6146" width="28.7109375" style="115" customWidth="1"/>
    <col min="6147" max="6147" width="14.140625" style="115" customWidth="1"/>
    <col min="6148" max="6148" width="17.140625" style="115" customWidth="1"/>
    <col min="6149" max="6150" width="14.140625" style="115" customWidth="1"/>
    <col min="6151" max="6152" width="8.28515625" style="115" customWidth="1"/>
    <col min="6153" max="6153" width="9.140625" style="115"/>
    <col min="6154" max="6154" width="16.42578125" style="115" bestFit="1" customWidth="1"/>
    <col min="6155" max="6399" width="9.140625" style="115"/>
    <col min="6400" max="6400" width="6.140625" style="115" bestFit="1" customWidth="1"/>
    <col min="6401" max="6401" width="38.7109375" style="115" customWidth="1"/>
    <col min="6402" max="6402" width="28.7109375" style="115" customWidth="1"/>
    <col min="6403" max="6403" width="14.140625" style="115" customWidth="1"/>
    <col min="6404" max="6404" width="17.140625" style="115" customWidth="1"/>
    <col min="6405" max="6406" width="14.140625" style="115" customWidth="1"/>
    <col min="6407" max="6408" width="8.28515625" style="115" customWidth="1"/>
    <col min="6409" max="6409" width="9.140625" style="115"/>
    <col min="6410" max="6410" width="16.42578125" style="115" bestFit="1" customWidth="1"/>
    <col min="6411" max="6655" width="9.140625" style="115"/>
    <col min="6656" max="6656" width="6.140625" style="115" bestFit="1" customWidth="1"/>
    <col min="6657" max="6657" width="38.7109375" style="115" customWidth="1"/>
    <col min="6658" max="6658" width="28.7109375" style="115" customWidth="1"/>
    <col min="6659" max="6659" width="14.140625" style="115" customWidth="1"/>
    <col min="6660" max="6660" width="17.140625" style="115" customWidth="1"/>
    <col min="6661" max="6662" width="14.140625" style="115" customWidth="1"/>
    <col min="6663" max="6664" width="8.28515625" style="115" customWidth="1"/>
    <col min="6665" max="6665" width="9.140625" style="115"/>
    <col min="6666" max="6666" width="16.42578125" style="115" bestFit="1" customWidth="1"/>
    <col min="6667" max="6911" width="9.140625" style="115"/>
    <col min="6912" max="6912" width="6.140625" style="115" bestFit="1" customWidth="1"/>
    <col min="6913" max="6913" width="38.7109375" style="115" customWidth="1"/>
    <col min="6914" max="6914" width="28.7109375" style="115" customWidth="1"/>
    <col min="6915" max="6915" width="14.140625" style="115" customWidth="1"/>
    <col min="6916" max="6916" width="17.140625" style="115" customWidth="1"/>
    <col min="6917" max="6918" width="14.140625" style="115" customWidth="1"/>
    <col min="6919" max="6920" width="8.28515625" style="115" customWidth="1"/>
    <col min="6921" max="6921" width="9.140625" style="115"/>
    <col min="6922" max="6922" width="16.42578125" style="115" bestFit="1" customWidth="1"/>
    <col min="6923" max="7167" width="9.140625" style="115"/>
    <col min="7168" max="7168" width="6.140625" style="115" bestFit="1" customWidth="1"/>
    <col min="7169" max="7169" width="38.7109375" style="115" customWidth="1"/>
    <col min="7170" max="7170" width="28.7109375" style="115" customWidth="1"/>
    <col min="7171" max="7171" width="14.140625" style="115" customWidth="1"/>
    <col min="7172" max="7172" width="17.140625" style="115" customWidth="1"/>
    <col min="7173" max="7174" width="14.140625" style="115" customWidth="1"/>
    <col min="7175" max="7176" width="8.28515625" style="115" customWidth="1"/>
    <col min="7177" max="7177" width="9.140625" style="115"/>
    <col min="7178" max="7178" width="16.42578125" style="115" bestFit="1" customWidth="1"/>
    <col min="7179" max="7423" width="9.140625" style="115"/>
    <col min="7424" max="7424" width="6.140625" style="115" bestFit="1" customWidth="1"/>
    <col min="7425" max="7425" width="38.7109375" style="115" customWidth="1"/>
    <col min="7426" max="7426" width="28.7109375" style="115" customWidth="1"/>
    <col min="7427" max="7427" width="14.140625" style="115" customWidth="1"/>
    <col min="7428" max="7428" width="17.140625" style="115" customWidth="1"/>
    <col min="7429" max="7430" width="14.140625" style="115" customWidth="1"/>
    <col min="7431" max="7432" width="8.28515625" style="115" customWidth="1"/>
    <col min="7433" max="7433" width="9.140625" style="115"/>
    <col min="7434" max="7434" width="16.42578125" style="115" bestFit="1" customWidth="1"/>
    <col min="7435" max="7679" width="9.140625" style="115"/>
    <col min="7680" max="7680" width="6.140625" style="115" bestFit="1" customWidth="1"/>
    <col min="7681" max="7681" width="38.7109375" style="115" customWidth="1"/>
    <col min="7682" max="7682" width="28.7109375" style="115" customWidth="1"/>
    <col min="7683" max="7683" width="14.140625" style="115" customWidth="1"/>
    <col min="7684" max="7684" width="17.140625" style="115" customWidth="1"/>
    <col min="7685" max="7686" width="14.140625" style="115" customWidth="1"/>
    <col min="7687" max="7688" width="8.28515625" style="115" customWidth="1"/>
    <col min="7689" max="7689" width="9.140625" style="115"/>
    <col min="7690" max="7690" width="16.42578125" style="115" bestFit="1" customWidth="1"/>
    <col min="7691" max="7935" width="9.140625" style="115"/>
    <col min="7936" max="7936" width="6.140625" style="115" bestFit="1" customWidth="1"/>
    <col min="7937" max="7937" width="38.7109375" style="115" customWidth="1"/>
    <col min="7938" max="7938" width="28.7109375" style="115" customWidth="1"/>
    <col min="7939" max="7939" width="14.140625" style="115" customWidth="1"/>
    <col min="7940" max="7940" width="17.140625" style="115" customWidth="1"/>
    <col min="7941" max="7942" width="14.140625" style="115" customWidth="1"/>
    <col min="7943" max="7944" width="8.28515625" style="115" customWidth="1"/>
    <col min="7945" max="7945" width="9.140625" style="115"/>
    <col min="7946" max="7946" width="16.42578125" style="115" bestFit="1" customWidth="1"/>
    <col min="7947" max="8191" width="9.140625" style="115"/>
    <col min="8192" max="8192" width="6.140625" style="115" bestFit="1" customWidth="1"/>
    <col min="8193" max="8193" width="38.7109375" style="115" customWidth="1"/>
    <col min="8194" max="8194" width="28.7109375" style="115" customWidth="1"/>
    <col min="8195" max="8195" width="14.140625" style="115" customWidth="1"/>
    <col min="8196" max="8196" width="17.140625" style="115" customWidth="1"/>
    <col min="8197" max="8198" width="14.140625" style="115" customWidth="1"/>
    <col min="8199" max="8200" width="8.28515625" style="115" customWidth="1"/>
    <col min="8201" max="8201" width="9.140625" style="115"/>
    <col min="8202" max="8202" width="16.42578125" style="115" bestFit="1" customWidth="1"/>
    <col min="8203" max="8447" width="9.140625" style="115"/>
    <col min="8448" max="8448" width="6.140625" style="115" bestFit="1" customWidth="1"/>
    <col min="8449" max="8449" width="38.7109375" style="115" customWidth="1"/>
    <col min="8450" max="8450" width="28.7109375" style="115" customWidth="1"/>
    <col min="8451" max="8451" width="14.140625" style="115" customWidth="1"/>
    <col min="8452" max="8452" width="17.140625" style="115" customWidth="1"/>
    <col min="8453" max="8454" width="14.140625" style="115" customWidth="1"/>
    <col min="8455" max="8456" width="8.28515625" style="115" customWidth="1"/>
    <col min="8457" max="8457" width="9.140625" style="115"/>
    <col min="8458" max="8458" width="16.42578125" style="115" bestFit="1" customWidth="1"/>
    <col min="8459" max="8703" width="9.140625" style="115"/>
    <col min="8704" max="8704" width="6.140625" style="115" bestFit="1" customWidth="1"/>
    <col min="8705" max="8705" width="38.7109375" style="115" customWidth="1"/>
    <col min="8706" max="8706" width="28.7109375" style="115" customWidth="1"/>
    <col min="8707" max="8707" width="14.140625" style="115" customWidth="1"/>
    <col min="8708" max="8708" width="17.140625" style="115" customWidth="1"/>
    <col min="8709" max="8710" width="14.140625" style="115" customWidth="1"/>
    <col min="8711" max="8712" width="8.28515625" style="115" customWidth="1"/>
    <col min="8713" max="8713" width="9.140625" style="115"/>
    <col min="8714" max="8714" width="16.42578125" style="115" bestFit="1" customWidth="1"/>
    <col min="8715" max="8959" width="9.140625" style="115"/>
    <col min="8960" max="8960" width="6.140625" style="115" bestFit="1" customWidth="1"/>
    <col min="8961" max="8961" width="38.7109375" style="115" customWidth="1"/>
    <col min="8962" max="8962" width="28.7109375" style="115" customWidth="1"/>
    <col min="8963" max="8963" width="14.140625" style="115" customWidth="1"/>
    <col min="8964" max="8964" width="17.140625" style="115" customWidth="1"/>
    <col min="8965" max="8966" width="14.140625" style="115" customWidth="1"/>
    <col min="8967" max="8968" width="8.28515625" style="115" customWidth="1"/>
    <col min="8969" max="8969" width="9.140625" style="115"/>
    <col min="8970" max="8970" width="16.42578125" style="115" bestFit="1" customWidth="1"/>
    <col min="8971" max="9215" width="9.140625" style="115"/>
    <col min="9216" max="9216" width="6.140625" style="115" bestFit="1" customWidth="1"/>
    <col min="9217" max="9217" width="38.7109375" style="115" customWidth="1"/>
    <col min="9218" max="9218" width="28.7109375" style="115" customWidth="1"/>
    <col min="9219" max="9219" width="14.140625" style="115" customWidth="1"/>
    <col min="9220" max="9220" width="17.140625" style="115" customWidth="1"/>
    <col min="9221" max="9222" width="14.140625" style="115" customWidth="1"/>
    <col min="9223" max="9224" width="8.28515625" style="115" customWidth="1"/>
    <col min="9225" max="9225" width="9.140625" style="115"/>
    <col min="9226" max="9226" width="16.42578125" style="115" bestFit="1" customWidth="1"/>
    <col min="9227" max="9471" width="9.140625" style="115"/>
    <col min="9472" max="9472" width="6.140625" style="115" bestFit="1" customWidth="1"/>
    <col min="9473" max="9473" width="38.7109375" style="115" customWidth="1"/>
    <col min="9474" max="9474" width="28.7109375" style="115" customWidth="1"/>
    <col min="9475" max="9475" width="14.140625" style="115" customWidth="1"/>
    <col min="9476" max="9476" width="17.140625" style="115" customWidth="1"/>
    <col min="9477" max="9478" width="14.140625" style="115" customWidth="1"/>
    <col min="9479" max="9480" width="8.28515625" style="115" customWidth="1"/>
    <col min="9481" max="9481" width="9.140625" style="115"/>
    <col min="9482" max="9482" width="16.42578125" style="115" bestFit="1" customWidth="1"/>
    <col min="9483" max="9727" width="9.140625" style="115"/>
    <col min="9728" max="9728" width="6.140625" style="115" bestFit="1" customWidth="1"/>
    <col min="9729" max="9729" width="38.7109375" style="115" customWidth="1"/>
    <col min="9730" max="9730" width="28.7109375" style="115" customWidth="1"/>
    <col min="9731" max="9731" width="14.140625" style="115" customWidth="1"/>
    <col min="9732" max="9732" width="17.140625" style="115" customWidth="1"/>
    <col min="9733" max="9734" width="14.140625" style="115" customWidth="1"/>
    <col min="9735" max="9736" width="8.28515625" style="115" customWidth="1"/>
    <col min="9737" max="9737" width="9.140625" style="115"/>
    <col min="9738" max="9738" width="16.42578125" style="115" bestFit="1" customWidth="1"/>
    <col min="9739" max="9983" width="9.140625" style="115"/>
    <col min="9984" max="9984" width="6.140625" style="115" bestFit="1" customWidth="1"/>
    <col min="9985" max="9985" width="38.7109375" style="115" customWidth="1"/>
    <col min="9986" max="9986" width="28.7109375" style="115" customWidth="1"/>
    <col min="9987" max="9987" width="14.140625" style="115" customWidth="1"/>
    <col min="9988" max="9988" width="17.140625" style="115" customWidth="1"/>
    <col min="9989" max="9990" width="14.140625" style="115" customWidth="1"/>
    <col min="9991" max="9992" width="8.28515625" style="115" customWidth="1"/>
    <col min="9993" max="9993" width="9.140625" style="115"/>
    <col min="9994" max="9994" width="16.42578125" style="115" bestFit="1" customWidth="1"/>
    <col min="9995" max="10239" width="9.140625" style="115"/>
    <col min="10240" max="10240" width="6.140625" style="115" bestFit="1" customWidth="1"/>
    <col min="10241" max="10241" width="38.7109375" style="115" customWidth="1"/>
    <col min="10242" max="10242" width="28.7109375" style="115" customWidth="1"/>
    <col min="10243" max="10243" width="14.140625" style="115" customWidth="1"/>
    <col min="10244" max="10244" width="17.140625" style="115" customWidth="1"/>
    <col min="10245" max="10246" width="14.140625" style="115" customWidth="1"/>
    <col min="10247" max="10248" width="8.28515625" style="115" customWidth="1"/>
    <col min="10249" max="10249" width="9.140625" style="115"/>
    <col min="10250" max="10250" width="16.42578125" style="115" bestFit="1" customWidth="1"/>
    <col min="10251" max="10495" width="9.140625" style="115"/>
    <col min="10496" max="10496" width="6.140625" style="115" bestFit="1" customWidth="1"/>
    <col min="10497" max="10497" width="38.7109375" style="115" customWidth="1"/>
    <col min="10498" max="10498" width="28.7109375" style="115" customWidth="1"/>
    <col min="10499" max="10499" width="14.140625" style="115" customWidth="1"/>
    <col min="10500" max="10500" width="17.140625" style="115" customWidth="1"/>
    <col min="10501" max="10502" width="14.140625" style="115" customWidth="1"/>
    <col min="10503" max="10504" width="8.28515625" style="115" customWidth="1"/>
    <col min="10505" max="10505" width="9.140625" style="115"/>
    <col min="10506" max="10506" width="16.42578125" style="115" bestFit="1" customWidth="1"/>
    <col min="10507" max="10751" width="9.140625" style="115"/>
    <col min="10752" max="10752" width="6.140625" style="115" bestFit="1" customWidth="1"/>
    <col min="10753" max="10753" width="38.7109375" style="115" customWidth="1"/>
    <col min="10754" max="10754" width="28.7109375" style="115" customWidth="1"/>
    <col min="10755" max="10755" width="14.140625" style="115" customWidth="1"/>
    <col min="10756" max="10756" width="17.140625" style="115" customWidth="1"/>
    <col min="10757" max="10758" width="14.140625" style="115" customWidth="1"/>
    <col min="10759" max="10760" width="8.28515625" style="115" customWidth="1"/>
    <col min="10761" max="10761" width="9.140625" style="115"/>
    <col min="10762" max="10762" width="16.42578125" style="115" bestFit="1" customWidth="1"/>
    <col min="10763" max="11007" width="9.140625" style="115"/>
    <col min="11008" max="11008" width="6.140625" style="115" bestFit="1" customWidth="1"/>
    <col min="11009" max="11009" width="38.7109375" style="115" customWidth="1"/>
    <col min="11010" max="11010" width="28.7109375" style="115" customWidth="1"/>
    <col min="11011" max="11011" width="14.140625" style="115" customWidth="1"/>
    <col min="11012" max="11012" width="17.140625" style="115" customWidth="1"/>
    <col min="11013" max="11014" width="14.140625" style="115" customWidth="1"/>
    <col min="11015" max="11016" width="8.28515625" style="115" customWidth="1"/>
    <col min="11017" max="11017" width="9.140625" style="115"/>
    <col min="11018" max="11018" width="16.42578125" style="115" bestFit="1" customWidth="1"/>
    <col min="11019" max="11263" width="9.140625" style="115"/>
    <col min="11264" max="11264" width="6.140625" style="115" bestFit="1" customWidth="1"/>
    <col min="11265" max="11265" width="38.7109375" style="115" customWidth="1"/>
    <col min="11266" max="11266" width="28.7109375" style="115" customWidth="1"/>
    <col min="11267" max="11267" width="14.140625" style="115" customWidth="1"/>
    <col min="11268" max="11268" width="17.140625" style="115" customWidth="1"/>
    <col min="11269" max="11270" width="14.140625" style="115" customWidth="1"/>
    <col min="11271" max="11272" width="8.28515625" style="115" customWidth="1"/>
    <col min="11273" max="11273" width="9.140625" style="115"/>
    <col min="11274" max="11274" width="16.42578125" style="115" bestFit="1" customWidth="1"/>
    <col min="11275" max="11519" width="9.140625" style="115"/>
    <col min="11520" max="11520" width="6.140625" style="115" bestFit="1" customWidth="1"/>
    <col min="11521" max="11521" width="38.7109375" style="115" customWidth="1"/>
    <col min="11522" max="11522" width="28.7109375" style="115" customWidth="1"/>
    <col min="11523" max="11523" width="14.140625" style="115" customWidth="1"/>
    <col min="11524" max="11524" width="17.140625" style="115" customWidth="1"/>
    <col min="11525" max="11526" width="14.140625" style="115" customWidth="1"/>
    <col min="11527" max="11528" width="8.28515625" style="115" customWidth="1"/>
    <col min="11529" max="11529" width="9.140625" style="115"/>
    <col min="11530" max="11530" width="16.42578125" style="115" bestFit="1" customWidth="1"/>
    <col min="11531" max="11775" width="9.140625" style="115"/>
    <col min="11776" max="11776" width="6.140625" style="115" bestFit="1" customWidth="1"/>
    <col min="11777" max="11777" width="38.7109375" style="115" customWidth="1"/>
    <col min="11778" max="11778" width="28.7109375" style="115" customWidth="1"/>
    <col min="11779" max="11779" width="14.140625" style="115" customWidth="1"/>
    <col min="11780" max="11780" width="17.140625" style="115" customWidth="1"/>
    <col min="11781" max="11782" width="14.140625" style="115" customWidth="1"/>
    <col min="11783" max="11784" width="8.28515625" style="115" customWidth="1"/>
    <col min="11785" max="11785" width="9.140625" style="115"/>
    <col min="11786" max="11786" width="16.42578125" style="115" bestFit="1" customWidth="1"/>
    <col min="11787" max="12031" width="9.140625" style="115"/>
    <col min="12032" max="12032" width="6.140625" style="115" bestFit="1" customWidth="1"/>
    <col min="12033" max="12033" width="38.7109375" style="115" customWidth="1"/>
    <col min="12034" max="12034" width="28.7109375" style="115" customWidth="1"/>
    <col min="12035" max="12035" width="14.140625" style="115" customWidth="1"/>
    <col min="12036" max="12036" width="17.140625" style="115" customWidth="1"/>
    <col min="12037" max="12038" width="14.140625" style="115" customWidth="1"/>
    <col min="12039" max="12040" width="8.28515625" style="115" customWidth="1"/>
    <col min="12041" max="12041" width="9.140625" style="115"/>
    <col min="12042" max="12042" width="16.42578125" style="115" bestFit="1" customWidth="1"/>
    <col min="12043" max="12287" width="9.140625" style="115"/>
    <col min="12288" max="12288" width="6.140625" style="115" bestFit="1" customWidth="1"/>
    <col min="12289" max="12289" width="38.7109375" style="115" customWidth="1"/>
    <col min="12290" max="12290" width="28.7109375" style="115" customWidth="1"/>
    <col min="12291" max="12291" width="14.140625" style="115" customWidth="1"/>
    <col min="12292" max="12292" width="17.140625" style="115" customWidth="1"/>
    <col min="12293" max="12294" width="14.140625" style="115" customWidth="1"/>
    <col min="12295" max="12296" width="8.28515625" style="115" customWidth="1"/>
    <col min="12297" max="12297" width="9.140625" style="115"/>
    <col min="12298" max="12298" width="16.42578125" style="115" bestFit="1" customWidth="1"/>
    <col min="12299" max="12543" width="9.140625" style="115"/>
    <col min="12544" max="12544" width="6.140625" style="115" bestFit="1" customWidth="1"/>
    <col min="12545" max="12545" width="38.7109375" style="115" customWidth="1"/>
    <col min="12546" max="12546" width="28.7109375" style="115" customWidth="1"/>
    <col min="12547" max="12547" width="14.140625" style="115" customWidth="1"/>
    <col min="12548" max="12548" width="17.140625" style="115" customWidth="1"/>
    <col min="12549" max="12550" width="14.140625" style="115" customWidth="1"/>
    <col min="12551" max="12552" width="8.28515625" style="115" customWidth="1"/>
    <col min="12553" max="12553" width="9.140625" style="115"/>
    <col min="12554" max="12554" width="16.42578125" style="115" bestFit="1" customWidth="1"/>
    <col min="12555" max="12799" width="9.140625" style="115"/>
    <col min="12800" max="12800" width="6.140625" style="115" bestFit="1" customWidth="1"/>
    <col min="12801" max="12801" width="38.7109375" style="115" customWidth="1"/>
    <col min="12802" max="12802" width="28.7109375" style="115" customWidth="1"/>
    <col min="12803" max="12803" width="14.140625" style="115" customWidth="1"/>
    <col min="12804" max="12804" width="17.140625" style="115" customWidth="1"/>
    <col min="12805" max="12806" width="14.140625" style="115" customWidth="1"/>
    <col min="12807" max="12808" width="8.28515625" style="115" customWidth="1"/>
    <col min="12809" max="12809" width="9.140625" style="115"/>
    <col min="12810" max="12810" width="16.42578125" style="115" bestFit="1" customWidth="1"/>
    <col min="12811" max="13055" width="9.140625" style="115"/>
    <col min="13056" max="13056" width="6.140625" style="115" bestFit="1" customWidth="1"/>
    <col min="13057" max="13057" width="38.7109375" style="115" customWidth="1"/>
    <col min="13058" max="13058" width="28.7109375" style="115" customWidth="1"/>
    <col min="13059" max="13059" width="14.140625" style="115" customWidth="1"/>
    <col min="13060" max="13060" width="17.140625" style="115" customWidth="1"/>
    <col min="13061" max="13062" width="14.140625" style="115" customWidth="1"/>
    <col min="13063" max="13064" width="8.28515625" style="115" customWidth="1"/>
    <col min="13065" max="13065" width="9.140625" style="115"/>
    <col min="13066" max="13066" width="16.42578125" style="115" bestFit="1" customWidth="1"/>
    <col min="13067" max="13311" width="9.140625" style="115"/>
    <col min="13312" max="13312" width="6.140625" style="115" bestFit="1" customWidth="1"/>
    <col min="13313" max="13313" width="38.7109375" style="115" customWidth="1"/>
    <col min="13314" max="13314" width="28.7109375" style="115" customWidth="1"/>
    <col min="13315" max="13315" width="14.140625" style="115" customWidth="1"/>
    <col min="13316" max="13316" width="17.140625" style="115" customWidth="1"/>
    <col min="13317" max="13318" width="14.140625" style="115" customWidth="1"/>
    <col min="13319" max="13320" width="8.28515625" style="115" customWidth="1"/>
    <col min="13321" max="13321" width="9.140625" style="115"/>
    <col min="13322" max="13322" width="16.42578125" style="115" bestFit="1" customWidth="1"/>
    <col min="13323" max="13567" width="9.140625" style="115"/>
    <col min="13568" max="13568" width="6.140625" style="115" bestFit="1" customWidth="1"/>
    <col min="13569" max="13569" width="38.7109375" style="115" customWidth="1"/>
    <col min="13570" max="13570" width="28.7109375" style="115" customWidth="1"/>
    <col min="13571" max="13571" width="14.140625" style="115" customWidth="1"/>
    <col min="13572" max="13572" width="17.140625" style="115" customWidth="1"/>
    <col min="13573" max="13574" width="14.140625" style="115" customWidth="1"/>
    <col min="13575" max="13576" width="8.28515625" style="115" customWidth="1"/>
    <col min="13577" max="13577" width="9.140625" style="115"/>
    <col min="13578" max="13578" width="16.42578125" style="115" bestFit="1" customWidth="1"/>
    <col min="13579" max="13823" width="9.140625" style="115"/>
    <col min="13824" max="13824" width="6.140625" style="115" bestFit="1" customWidth="1"/>
    <col min="13825" max="13825" width="38.7109375" style="115" customWidth="1"/>
    <col min="13826" max="13826" width="28.7109375" style="115" customWidth="1"/>
    <col min="13827" max="13827" width="14.140625" style="115" customWidth="1"/>
    <col min="13828" max="13828" width="17.140625" style="115" customWidth="1"/>
    <col min="13829" max="13830" width="14.140625" style="115" customWidth="1"/>
    <col min="13831" max="13832" width="8.28515625" style="115" customWidth="1"/>
    <col min="13833" max="13833" width="9.140625" style="115"/>
    <col min="13834" max="13834" width="16.42578125" style="115" bestFit="1" customWidth="1"/>
    <col min="13835" max="14079" width="9.140625" style="115"/>
    <col min="14080" max="14080" width="6.140625" style="115" bestFit="1" customWidth="1"/>
    <col min="14081" max="14081" width="38.7109375" style="115" customWidth="1"/>
    <col min="14082" max="14082" width="28.7109375" style="115" customWidth="1"/>
    <col min="14083" max="14083" width="14.140625" style="115" customWidth="1"/>
    <col min="14084" max="14084" width="17.140625" style="115" customWidth="1"/>
    <col min="14085" max="14086" width="14.140625" style="115" customWidth="1"/>
    <col min="14087" max="14088" width="8.28515625" style="115" customWidth="1"/>
    <col min="14089" max="14089" width="9.140625" style="115"/>
    <col min="14090" max="14090" width="16.42578125" style="115" bestFit="1" customWidth="1"/>
    <col min="14091" max="14335" width="9.140625" style="115"/>
    <col min="14336" max="14336" width="6.140625" style="115" bestFit="1" customWidth="1"/>
    <col min="14337" max="14337" width="38.7109375" style="115" customWidth="1"/>
    <col min="14338" max="14338" width="28.7109375" style="115" customWidth="1"/>
    <col min="14339" max="14339" width="14.140625" style="115" customWidth="1"/>
    <col min="14340" max="14340" width="17.140625" style="115" customWidth="1"/>
    <col min="14341" max="14342" width="14.140625" style="115" customWidth="1"/>
    <col min="14343" max="14344" width="8.28515625" style="115" customWidth="1"/>
    <col min="14345" max="14345" width="9.140625" style="115"/>
    <col min="14346" max="14346" width="16.42578125" style="115" bestFit="1" customWidth="1"/>
    <col min="14347" max="14591" width="9.140625" style="115"/>
    <col min="14592" max="14592" width="6.140625" style="115" bestFit="1" customWidth="1"/>
    <col min="14593" max="14593" width="38.7109375" style="115" customWidth="1"/>
    <col min="14594" max="14594" width="28.7109375" style="115" customWidth="1"/>
    <col min="14595" max="14595" width="14.140625" style="115" customWidth="1"/>
    <col min="14596" max="14596" width="17.140625" style="115" customWidth="1"/>
    <col min="14597" max="14598" width="14.140625" style="115" customWidth="1"/>
    <col min="14599" max="14600" width="8.28515625" style="115" customWidth="1"/>
    <col min="14601" max="14601" width="9.140625" style="115"/>
    <col min="14602" max="14602" width="16.42578125" style="115" bestFit="1" customWidth="1"/>
    <col min="14603" max="14847" width="9.140625" style="115"/>
    <col min="14848" max="14848" width="6.140625" style="115" bestFit="1" customWidth="1"/>
    <col min="14849" max="14849" width="38.7109375" style="115" customWidth="1"/>
    <col min="14850" max="14850" width="28.7109375" style="115" customWidth="1"/>
    <col min="14851" max="14851" width="14.140625" style="115" customWidth="1"/>
    <col min="14852" max="14852" width="17.140625" style="115" customWidth="1"/>
    <col min="14853" max="14854" width="14.140625" style="115" customWidth="1"/>
    <col min="14855" max="14856" width="8.28515625" style="115" customWidth="1"/>
    <col min="14857" max="14857" width="9.140625" style="115"/>
    <col min="14858" max="14858" width="16.42578125" style="115" bestFit="1" customWidth="1"/>
    <col min="14859" max="15103" width="9.140625" style="115"/>
    <col min="15104" max="15104" width="6.140625" style="115" bestFit="1" customWidth="1"/>
    <col min="15105" max="15105" width="38.7109375" style="115" customWidth="1"/>
    <col min="15106" max="15106" width="28.7109375" style="115" customWidth="1"/>
    <col min="15107" max="15107" width="14.140625" style="115" customWidth="1"/>
    <col min="15108" max="15108" width="17.140625" style="115" customWidth="1"/>
    <col min="15109" max="15110" width="14.140625" style="115" customWidth="1"/>
    <col min="15111" max="15112" width="8.28515625" style="115" customWidth="1"/>
    <col min="15113" max="15113" width="9.140625" style="115"/>
    <col min="15114" max="15114" width="16.42578125" style="115" bestFit="1" customWidth="1"/>
    <col min="15115" max="15359" width="9.140625" style="115"/>
    <col min="15360" max="15360" width="6.140625" style="115" bestFit="1" customWidth="1"/>
    <col min="15361" max="15361" width="38.7109375" style="115" customWidth="1"/>
    <col min="15362" max="15362" width="28.7109375" style="115" customWidth="1"/>
    <col min="15363" max="15363" width="14.140625" style="115" customWidth="1"/>
    <col min="15364" max="15364" width="17.140625" style="115" customWidth="1"/>
    <col min="15365" max="15366" width="14.140625" style="115" customWidth="1"/>
    <col min="15367" max="15368" width="8.28515625" style="115" customWidth="1"/>
    <col min="15369" max="15369" width="9.140625" style="115"/>
    <col min="15370" max="15370" width="16.42578125" style="115" bestFit="1" customWidth="1"/>
    <col min="15371" max="15615" width="9.140625" style="115"/>
    <col min="15616" max="15616" width="6.140625" style="115" bestFit="1" customWidth="1"/>
    <col min="15617" max="15617" width="38.7109375" style="115" customWidth="1"/>
    <col min="15618" max="15618" width="28.7109375" style="115" customWidth="1"/>
    <col min="15619" max="15619" width="14.140625" style="115" customWidth="1"/>
    <col min="15620" max="15620" width="17.140625" style="115" customWidth="1"/>
    <col min="15621" max="15622" width="14.140625" style="115" customWidth="1"/>
    <col min="15623" max="15624" width="8.28515625" style="115" customWidth="1"/>
    <col min="15625" max="15625" width="9.140625" style="115"/>
    <col min="15626" max="15626" width="16.42578125" style="115" bestFit="1" customWidth="1"/>
    <col min="15627" max="15871" width="9.140625" style="115"/>
    <col min="15872" max="15872" width="6.140625" style="115" bestFit="1" customWidth="1"/>
    <col min="15873" max="15873" width="38.7109375" style="115" customWidth="1"/>
    <col min="15874" max="15874" width="28.7109375" style="115" customWidth="1"/>
    <col min="15875" max="15875" width="14.140625" style="115" customWidth="1"/>
    <col min="15876" max="15876" width="17.140625" style="115" customWidth="1"/>
    <col min="15877" max="15878" width="14.140625" style="115" customWidth="1"/>
    <col min="15879" max="15880" width="8.28515625" style="115" customWidth="1"/>
    <col min="15881" max="15881" width="9.140625" style="115"/>
    <col min="15882" max="15882" width="16.42578125" style="115" bestFit="1" customWidth="1"/>
    <col min="15883" max="16127" width="9.140625" style="115"/>
    <col min="16128" max="16128" width="6.140625" style="115" bestFit="1" customWidth="1"/>
    <col min="16129" max="16129" width="38.7109375" style="115" customWidth="1"/>
    <col min="16130" max="16130" width="28.7109375" style="115" customWidth="1"/>
    <col min="16131" max="16131" width="14.140625" style="115" customWidth="1"/>
    <col min="16132" max="16132" width="17.140625" style="115" customWidth="1"/>
    <col min="16133" max="16134" width="14.140625" style="115" customWidth="1"/>
    <col min="16135" max="16136" width="8.28515625" style="115" customWidth="1"/>
    <col min="16137" max="16137" width="9.140625" style="115"/>
    <col min="16138" max="16138" width="16.42578125" style="115" bestFit="1" customWidth="1"/>
    <col min="16139" max="16384" width="9.140625" style="115"/>
  </cols>
  <sheetData>
    <row r="2" spans="1:8" x14ac:dyDescent="0.2">
      <c r="A2" s="228" t="s">
        <v>26</v>
      </c>
      <c r="B2" s="116"/>
      <c r="C2" s="116"/>
      <c r="D2" s="116"/>
      <c r="E2" s="116"/>
      <c r="F2" s="116"/>
      <c r="G2" s="116"/>
    </row>
    <row r="3" spans="1:8" x14ac:dyDescent="0.2">
      <c r="A3" s="228" t="s">
        <v>36</v>
      </c>
      <c r="B3" s="116"/>
      <c r="C3" s="116"/>
      <c r="D3" s="116"/>
      <c r="E3" s="116"/>
      <c r="F3" s="116"/>
      <c r="G3" s="116"/>
    </row>
    <row r="4" spans="1:8" x14ac:dyDescent="0.2">
      <c r="A4" s="116" t="s">
        <v>87</v>
      </c>
      <c r="B4" s="116"/>
      <c r="C4" s="116"/>
      <c r="D4" s="116"/>
      <c r="E4" s="116"/>
      <c r="F4" s="116"/>
      <c r="G4" s="116"/>
    </row>
    <row r="5" spans="1:8" x14ac:dyDescent="0.2">
      <c r="A5" s="116" t="s">
        <v>88</v>
      </c>
      <c r="B5" s="116"/>
      <c r="C5" s="116"/>
      <c r="D5" s="116"/>
      <c r="E5" s="116"/>
      <c r="F5" s="116"/>
      <c r="G5" s="116"/>
    </row>
    <row r="6" spans="1:8" x14ac:dyDescent="0.2">
      <c r="A6" s="116"/>
      <c r="B6" s="116"/>
      <c r="C6" s="116"/>
      <c r="D6" s="116"/>
      <c r="E6" s="116"/>
      <c r="F6" s="116"/>
      <c r="G6" s="116"/>
    </row>
    <row r="7" spans="1:8" x14ac:dyDescent="0.2">
      <c r="A7" s="117"/>
      <c r="B7" s="117"/>
      <c r="C7" s="117"/>
      <c r="D7" s="117"/>
      <c r="E7" s="117" t="s">
        <v>37</v>
      </c>
      <c r="F7" s="117"/>
      <c r="G7" s="117" t="s">
        <v>55</v>
      </c>
    </row>
    <row r="8" spans="1:8" x14ac:dyDescent="0.2">
      <c r="A8" s="117"/>
      <c r="B8" s="117"/>
      <c r="C8" s="117"/>
      <c r="D8" s="117" t="s">
        <v>38</v>
      </c>
      <c r="E8" s="117" t="s">
        <v>39</v>
      </c>
      <c r="F8" s="117" t="s">
        <v>56</v>
      </c>
      <c r="G8" s="117" t="s">
        <v>39</v>
      </c>
      <c r="H8" s="117" t="s">
        <v>32</v>
      </c>
    </row>
    <row r="9" spans="1:8" x14ac:dyDescent="0.2">
      <c r="D9" s="118" t="s">
        <v>57</v>
      </c>
      <c r="E9" s="118" t="s">
        <v>41</v>
      </c>
      <c r="F9" s="119" t="s">
        <v>40</v>
      </c>
      <c r="G9" s="118" t="s">
        <v>41</v>
      </c>
      <c r="H9" s="120" t="s">
        <v>34</v>
      </c>
    </row>
    <row r="10" spans="1:8" x14ac:dyDescent="0.2">
      <c r="A10" s="121" t="s">
        <v>33</v>
      </c>
      <c r="B10" s="121" t="s">
        <v>28</v>
      </c>
      <c r="C10" s="121" t="s">
        <v>29</v>
      </c>
      <c r="D10" s="121" t="s">
        <v>42</v>
      </c>
      <c r="E10" s="121" t="s">
        <v>30</v>
      </c>
      <c r="F10" s="121" t="s">
        <v>31</v>
      </c>
      <c r="G10" s="121" t="s">
        <v>43</v>
      </c>
      <c r="H10" s="122"/>
    </row>
    <row r="11" spans="1:8" s="123" customFormat="1" x14ac:dyDescent="0.2">
      <c r="A11" s="115"/>
      <c r="B11" s="115"/>
      <c r="C11" s="115"/>
      <c r="D11" s="115"/>
      <c r="E11" s="115"/>
      <c r="F11" s="115"/>
      <c r="G11" s="115"/>
      <c r="H11" s="115"/>
    </row>
    <row r="12" spans="1:8" s="123" customFormat="1" ht="15" x14ac:dyDescent="0.25">
      <c r="A12" s="117">
        <v>1</v>
      </c>
      <c r="B12" s="124" t="s">
        <v>104</v>
      </c>
      <c r="C12" s="125"/>
      <c r="D12" s="126">
        <f>G41</f>
        <v>2.9055678868403836E-2</v>
      </c>
      <c r="E12" s="127">
        <f>(1+D12)</f>
        <v>1.0290556788684038</v>
      </c>
      <c r="F12" s="126">
        <f>+'[2]Wage Data Payroll from HR'!C41</f>
        <v>2.86E-2</v>
      </c>
      <c r="G12" s="127">
        <f>(1+F12)</f>
        <v>1.0286</v>
      </c>
      <c r="H12" s="115"/>
    </row>
    <row r="13" spans="1:8" s="123" customFormat="1" x14ac:dyDescent="0.2">
      <c r="A13" s="117">
        <f t="shared" ref="A13:A44" si="0">A12+1</f>
        <v>2</v>
      </c>
      <c r="B13" s="128"/>
      <c r="C13" s="129"/>
      <c r="D13" s="129"/>
      <c r="E13" s="129"/>
      <c r="F13" s="129"/>
      <c r="G13" s="129"/>
      <c r="H13" s="115"/>
    </row>
    <row r="14" spans="1:8" s="123" customFormat="1" x14ac:dyDescent="0.2">
      <c r="A14" s="117">
        <f t="shared" si="0"/>
        <v>3</v>
      </c>
      <c r="B14" s="124" t="s">
        <v>60</v>
      </c>
      <c r="C14" s="129"/>
      <c r="D14" s="126">
        <f>G42</f>
        <v>4.8837965619117421E-3</v>
      </c>
      <c r="E14" s="127">
        <f>E12*(1+D14)</f>
        <v>1.0340813774548769</v>
      </c>
      <c r="F14" s="126">
        <f>'[2]Wage Data Payroll from HR'!C42</f>
        <v>2.9100000000000001E-2</v>
      </c>
      <c r="G14" s="127">
        <f>G12*(1+F14)</f>
        <v>1.0585322599999998</v>
      </c>
      <c r="H14" s="115"/>
    </row>
    <row r="15" spans="1:8" s="123" customFormat="1" x14ac:dyDescent="0.2">
      <c r="A15" s="117">
        <f t="shared" si="0"/>
        <v>4</v>
      </c>
      <c r="B15" s="124"/>
      <c r="C15" s="129"/>
      <c r="D15" s="129"/>
      <c r="E15" s="129"/>
      <c r="F15" s="129"/>
      <c r="G15" s="129"/>
      <c r="H15" s="115"/>
    </row>
    <row r="16" spans="1:8" s="123" customFormat="1" ht="14.45" customHeight="1" x14ac:dyDescent="0.2">
      <c r="A16" s="117">
        <f t="shared" si="0"/>
        <v>5</v>
      </c>
      <c r="B16" s="124" t="s">
        <v>94</v>
      </c>
      <c r="C16" s="129"/>
      <c r="D16" s="126">
        <f>G43</f>
        <v>1.4663700664756134E-2</v>
      </c>
      <c r="E16" s="127">
        <f>E14*(1+D16)</f>
        <v>1.0492448372368739</v>
      </c>
      <c r="F16" s="126">
        <f>'[2]Wage Data Payroll from HR'!C43</f>
        <v>2.8500000000000001E-2</v>
      </c>
      <c r="G16" s="127">
        <f>G14*(1+F16)</f>
        <v>1.0887004294099998</v>
      </c>
      <c r="H16" s="115"/>
    </row>
    <row r="17" spans="1:15" s="123" customFormat="1" ht="14.45" customHeight="1" x14ac:dyDescent="0.2">
      <c r="A17" s="117">
        <f t="shared" si="0"/>
        <v>6</v>
      </c>
      <c r="B17" s="130"/>
      <c r="C17" s="129"/>
      <c r="D17" s="126"/>
      <c r="E17" s="131"/>
      <c r="F17" s="126"/>
      <c r="G17" s="131"/>
      <c r="H17" s="115"/>
    </row>
    <row r="18" spans="1:15" s="123" customFormat="1" ht="14.45" customHeight="1" x14ac:dyDescent="0.2">
      <c r="A18" s="117">
        <f t="shared" si="0"/>
        <v>7</v>
      </c>
      <c r="B18" s="124" t="s">
        <v>95</v>
      </c>
      <c r="C18" s="129"/>
      <c r="D18" s="126">
        <f>G44</f>
        <v>-2.4811755562921794E-2</v>
      </c>
      <c r="E18" s="127">
        <f>E16*(1+D18)</f>
        <v>1.023211230809695</v>
      </c>
      <c r="F18" s="126">
        <f>'[2]Wage Data Payroll from HR'!C44</f>
        <v>0.03</v>
      </c>
      <c r="G18" s="127">
        <f>G16*(1+F18)</f>
        <v>1.1213614422922997</v>
      </c>
      <c r="H18" s="115"/>
    </row>
    <row r="19" spans="1:15" s="123" customFormat="1" ht="17.45" customHeight="1" x14ac:dyDescent="0.25">
      <c r="A19" s="117">
        <f t="shared" si="0"/>
        <v>8</v>
      </c>
      <c r="B19" s="129" t="s">
        <v>44</v>
      </c>
      <c r="C19" s="129"/>
      <c r="D19" s="129"/>
      <c r="E19" s="132">
        <f>ROUND(E18-1,4)</f>
        <v>2.3199999999999998E-2</v>
      </c>
      <c r="F19" s="129"/>
      <c r="G19" s="132">
        <f>ROUND(G18-1,4)</f>
        <v>0.12139999999999999</v>
      </c>
      <c r="H19" s="115"/>
    </row>
    <row r="20" spans="1:15" s="123" customFormat="1" x14ac:dyDescent="0.2">
      <c r="A20" s="117">
        <f t="shared" si="0"/>
        <v>9</v>
      </c>
      <c r="B20" s="133"/>
      <c r="C20" s="133"/>
      <c r="D20" s="133"/>
      <c r="E20" s="133"/>
      <c r="F20" s="134"/>
      <c r="G20" s="133"/>
      <c r="H20" s="133"/>
    </row>
    <row r="21" spans="1:15" s="123" customFormat="1" ht="15" x14ac:dyDescent="0.25">
      <c r="A21" s="117">
        <f t="shared" si="0"/>
        <v>10</v>
      </c>
      <c r="B21" s="115" t="s">
        <v>98</v>
      </c>
      <c r="C21" s="115"/>
      <c r="D21" s="135">
        <f>E19/4</f>
        <v>5.7999999999999996E-3</v>
      </c>
      <c r="E21" s="136"/>
      <c r="F21" s="137">
        <f>G19/4</f>
        <v>3.0349999999999999E-2</v>
      </c>
      <c r="G21" s="138">
        <f>+E19/G19</f>
        <v>0.19110378912685339</v>
      </c>
      <c r="H21" s="139" t="str">
        <f>"= "&amp;E19*100&amp;" % / "&amp;G19*100&amp;" %"</f>
        <v>= 2.32 % / 12.14 %</v>
      </c>
    </row>
    <row r="22" spans="1:15" s="123" customFormat="1" ht="13.5" thickBot="1" x14ac:dyDescent="0.25">
      <c r="A22" s="117">
        <f t="shared" si="0"/>
        <v>11</v>
      </c>
      <c r="B22" s="115"/>
      <c r="C22" s="115"/>
      <c r="D22" s="140" t="s">
        <v>71</v>
      </c>
      <c r="E22" s="141"/>
      <c r="F22" s="142"/>
      <c r="G22" s="115"/>
      <c r="H22" s="143"/>
    </row>
    <row r="23" spans="1:15" s="123" customFormat="1" ht="15.75" thickBot="1" x14ac:dyDescent="0.3">
      <c r="A23" s="117">
        <f t="shared" si="0"/>
        <v>12</v>
      </c>
      <c r="B23" s="115" t="s">
        <v>99</v>
      </c>
      <c r="C23" s="115"/>
      <c r="D23" s="115"/>
      <c r="E23" s="144">
        <f>ROUND(+G21,4)</f>
        <v>0.19109999999999999</v>
      </c>
      <c r="F23" s="138">
        <f>+G32</f>
        <v>4.9999999999998934E-3</v>
      </c>
      <c r="G23" s="145">
        <f>ROUND(+E23*F23,4)</f>
        <v>1E-3</v>
      </c>
      <c r="H23" s="139" t="str">
        <f>"= "&amp;E23*100&amp;" % * "&amp;FIXED(F23,4)*100&amp;" %"</f>
        <v>= 19.11 % * 0.5 %</v>
      </c>
    </row>
    <row r="24" spans="1:15" s="123" customFormat="1" ht="15" x14ac:dyDescent="0.25">
      <c r="A24" s="117">
        <f t="shared" si="0"/>
        <v>13</v>
      </c>
      <c r="B24" s="115"/>
      <c r="C24" s="115"/>
      <c r="D24" s="115"/>
      <c r="E24" s="144"/>
      <c r="F24" s="138"/>
      <c r="G24" s="146"/>
      <c r="H24" s="139"/>
      <c r="I24" s="147"/>
      <c r="J24" s="147"/>
      <c r="K24" s="147"/>
      <c r="L24" s="147"/>
      <c r="M24" s="147"/>
      <c r="N24" s="147"/>
      <c r="O24" s="147"/>
    </row>
    <row r="25" spans="1:15" s="123" customFormat="1" ht="15" x14ac:dyDescent="0.25">
      <c r="A25" s="117">
        <f t="shared" si="0"/>
        <v>14</v>
      </c>
      <c r="B25" s="115"/>
      <c r="C25" s="115"/>
      <c r="D25" s="115"/>
      <c r="E25" s="144"/>
      <c r="F25" s="138"/>
      <c r="G25" s="148"/>
      <c r="H25" s="115"/>
      <c r="I25" s="147"/>
      <c r="J25" s="147"/>
      <c r="K25" s="147"/>
      <c r="L25" s="147"/>
      <c r="M25" s="147"/>
      <c r="N25" s="147"/>
      <c r="O25" s="147"/>
    </row>
    <row r="26" spans="1:15" s="123" customFormat="1" ht="15" x14ac:dyDescent="0.25">
      <c r="A26" s="117">
        <f t="shared" si="0"/>
        <v>15</v>
      </c>
      <c r="B26" s="149" t="s">
        <v>45</v>
      </c>
      <c r="C26" s="150"/>
      <c r="D26" s="150"/>
      <c r="E26" s="150"/>
      <c r="F26" s="150"/>
      <c r="G26" s="151"/>
      <c r="H26" s="115"/>
      <c r="I26" s="147"/>
      <c r="J26" s="147"/>
      <c r="K26" s="147"/>
      <c r="L26" s="147"/>
      <c r="M26" s="147"/>
      <c r="N26" s="147"/>
      <c r="O26" s="147"/>
    </row>
    <row r="27" spans="1:15" s="123" customFormat="1" ht="15" x14ac:dyDescent="0.25">
      <c r="A27" s="117">
        <f t="shared" si="0"/>
        <v>16</v>
      </c>
      <c r="B27" s="152" t="s">
        <v>62</v>
      </c>
      <c r="C27" s="153"/>
      <c r="D27" s="154" t="s">
        <v>105</v>
      </c>
      <c r="E27" s="154"/>
      <c r="F27" s="155" t="s">
        <v>35</v>
      </c>
      <c r="G27" s="156"/>
      <c r="H27" s="129"/>
      <c r="I27" s="147"/>
      <c r="J27" s="147"/>
      <c r="K27" s="147"/>
      <c r="L27" s="147"/>
      <c r="M27" s="147"/>
      <c r="N27" s="147"/>
      <c r="O27" s="147"/>
    </row>
    <row r="28" spans="1:15" s="123" customFormat="1" ht="15" x14ac:dyDescent="0.25">
      <c r="A28" s="117">
        <f t="shared" si="0"/>
        <v>17</v>
      </c>
      <c r="B28" s="157" t="s">
        <v>63</v>
      </c>
      <c r="C28" s="153"/>
      <c r="D28" s="158">
        <f>+'[2]Wage Data Payroll from HR'!C44</f>
        <v>0.03</v>
      </c>
      <c r="E28" s="158"/>
      <c r="F28" s="159"/>
      <c r="G28" s="160"/>
      <c r="H28" s="161"/>
      <c r="I28" s="147"/>
      <c r="J28" s="147"/>
      <c r="K28" s="147"/>
      <c r="L28" s="147"/>
      <c r="M28" s="147"/>
      <c r="N28" s="147"/>
      <c r="O28" s="147"/>
    </row>
    <row r="29" spans="1:15" s="123" customFormat="1" ht="15" x14ac:dyDescent="0.25">
      <c r="A29" s="117">
        <f t="shared" si="0"/>
        <v>18</v>
      </c>
      <c r="B29" s="157" t="s">
        <v>89</v>
      </c>
      <c r="C29" s="153"/>
      <c r="D29" s="162">
        <f>D28/12</f>
        <v>2.5000000000000001E-3</v>
      </c>
      <c r="E29" s="163"/>
      <c r="F29" s="159"/>
      <c r="G29" s="160"/>
      <c r="H29" s="161"/>
      <c r="I29" s="147"/>
      <c r="J29" s="147"/>
      <c r="K29" s="147"/>
      <c r="L29" s="147"/>
      <c r="M29" s="147"/>
      <c r="N29" s="147"/>
      <c r="O29" s="147"/>
    </row>
    <row r="30" spans="1:15" s="123" customFormat="1" ht="15" x14ac:dyDescent="0.25">
      <c r="A30" s="117">
        <f t="shared" si="0"/>
        <v>19</v>
      </c>
      <c r="B30" s="157" t="s">
        <v>65</v>
      </c>
      <c r="C30" s="153"/>
      <c r="D30" s="164">
        <v>2</v>
      </c>
      <c r="E30" s="163"/>
      <c r="F30" s="159"/>
      <c r="G30" s="165" t="s">
        <v>67</v>
      </c>
      <c r="H30" s="161"/>
      <c r="I30" s="147"/>
      <c r="J30" s="147"/>
      <c r="K30" s="147"/>
      <c r="L30" s="147"/>
      <c r="M30" s="147"/>
      <c r="N30" s="147"/>
      <c r="O30" s="147"/>
    </row>
    <row r="31" spans="1:15" s="123" customFormat="1" ht="15" x14ac:dyDescent="0.25">
      <c r="A31" s="117">
        <f t="shared" si="0"/>
        <v>20</v>
      </c>
      <c r="B31" s="157" t="s">
        <v>64</v>
      </c>
      <c r="C31" s="153"/>
      <c r="D31" s="162">
        <f>D29*D30</f>
        <v>5.0000000000000001E-3</v>
      </c>
      <c r="E31" s="162"/>
      <c r="F31" s="166">
        <f>SUM(D31:E31)</f>
        <v>5.0000000000000001E-3</v>
      </c>
      <c r="G31" s="167" t="s">
        <v>40</v>
      </c>
      <c r="H31" s="168"/>
      <c r="I31" s="147"/>
      <c r="J31" s="147"/>
      <c r="K31" s="147"/>
      <c r="L31" s="147"/>
      <c r="M31" s="147"/>
      <c r="N31" s="147"/>
      <c r="O31" s="147"/>
    </row>
    <row r="32" spans="1:15" s="123" customFormat="1" ht="15" x14ac:dyDescent="0.25">
      <c r="A32" s="117">
        <f t="shared" si="0"/>
        <v>21</v>
      </c>
      <c r="B32" s="169" t="s">
        <v>68</v>
      </c>
      <c r="C32" s="170"/>
      <c r="D32" s="171">
        <f>1+D31</f>
        <v>1.0049999999999999</v>
      </c>
      <c r="E32" s="171">
        <f>1+E31</f>
        <v>1</v>
      </c>
      <c r="F32" s="171">
        <f>E32*D32</f>
        <v>1.0049999999999999</v>
      </c>
      <c r="G32" s="172">
        <f>F32-1</f>
        <v>4.9999999999998934E-3</v>
      </c>
      <c r="H32" s="173"/>
      <c r="I32" s="174"/>
    </row>
    <row r="33" spans="1:14" s="123" customFormat="1" ht="15" x14ac:dyDescent="0.25">
      <c r="A33" s="117">
        <f t="shared" si="0"/>
        <v>22</v>
      </c>
      <c r="B33" s="169"/>
      <c r="C33" s="170"/>
      <c r="D33" s="175" t="s">
        <v>69</v>
      </c>
      <c r="E33" s="175" t="s">
        <v>70</v>
      </c>
      <c r="F33" s="175" t="s">
        <v>106</v>
      </c>
      <c r="G33" s="176" t="s">
        <v>107</v>
      </c>
      <c r="H33" s="173"/>
      <c r="I33" s="174"/>
    </row>
    <row r="34" spans="1:14" s="123" customFormat="1" ht="7.15" customHeight="1" x14ac:dyDescent="0.25">
      <c r="A34" s="117">
        <f t="shared" si="0"/>
        <v>23</v>
      </c>
      <c r="B34" s="177"/>
      <c r="C34" s="178"/>
      <c r="D34" s="178"/>
      <c r="E34" s="178"/>
      <c r="F34" s="178"/>
      <c r="G34" s="178"/>
      <c r="H34" s="173"/>
      <c r="J34" s="179"/>
    </row>
    <row r="35" spans="1:14" s="123" customFormat="1" ht="15" x14ac:dyDescent="0.25">
      <c r="A35" s="117">
        <f t="shared" si="0"/>
        <v>24</v>
      </c>
      <c r="B35" s="149" t="s">
        <v>58</v>
      </c>
      <c r="C35" s="150"/>
      <c r="D35" s="150"/>
      <c r="E35" s="180" t="s">
        <v>69</v>
      </c>
      <c r="F35" s="180" t="s">
        <v>70</v>
      </c>
      <c r="G35" s="180" t="s">
        <v>70</v>
      </c>
      <c r="H35" s="173"/>
      <c r="J35" s="181"/>
    </row>
    <row r="36" spans="1:14" s="123" customFormat="1" ht="15" x14ac:dyDescent="0.25">
      <c r="A36" s="117">
        <f t="shared" si="0"/>
        <v>25</v>
      </c>
      <c r="B36" s="169"/>
      <c r="C36" s="153"/>
      <c r="D36" s="153"/>
      <c r="E36" s="153"/>
      <c r="F36" s="153"/>
      <c r="G36" s="182" t="s">
        <v>37</v>
      </c>
      <c r="H36" s="173"/>
      <c r="I36" s="183"/>
    </row>
    <row r="37" spans="1:14" s="123" customFormat="1" x14ac:dyDescent="0.2">
      <c r="A37" s="117">
        <f t="shared" si="0"/>
        <v>26</v>
      </c>
      <c r="B37" s="169"/>
      <c r="C37" s="153"/>
      <c r="D37" s="159" t="s">
        <v>46</v>
      </c>
      <c r="E37" s="159" t="s">
        <v>47</v>
      </c>
      <c r="F37" s="159" t="s">
        <v>48</v>
      </c>
      <c r="G37" s="182" t="s">
        <v>39</v>
      </c>
      <c r="H37" s="115"/>
    </row>
    <row r="38" spans="1:14" s="123" customFormat="1" ht="15" x14ac:dyDescent="0.25">
      <c r="A38" s="117">
        <f t="shared" si="0"/>
        <v>27</v>
      </c>
      <c r="B38" s="184"/>
      <c r="C38" s="185"/>
      <c r="D38" s="185" t="s">
        <v>49</v>
      </c>
      <c r="E38" s="185" t="s">
        <v>50</v>
      </c>
      <c r="F38" s="185" t="s">
        <v>51</v>
      </c>
      <c r="G38" s="186" t="s">
        <v>52</v>
      </c>
      <c r="H38" s="115"/>
      <c r="I38" s="147"/>
      <c r="J38" s="147"/>
      <c r="K38" s="147"/>
      <c r="L38" s="147"/>
      <c r="M38" s="147"/>
      <c r="N38" s="147"/>
    </row>
    <row r="39" spans="1:14" s="123" customFormat="1" ht="15" x14ac:dyDescent="0.25">
      <c r="A39" s="117">
        <f t="shared" si="0"/>
        <v>28</v>
      </c>
      <c r="B39" s="169"/>
      <c r="C39" s="153"/>
      <c r="D39" s="153"/>
      <c r="E39" s="153"/>
      <c r="F39" s="153"/>
      <c r="G39" s="156"/>
      <c r="H39" s="115"/>
      <c r="I39" s="147"/>
      <c r="J39" s="147"/>
      <c r="K39" s="147"/>
      <c r="L39" s="147"/>
      <c r="M39" s="147"/>
      <c r="N39" s="147"/>
    </row>
    <row r="40" spans="1:14" s="123" customFormat="1" ht="15" x14ac:dyDescent="0.25">
      <c r="A40" s="117">
        <f t="shared" si="0"/>
        <v>29</v>
      </c>
      <c r="B40" s="187" t="s">
        <v>108</v>
      </c>
      <c r="C40" s="188"/>
      <c r="D40" s="189">
        <f>+'[2]Wage Data Payroll from HR'!G40</f>
        <v>1575</v>
      </c>
      <c r="E40" s="189">
        <f>+'[2]Wage Data Payroll from HR'!F40</f>
        <v>142113479</v>
      </c>
      <c r="F40" s="189">
        <f>E40/D40</f>
        <v>90230.780317460318</v>
      </c>
      <c r="G40" s="190"/>
      <c r="H40" s="115"/>
      <c r="I40" s="147"/>
      <c r="J40" s="147"/>
      <c r="K40" s="147"/>
      <c r="L40" s="147"/>
      <c r="M40" s="147"/>
      <c r="N40" s="147"/>
    </row>
    <row r="41" spans="1:14" s="123" customFormat="1" ht="15" x14ac:dyDescent="0.25">
      <c r="A41" s="117">
        <f t="shared" si="0"/>
        <v>30</v>
      </c>
      <c r="B41" s="187" t="s">
        <v>104</v>
      </c>
      <c r="C41" s="188"/>
      <c r="D41" s="189">
        <f>+'[2]Wage Data Payroll from HR'!G41</f>
        <v>1610</v>
      </c>
      <c r="E41" s="189">
        <f>+'[2]Wage Data Payroll from HR'!F41</f>
        <v>149492520</v>
      </c>
      <c r="F41" s="189">
        <f t="shared" ref="F41:F44" si="1">E41/D41</f>
        <v>92852.496894409938</v>
      </c>
      <c r="G41" s="190">
        <f>(F41-F40)/F40</f>
        <v>2.9055678868403836E-2</v>
      </c>
      <c r="H41" s="115"/>
      <c r="I41" s="147"/>
      <c r="J41" s="147"/>
      <c r="K41" s="147"/>
      <c r="L41" s="147"/>
      <c r="M41" s="147"/>
      <c r="N41" s="147"/>
    </row>
    <row r="42" spans="1:14" s="123" customFormat="1" ht="15" x14ac:dyDescent="0.25">
      <c r="A42" s="117">
        <f t="shared" si="0"/>
        <v>31</v>
      </c>
      <c r="B42" s="191" t="s">
        <v>60</v>
      </c>
      <c r="C42" s="192"/>
      <c r="D42" s="189">
        <f>+'[2]Wage Data Payroll from HR'!G42</f>
        <v>1787.7999999999997</v>
      </c>
      <c r="E42" s="189">
        <f>+'[2]Wage Data Payroll from HR'!F42</f>
        <v>166812412.44999999</v>
      </c>
      <c r="F42" s="189">
        <f t="shared" si="1"/>
        <v>93305.969599507778</v>
      </c>
      <c r="G42" s="190">
        <f t="shared" ref="G42:G44" si="2">(F42-F41)/F41</f>
        <v>4.8837965619117421E-3</v>
      </c>
      <c r="H42" s="115"/>
      <c r="I42" s="147"/>
      <c r="J42" s="147"/>
      <c r="K42" s="147"/>
      <c r="L42" s="147"/>
      <c r="M42" s="147"/>
      <c r="N42" s="147"/>
    </row>
    <row r="43" spans="1:14" s="123" customFormat="1" ht="15" x14ac:dyDescent="0.25">
      <c r="A43" s="117">
        <f t="shared" si="0"/>
        <v>32</v>
      </c>
      <c r="B43" s="191" t="s">
        <v>94</v>
      </c>
      <c r="C43" s="192"/>
      <c r="D43" s="189">
        <f>+'[2]Wage Data Payroll from HR'!G43</f>
        <v>1912</v>
      </c>
      <c r="E43" s="189">
        <f>+'[2]Wage Data Payroll from HR'!F43</f>
        <v>181017032.94</v>
      </c>
      <c r="F43" s="189">
        <f t="shared" si="1"/>
        <v>94674.180407949796</v>
      </c>
      <c r="G43" s="190">
        <f t="shared" si="2"/>
        <v>1.4663700664756134E-2</v>
      </c>
      <c r="H43" s="115"/>
      <c r="I43" s="147"/>
      <c r="J43" s="147"/>
      <c r="K43" s="147"/>
      <c r="L43" s="147"/>
      <c r="M43" s="147"/>
      <c r="N43" s="147"/>
    </row>
    <row r="44" spans="1:14" ht="15" x14ac:dyDescent="0.25">
      <c r="A44" s="117">
        <f t="shared" si="0"/>
        <v>33</v>
      </c>
      <c r="B44" s="191" t="s">
        <v>95</v>
      </c>
      <c r="C44" s="192"/>
      <c r="D44" s="189">
        <f>+'[2]Wage Data Payroll from HR'!G44</f>
        <v>2145</v>
      </c>
      <c r="E44" s="189">
        <f>+'[2]Wage Data Payroll from HR'!F44</f>
        <v>198037442</v>
      </c>
      <c r="F44" s="189">
        <f t="shared" si="1"/>
        <v>92325.147785547786</v>
      </c>
      <c r="G44" s="190">
        <f t="shared" si="2"/>
        <v>-2.4811755562921794E-2</v>
      </c>
      <c r="I44" s="147"/>
      <c r="J44" s="147"/>
      <c r="K44" s="147"/>
      <c r="L44" s="147"/>
      <c r="M44" s="147"/>
      <c r="N44" s="147"/>
    </row>
    <row r="45" spans="1:14" ht="15" x14ac:dyDescent="0.25">
      <c r="B45" s="129"/>
      <c r="C45" s="129"/>
      <c r="D45" s="129"/>
      <c r="E45" s="129"/>
      <c r="F45" s="129"/>
      <c r="G45" s="193"/>
      <c r="I45" s="147"/>
      <c r="J45" s="147"/>
      <c r="K45" s="147"/>
      <c r="L45" s="147"/>
      <c r="M45" s="147"/>
      <c r="N45" s="147"/>
    </row>
    <row r="46" spans="1:14" ht="15" x14ac:dyDescent="0.25">
      <c r="B46" s="129"/>
      <c r="C46" s="129"/>
      <c r="D46" s="129"/>
      <c r="E46" s="129"/>
      <c r="F46" s="129"/>
      <c r="G46" s="193"/>
      <c r="I46" s="147"/>
      <c r="J46" s="147"/>
      <c r="K46" s="147"/>
      <c r="L46" s="147"/>
      <c r="M46" s="147"/>
      <c r="N46" s="147"/>
    </row>
    <row r="47" spans="1:14" x14ac:dyDescent="0.2">
      <c r="B47" s="129"/>
      <c r="C47" s="129"/>
      <c r="D47" s="129"/>
      <c r="E47" s="129"/>
    </row>
    <row r="48" spans="1:14" x14ac:dyDescent="0.2">
      <c r="B48" s="129"/>
      <c r="C48" s="129"/>
      <c r="D48" s="129"/>
      <c r="E48" s="129"/>
    </row>
    <row r="49" spans="2:5" x14ac:dyDescent="0.2">
      <c r="B49" s="129"/>
      <c r="C49" s="129"/>
      <c r="D49" s="129"/>
      <c r="E49" s="129"/>
    </row>
  </sheetData>
  <printOptions horizontalCentered="1"/>
  <pageMargins left="0.5" right="0.5" top="0.25" bottom="0.75" header="0" footer="0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C8" sqref="C8"/>
    </sheetView>
  </sheetViews>
  <sheetFormatPr defaultRowHeight="12.75" x14ac:dyDescent="0.2"/>
  <cols>
    <col min="1" max="1" width="4.42578125" bestFit="1" customWidth="1"/>
    <col min="2" max="2" width="35.28515625" bestFit="1" customWidth="1"/>
    <col min="3" max="3" width="18.42578125" customWidth="1"/>
  </cols>
  <sheetData>
    <row r="1" spans="1:16" s="38" customFormat="1" x14ac:dyDescent="0.2">
      <c r="A1" s="104" t="s">
        <v>26</v>
      </c>
      <c r="B1" s="104"/>
      <c r="C1" s="104"/>
      <c r="D1" s="104"/>
      <c r="E1" s="104"/>
      <c r="F1" s="39"/>
      <c r="G1" s="39"/>
      <c r="J1" s="46"/>
    </row>
    <row r="2" spans="1:16" s="38" customFormat="1" x14ac:dyDescent="0.2">
      <c r="A2" s="104" t="s">
        <v>27</v>
      </c>
      <c r="B2" s="104"/>
      <c r="C2" s="104"/>
      <c r="D2" s="104"/>
      <c r="E2" s="104"/>
      <c r="F2" s="39"/>
      <c r="G2" s="39"/>
      <c r="J2" s="46"/>
    </row>
    <row r="3" spans="1:16" s="38" customFormat="1" x14ac:dyDescent="0.2">
      <c r="A3" s="104" t="s">
        <v>87</v>
      </c>
      <c r="B3" s="104"/>
      <c r="C3" s="104"/>
      <c r="D3" s="104"/>
      <c r="E3" s="104"/>
      <c r="F3" s="39"/>
      <c r="G3" s="39"/>
      <c r="J3" s="46"/>
    </row>
    <row r="4" spans="1:16" s="38" customFormat="1" x14ac:dyDescent="0.2">
      <c r="A4" s="104" t="s">
        <v>88</v>
      </c>
      <c r="B4" s="104"/>
      <c r="C4" s="104"/>
      <c r="D4" s="104"/>
      <c r="E4" s="104"/>
      <c r="F4" s="39"/>
      <c r="G4" s="39"/>
      <c r="J4" s="46"/>
      <c r="P4" s="47"/>
    </row>
    <row r="5" spans="1:16" x14ac:dyDescent="0.2">
      <c r="C5" s="227"/>
    </row>
    <row r="6" spans="1:16" x14ac:dyDescent="0.2">
      <c r="A6" s="105" t="s">
        <v>33</v>
      </c>
      <c r="B6" s="106"/>
      <c r="C6" s="106"/>
    </row>
    <row r="7" spans="1:16" x14ac:dyDescent="0.2">
      <c r="A7" s="107">
        <v>1</v>
      </c>
      <c r="B7" s="108" t="s">
        <v>61</v>
      </c>
      <c r="C7" s="109"/>
    </row>
    <row r="8" spans="1:16" ht="15" x14ac:dyDescent="0.25">
      <c r="A8" s="110">
        <f>A7+1</f>
        <v>2</v>
      </c>
      <c r="B8" t="s">
        <v>62</v>
      </c>
      <c r="C8" s="65">
        <f>+'[2]Union Wage Inc RS'!C8</f>
        <v>43040</v>
      </c>
    </row>
    <row r="9" spans="1:16" x14ac:dyDescent="0.2">
      <c r="A9" s="110">
        <f t="shared" ref="A9:A20" si="0">A8+1</f>
        <v>3</v>
      </c>
      <c r="B9" s="66" t="s">
        <v>63</v>
      </c>
      <c r="C9" s="67">
        <f>+'[2]Union Wage Inc RS'!C9</f>
        <v>0.06</v>
      </c>
    </row>
    <row r="10" spans="1:16" x14ac:dyDescent="0.2">
      <c r="A10" s="110">
        <f t="shared" si="0"/>
        <v>4</v>
      </c>
      <c r="B10" s="66" t="s">
        <v>89</v>
      </c>
      <c r="C10" s="111">
        <f>C9/12</f>
        <v>5.0000000000000001E-3</v>
      </c>
    </row>
    <row r="11" spans="1:16" x14ac:dyDescent="0.2">
      <c r="A11" s="110">
        <f t="shared" si="0"/>
        <v>5</v>
      </c>
      <c r="B11" s="112" t="s">
        <v>65</v>
      </c>
      <c r="C11" s="68">
        <v>0</v>
      </c>
    </row>
    <row r="12" spans="1:16" ht="15" x14ac:dyDescent="0.25">
      <c r="A12" s="110">
        <f t="shared" si="0"/>
        <v>6</v>
      </c>
      <c r="B12" s="66" t="s">
        <v>64</v>
      </c>
      <c r="C12" s="113">
        <f>C10*C11</f>
        <v>0</v>
      </c>
    </row>
    <row r="13" spans="1:16" x14ac:dyDescent="0.2">
      <c r="A13" s="110">
        <f t="shared" si="0"/>
        <v>7</v>
      </c>
      <c r="B13" s="66"/>
    </row>
    <row r="14" spans="1:16" x14ac:dyDescent="0.2">
      <c r="A14" s="110">
        <f t="shared" si="0"/>
        <v>8</v>
      </c>
    </row>
    <row r="15" spans="1:16" x14ac:dyDescent="0.2">
      <c r="A15" s="110">
        <f t="shared" si="0"/>
        <v>9</v>
      </c>
      <c r="B15" s="108" t="s">
        <v>14</v>
      </c>
    </row>
    <row r="16" spans="1:16" ht="15" x14ac:dyDescent="0.25">
      <c r="A16" s="110">
        <f t="shared" si="0"/>
        <v>10</v>
      </c>
      <c r="B16" t="s">
        <v>62</v>
      </c>
      <c r="C16" s="65">
        <f>+'[2]Union Wage Inc RS'!C16</f>
        <v>43374</v>
      </c>
    </row>
    <row r="17" spans="1:3" x14ac:dyDescent="0.2">
      <c r="A17" s="110">
        <f t="shared" si="0"/>
        <v>11</v>
      </c>
      <c r="B17" s="66" t="s">
        <v>63</v>
      </c>
      <c r="C17" s="67">
        <f>+'[2]Union Wage Inc RS'!C17</f>
        <v>0.03</v>
      </c>
    </row>
    <row r="18" spans="1:3" x14ac:dyDescent="0.2">
      <c r="A18" s="110">
        <f t="shared" si="0"/>
        <v>12</v>
      </c>
      <c r="B18" s="66" t="s">
        <v>89</v>
      </c>
      <c r="C18" s="111">
        <f>C17/12</f>
        <v>2.5000000000000001E-3</v>
      </c>
    </row>
    <row r="19" spans="1:3" x14ac:dyDescent="0.2">
      <c r="A19" s="110">
        <f t="shared" si="0"/>
        <v>13</v>
      </c>
      <c r="B19" s="112" t="s">
        <v>90</v>
      </c>
      <c r="C19" s="68">
        <v>9</v>
      </c>
    </row>
    <row r="20" spans="1:3" ht="15" x14ac:dyDescent="0.25">
      <c r="A20" s="110">
        <f t="shared" si="0"/>
        <v>14</v>
      </c>
      <c r="B20" s="66" t="s">
        <v>64</v>
      </c>
      <c r="C20" s="113">
        <f>C18*C19</f>
        <v>2.2499999999999999E-2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Normal="100" workbookViewId="0">
      <selection activeCell="E24" sqref="E24"/>
    </sheetView>
  </sheetViews>
  <sheetFormatPr defaultColWidth="8.85546875" defaultRowHeight="15" x14ac:dyDescent="0.25"/>
  <cols>
    <col min="1" max="1" width="4.42578125" style="147" bestFit="1" customWidth="1"/>
    <col min="2" max="2" width="35.28515625" style="147" bestFit="1" customWidth="1"/>
    <col min="3" max="3" width="9.7109375" style="147" bestFit="1" customWidth="1"/>
    <col min="4" max="4" width="16.140625" style="147" bestFit="1" customWidth="1"/>
    <col min="5" max="6" width="8.85546875" style="147"/>
    <col min="7" max="7" width="9.7109375" style="147" bestFit="1" customWidth="1"/>
    <col min="8" max="8" width="9.140625" style="197" bestFit="1" customWidth="1"/>
    <col min="9" max="16384" width="8.85546875" style="147"/>
  </cols>
  <sheetData>
    <row r="1" spans="1:16" s="115" customFormat="1" ht="12.75" x14ac:dyDescent="0.2">
      <c r="A1" s="116" t="s">
        <v>26</v>
      </c>
      <c r="B1" s="116"/>
      <c r="C1" s="116"/>
      <c r="D1" s="116"/>
      <c r="E1" s="116"/>
      <c r="F1" s="116"/>
      <c r="G1" s="116"/>
      <c r="H1" s="174"/>
      <c r="J1" s="129"/>
    </row>
    <row r="2" spans="1:16" s="115" customFormat="1" ht="12.75" x14ac:dyDescent="0.2">
      <c r="A2" s="116" t="s">
        <v>27</v>
      </c>
      <c r="B2" s="116"/>
      <c r="C2" s="116"/>
      <c r="D2" s="116"/>
      <c r="E2" s="116"/>
      <c r="F2" s="116"/>
      <c r="G2" s="116"/>
      <c r="H2" s="174"/>
      <c r="J2" s="129"/>
    </row>
    <row r="3" spans="1:16" s="115" customFormat="1" ht="12.75" x14ac:dyDescent="0.2">
      <c r="A3" s="116" t="s">
        <v>87</v>
      </c>
      <c r="B3" s="116"/>
      <c r="C3" s="116"/>
      <c r="D3" s="116"/>
      <c r="E3" s="116"/>
      <c r="F3" s="116"/>
      <c r="G3" s="116"/>
      <c r="H3" s="174"/>
      <c r="J3" s="129"/>
    </row>
    <row r="4" spans="1:16" s="115" customFormat="1" ht="12.75" x14ac:dyDescent="0.2">
      <c r="A4" s="116" t="s">
        <v>88</v>
      </c>
      <c r="B4" s="116"/>
      <c r="C4" s="116"/>
      <c r="D4" s="116"/>
      <c r="E4" s="116"/>
      <c r="F4" s="116"/>
      <c r="G4" s="116"/>
      <c r="H4" s="174"/>
      <c r="J4" s="129"/>
      <c r="P4" s="194"/>
    </row>
    <row r="6" spans="1:16" x14ac:dyDescent="0.25">
      <c r="A6" s="195" t="s">
        <v>33</v>
      </c>
      <c r="B6" s="196"/>
      <c r="C6" s="196"/>
    </row>
    <row r="7" spans="1:16" x14ac:dyDescent="0.25">
      <c r="A7" s="118">
        <v>1</v>
      </c>
      <c r="B7" s="198" t="s">
        <v>61</v>
      </c>
      <c r="C7" s="199"/>
    </row>
    <row r="8" spans="1:16" x14ac:dyDescent="0.25">
      <c r="A8" s="117">
        <f>A7+1</f>
        <v>2</v>
      </c>
      <c r="B8" s="147" t="s">
        <v>62</v>
      </c>
      <c r="C8" s="200">
        <f>+'[2]Wage Data Payroll from HR'!E30</f>
        <v>43466</v>
      </c>
    </row>
    <row r="9" spans="1:16" x14ac:dyDescent="0.25">
      <c r="A9" s="117">
        <f t="shared" ref="A9:A25" si="0">A8+1</f>
        <v>3</v>
      </c>
      <c r="B9" s="201" t="s">
        <v>63</v>
      </c>
      <c r="C9" s="202">
        <f>+'[2]Wage Data Payroll from HR'!D30</f>
        <v>0.03</v>
      </c>
    </row>
    <row r="10" spans="1:16" x14ac:dyDescent="0.25">
      <c r="A10" s="117">
        <f t="shared" si="0"/>
        <v>4</v>
      </c>
      <c r="B10" s="201" t="s">
        <v>89</v>
      </c>
      <c r="C10" s="203">
        <f>C9/12</f>
        <v>2.5000000000000001E-3</v>
      </c>
    </row>
    <row r="11" spans="1:16" x14ac:dyDescent="0.25">
      <c r="A11" s="117">
        <f t="shared" si="0"/>
        <v>5</v>
      </c>
      <c r="B11" s="204" t="s">
        <v>65</v>
      </c>
      <c r="C11" s="205">
        <v>12</v>
      </c>
    </row>
    <row r="12" spans="1:16" x14ac:dyDescent="0.25">
      <c r="A12" s="117">
        <f t="shared" si="0"/>
        <v>6</v>
      </c>
      <c r="B12" s="201" t="s">
        <v>64</v>
      </c>
      <c r="C12" s="206">
        <f>C10*C11</f>
        <v>0.03</v>
      </c>
    </row>
    <row r="13" spans="1:16" x14ac:dyDescent="0.25">
      <c r="A13" s="117">
        <f t="shared" si="0"/>
        <v>7</v>
      </c>
      <c r="B13" s="201"/>
    </row>
    <row r="14" spans="1:16" x14ac:dyDescent="0.25">
      <c r="A14" s="117">
        <f t="shared" si="0"/>
        <v>8</v>
      </c>
    </row>
    <row r="15" spans="1:16" x14ac:dyDescent="0.25">
      <c r="A15" s="117">
        <f t="shared" si="0"/>
        <v>9</v>
      </c>
      <c r="B15" s="198" t="s">
        <v>14</v>
      </c>
    </row>
    <row r="16" spans="1:16" x14ac:dyDescent="0.25">
      <c r="A16" s="117">
        <f t="shared" si="0"/>
        <v>10</v>
      </c>
      <c r="B16" s="147" t="s">
        <v>62</v>
      </c>
      <c r="C16" s="200">
        <f>+'[2]Wage Data Payroll from HR'!G31</f>
        <v>43739</v>
      </c>
    </row>
    <row r="17" spans="1:4" x14ac:dyDescent="0.25">
      <c r="A17" s="117">
        <f t="shared" si="0"/>
        <v>11</v>
      </c>
      <c r="B17" s="201" t="s">
        <v>92</v>
      </c>
      <c r="C17" s="207">
        <f>+'[2]Wage Data Payroll from HR'!F31</f>
        <v>0.03</v>
      </c>
    </row>
    <row r="18" spans="1:4" x14ac:dyDescent="0.25">
      <c r="A18" s="117">
        <f t="shared" si="0"/>
        <v>12</v>
      </c>
      <c r="B18" s="201" t="s">
        <v>64</v>
      </c>
      <c r="C18" s="206">
        <f>+C17</f>
        <v>0.03</v>
      </c>
    </row>
    <row r="19" spans="1:4" x14ac:dyDescent="0.25">
      <c r="A19" s="117">
        <f t="shared" si="0"/>
        <v>13</v>
      </c>
      <c r="B19" s="201"/>
      <c r="C19" s="207"/>
    </row>
    <row r="20" spans="1:4" x14ac:dyDescent="0.25">
      <c r="A20" s="117">
        <f t="shared" si="0"/>
        <v>14</v>
      </c>
      <c r="B20" s="147" t="s">
        <v>62</v>
      </c>
      <c r="C20" s="200">
        <f>+'[2]Wage Data Payroll from HR'!G32</f>
        <v>44105</v>
      </c>
    </row>
    <row r="21" spans="1:4" x14ac:dyDescent="0.25">
      <c r="A21" s="117">
        <f t="shared" si="0"/>
        <v>15</v>
      </c>
      <c r="B21" s="201" t="s">
        <v>92</v>
      </c>
      <c r="C21" s="207">
        <f>+'[2]Wage Data Payroll from HR'!F32</f>
        <v>2.75E-2</v>
      </c>
    </row>
    <row r="22" spans="1:4" x14ac:dyDescent="0.25">
      <c r="A22" s="117">
        <f t="shared" si="0"/>
        <v>16</v>
      </c>
      <c r="B22" s="201" t="s">
        <v>93</v>
      </c>
      <c r="C22" s="208">
        <f>+C18*C21</f>
        <v>8.25E-4</v>
      </c>
    </row>
    <row r="23" spans="1:4" x14ac:dyDescent="0.25">
      <c r="A23" s="117">
        <f t="shared" si="0"/>
        <v>17</v>
      </c>
      <c r="B23" s="201" t="s">
        <v>64</v>
      </c>
      <c r="C23" s="206">
        <f>+C22+C21</f>
        <v>2.8324999999999999E-2</v>
      </c>
    </row>
    <row r="24" spans="1:4" x14ac:dyDescent="0.25">
      <c r="A24" s="117">
        <f t="shared" si="0"/>
        <v>18</v>
      </c>
    </row>
    <row r="25" spans="1:4" x14ac:dyDescent="0.25">
      <c r="A25" s="117">
        <f t="shared" si="0"/>
        <v>19</v>
      </c>
      <c r="B25" s="201" t="s">
        <v>64</v>
      </c>
      <c r="C25" s="206">
        <f>FVSCHEDULE(FVSCHEDULE(1,C17),C21)-1</f>
        <v>5.8325000000000182E-2</v>
      </c>
      <c r="D25" s="209"/>
    </row>
    <row r="26" spans="1:4" x14ac:dyDescent="0.25">
      <c r="A26" s="117"/>
    </row>
    <row r="27" spans="1:4" x14ac:dyDescent="0.25">
      <c r="A27" s="11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zoomScaleNormal="100" zoomScalePageLayoutView="76" workbookViewId="0">
      <selection activeCell="A2" sqref="A2:A3"/>
    </sheetView>
  </sheetViews>
  <sheetFormatPr defaultColWidth="9.140625" defaultRowHeight="12.75" x14ac:dyDescent="0.2"/>
  <cols>
    <col min="1" max="1" width="5.42578125" style="115" customWidth="1"/>
    <col min="2" max="2" width="48.28515625" style="115" customWidth="1"/>
    <col min="3" max="3" width="8.140625" style="115" bestFit="1" customWidth="1"/>
    <col min="4" max="4" width="18.85546875" style="115" bestFit="1" customWidth="1"/>
    <col min="5" max="5" width="20.140625" style="115" customWidth="1"/>
    <col min="6" max="6" width="15.28515625" style="115" customWidth="1"/>
    <col min="7" max="7" width="13.7109375" style="115" bestFit="1" customWidth="1"/>
    <col min="8" max="8" width="13" style="115" customWidth="1"/>
    <col min="9" max="10" width="18.85546875" style="115" bestFit="1" customWidth="1"/>
    <col min="11" max="11" width="7.85546875" style="115" bestFit="1" customWidth="1"/>
    <col min="12" max="12" width="9.28515625" style="115" bestFit="1" customWidth="1"/>
    <col min="13" max="254" width="9.140625" style="115"/>
    <col min="255" max="255" width="6.140625" style="115" bestFit="1" customWidth="1"/>
    <col min="256" max="256" width="38.7109375" style="115" customWidth="1"/>
    <col min="257" max="257" width="28.7109375" style="115" customWidth="1"/>
    <col min="258" max="258" width="14.140625" style="115" customWidth="1"/>
    <col min="259" max="259" width="17.140625" style="115" customWidth="1"/>
    <col min="260" max="261" width="14.140625" style="115" customWidth="1"/>
    <col min="262" max="263" width="8.28515625" style="115" customWidth="1"/>
    <col min="264" max="264" width="9.140625" style="115"/>
    <col min="265" max="265" width="16.42578125" style="115" bestFit="1" customWidth="1"/>
    <col min="266" max="510" width="9.140625" style="115"/>
    <col min="511" max="511" width="6.140625" style="115" bestFit="1" customWidth="1"/>
    <col min="512" max="512" width="38.7109375" style="115" customWidth="1"/>
    <col min="513" max="513" width="28.7109375" style="115" customWidth="1"/>
    <col min="514" max="514" width="14.140625" style="115" customWidth="1"/>
    <col min="515" max="515" width="17.140625" style="115" customWidth="1"/>
    <col min="516" max="517" width="14.140625" style="115" customWidth="1"/>
    <col min="518" max="519" width="8.28515625" style="115" customWidth="1"/>
    <col min="520" max="520" width="9.140625" style="115"/>
    <col min="521" max="521" width="16.42578125" style="115" bestFit="1" customWidth="1"/>
    <col min="522" max="766" width="9.140625" style="115"/>
    <col min="767" max="767" width="6.140625" style="115" bestFit="1" customWidth="1"/>
    <col min="768" max="768" width="38.7109375" style="115" customWidth="1"/>
    <col min="769" max="769" width="28.7109375" style="115" customWidth="1"/>
    <col min="770" max="770" width="14.140625" style="115" customWidth="1"/>
    <col min="771" max="771" width="17.140625" style="115" customWidth="1"/>
    <col min="772" max="773" width="14.140625" style="115" customWidth="1"/>
    <col min="774" max="775" width="8.28515625" style="115" customWidth="1"/>
    <col min="776" max="776" width="9.140625" style="115"/>
    <col min="777" max="777" width="16.42578125" style="115" bestFit="1" customWidth="1"/>
    <col min="778" max="1022" width="9.140625" style="115"/>
    <col min="1023" max="1023" width="6.140625" style="115" bestFit="1" customWidth="1"/>
    <col min="1024" max="1024" width="38.7109375" style="115" customWidth="1"/>
    <col min="1025" max="1025" width="28.7109375" style="115" customWidth="1"/>
    <col min="1026" max="1026" width="14.140625" style="115" customWidth="1"/>
    <col min="1027" max="1027" width="17.140625" style="115" customWidth="1"/>
    <col min="1028" max="1029" width="14.140625" style="115" customWidth="1"/>
    <col min="1030" max="1031" width="8.28515625" style="115" customWidth="1"/>
    <col min="1032" max="1032" width="9.140625" style="115"/>
    <col min="1033" max="1033" width="16.42578125" style="115" bestFit="1" customWidth="1"/>
    <col min="1034" max="1278" width="9.140625" style="115"/>
    <col min="1279" max="1279" width="6.140625" style="115" bestFit="1" customWidth="1"/>
    <col min="1280" max="1280" width="38.7109375" style="115" customWidth="1"/>
    <col min="1281" max="1281" width="28.7109375" style="115" customWidth="1"/>
    <col min="1282" max="1282" width="14.140625" style="115" customWidth="1"/>
    <col min="1283" max="1283" width="17.140625" style="115" customWidth="1"/>
    <col min="1284" max="1285" width="14.140625" style="115" customWidth="1"/>
    <col min="1286" max="1287" width="8.28515625" style="115" customWidth="1"/>
    <col min="1288" max="1288" width="9.140625" style="115"/>
    <col min="1289" max="1289" width="16.42578125" style="115" bestFit="1" customWidth="1"/>
    <col min="1290" max="1534" width="9.140625" style="115"/>
    <col min="1535" max="1535" width="6.140625" style="115" bestFit="1" customWidth="1"/>
    <col min="1536" max="1536" width="38.7109375" style="115" customWidth="1"/>
    <col min="1537" max="1537" width="28.7109375" style="115" customWidth="1"/>
    <col min="1538" max="1538" width="14.140625" style="115" customWidth="1"/>
    <col min="1539" max="1539" width="17.140625" style="115" customWidth="1"/>
    <col min="1540" max="1541" width="14.140625" style="115" customWidth="1"/>
    <col min="1542" max="1543" width="8.28515625" style="115" customWidth="1"/>
    <col min="1544" max="1544" width="9.140625" style="115"/>
    <col min="1545" max="1545" width="16.42578125" style="115" bestFit="1" customWidth="1"/>
    <col min="1546" max="1790" width="9.140625" style="115"/>
    <col min="1791" max="1791" width="6.140625" style="115" bestFit="1" customWidth="1"/>
    <col min="1792" max="1792" width="38.7109375" style="115" customWidth="1"/>
    <col min="1793" max="1793" width="28.7109375" style="115" customWidth="1"/>
    <col min="1794" max="1794" width="14.140625" style="115" customWidth="1"/>
    <col min="1795" max="1795" width="17.140625" style="115" customWidth="1"/>
    <col min="1796" max="1797" width="14.140625" style="115" customWidth="1"/>
    <col min="1798" max="1799" width="8.28515625" style="115" customWidth="1"/>
    <col min="1800" max="1800" width="9.140625" style="115"/>
    <col min="1801" max="1801" width="16.42578125" style="115" bestFit="1" customWidth="1"/>
    <col min="1802" max="2046" width="9.140625" style="115"/>
    <col min="2047" max="2047" width="6.140625" style="115" bestFit="1" customWidth="1"/>
    <col min="2048" max="2048" width="38.7109375" style="115" customWidth="1"/>
    <col min="2049" max="2049" width="28.7109375" style="115" customWidth="1"/>
    <col min="2050" max="2050" width="14.140625" style="115" customWidth="1"/>
    <col min="2051" max="2051" width="17.140625" style="115" customWidth="1"/>
    <col min="2052" max="2053" width="14.140625" style="115" customWidth="1"/>
    <col min="2054" max="2055" width="8.28515625" style="115" customWidth="1"/>
    <col min="2056" max="2056" width="9.140625" style="115"/>
    <col min="2057" max="2057" width="16.42578125" style="115" bestFit="1" customWidth="1"/>
    <col min="2058" max="2302" width="9.140625" style="115"/>
    <col min="2303" max="2303" width="6.140625" style="115" bestFit="1" customWidth="1"/>
    <col min="2304" max="2304" width="38.7109375" style="115" customWidth="1"/>
    <col min="2305" max="2305" width="28.7109375" style="115" customWidth="1"/>
    <col min="2306" max="2306" width="14.140625" style="115" customWidth="1"/>
    <col min="2307" max="2307" width="17.140625" style="115" customWidth="1"/>
    <col min="2308" max="2309" width="14.140625" style="115" customWidth="1"/>
    <col min="2310" max="2311" width="8.28515625" style="115" customWidth="1"/>
    <col min="2312" max="2312" width="9.140625" style="115"/>
    <col min="2313" max="2313" width="16.42578125" style="115" bestFit="1" customWidth="1"/>
    <col min="2314" max="2558" width="9.140625" style="115"/>
    <col min="2559" max="2559" width="6.140625" style="115" bestFit="1" customWidth="1"/>
    <col min="2560" max="2560" width="38.7109375" style="115" customWidth="1"/>
    <col min="2561" max="2561" width="28.7109375" style="115" customWidth="1"/>
    <col min="2562" max="2562" width="14.140625" style="115" customWidth="1"/>
    <col min="2563" max="2563" width="17.140625" style="115" customWidth="1"/>
    <col min="2564" max="2565" width="14.140625" style="115" customWidth="1"/>
    <col min="2566" max="2567" width="8.28515625" style="115" customWidth="1"/>
    <col min="2568" max="2568" width="9.140625" style="115"/>
    <col min="2569" max="2569" width="16.42578125" style="115" bestFit="1" customWidth="1"/>
    <col min="2570" max="2814" width="9.140625" style="115"/>
    <col min="2815" max="2815" width="6.140625" style="115" bestFit="1" customWidth="1"/>
    <col min="2816" max="2816" width="38.7109375" style="115" customWidth="1"/>
    <col min="2817" max="2817" width="28.7109375" style="115" customWidth="1"/>
    <col min="2818" max="2818" width="14.140625" style="115" customWidth="1"/>
    <col min="2819" max="2819" width="17.140625" style="115" customWidth="1"/>
    <col min="2820" max="2821" width="14.140625" style="115" customWidth="1"/>
    <col min="2822" max="2823" width="8.28515625" style="115" customWidth="1"/>
    <col min="2824" max="2824" width="9.140625" style="115"/>
    <col min="2825" max="2825" width="16.42578125" style="115" bestFit="1" customWidth="1"/>
    <col min="2826" max="3070" width="9.140625" style="115"/>
    <col min="3071" max="3071" width="6.140625" style="115" bestFit="1" customWidth="1"/>
    <col min="3072" max="3072" width="38.7109375" style="115" customWidth="1"/>
    <col min="3073" max="3073" width="28.7109375" style="115" customWidth="1"/>
    <col min="3074" max="3074" width="14.140625" style="115" customWidth="1"/>
    <col min="3075" max="3075" width="17.140625" style="115" customWidth="1"/>
    <col min="3076" max="3077" width="14.140625" style="115" customWidth="1"/>
    <col min="3078" max="3079" width="8.28515625" style="115" customWidth="1"/>
    <col min="3080" max="3080" width="9.140625" style="115"/>
    <col min="3081" max="3081" width="16.42578125" style="115" bestFit="1" customWidth="1"/>
    <col min="3082" max="3326" width="9.140625" style="115"/>
    <col min="3327" max="3327" width="6.140625" style="115" bestFit="1" customWidth="1"/>
    <col min="3328" max="3328" width="38.7109375" style="115" customWidth="1"/>
    <col min="3329" max="3329" width="28.7109375" style="115" customWidth="1"/>
    <col min="3330" max="3330" width="14.140625" style="115" customWidth="1"/>
    <col min="3331" max="3331" width="17.140625" style="115" customWidth="1"/>
    <col min="3332" max="3333" width="14.140625" style="115" customWidth="1"/>
    <col min="3334" max="3335" width="8.28515625" style="115" customWidth="1"/>
    <col min="3336" max="3336" width="9.140625" style="115"/>
    <col min="3337" max="3337" width="16.42578125" style="115" bestFit="1" customWidth="1"/>
    <col min="3338" max="3582" width="9.140625" style="115"/>
    <col min="3583" max="3583" width="6.140625" style="115" bestFit="1" customWidth="1"/>
    <col min="3584" max="3584" width="38.7109375" style="115" customWidth="1"/>
    <col min="3585" max="3585" width="28.7109375" style="115" customWidth="1"/>
    <col min="3586" max="3586" width="14.140625" style="115" customWidth="1"/>
    <col min="3587" max="3587" width="17.140625" style="115" customWidth="1"/>
    <col min="3588" max="3589" width="14.140625" style="115" customWidth="1"/>
    <col min="3590" max="3591" width="8.28515625" style="115" customWidth="1"/>
    <col min="3592" max="3592" width="9.140625" style="115"/>
    <col min="3593" max="3593" width="16.42578125" style="115" bestFit="1" customWidth="1"/>
    <col min="3594" max="3838" width="9.140625" style="115"/>
    <col min="3839" max="3839" width="6.140625" style="115" bestFit="1" customWidth="1"/>
    <col min="3840" max="3840" width="38.7109375" style="115" customWidth="1"/>
    <col min="3841" max="3841" width="28.7109375" style="115" customWidth="1"/>
    <col min="3842" max="3842" width="14.140625" style="115" customWidth="1"/>
    <col min="3843" max="3843" width="17.140625" style="115" customWidth="1"/>
    <col min="3844" max="3845" width="14.140625" style="115" customWidth="1"/>
    <col min="3846" max="3847" width="8.28515625" style="115" customWidth="1"/>
    <col min="3848" max="3848" width="9.140625" style="115"/>
    <col min="3849" max="3849" width="16.42578125" style="115" bestFit="1" customWidth="1"/>
    <col min="3850" max="4094" width="9.140625" style="115"/>
    <col min="4095" max="4095" width="6.140625" style="115" bestFit="1" customWidth="1"/>
    <col min="4096" max="4096" width="38.7109375" style="115" customWidth="1"/>
    <col min="4097" max="4097" width="28.7109375" style="115" customWidth="1"/>
    <col min="4098" max="4098" width="14.140625" style="115" customWidth="1"/>
    <col min="4099" max="4099" width="17.140625" style="115" customWidth="1"/>
    <col min="4100" max="4101" width="14.140625" style="115" customWidth="1"/>
    <col min="4102" max="4103" width="8.28515625" style="115" customWidth="1"/>
    <col min="4104" max="4104" width="9.140625" style="115"/>
    <col min="4105" max="4105" width="16.42578125" style="115" bestFit="1" customWidth="1"/>
    <col min="4106" max="4350" width="9.140625" style="115"/>
    <col min="4351" max="4351" width="6.140625" style="115" bestFit="1" customWidth="1"/>
    <col min="4352" max="4352" width="38.7109375" style="115" customWidth="1"/>
    <col min="4353" max="4353" width="28.7109375" style="115" customWidth="1"/>
    <col min="4354" max="4354" width="14.140625" style="115" customWidth="1"/>
    <col min="4355" max="4355" width="17.140625" style="115" customWidth="1"/>
    <col min="4356" max="4357" width="14.140625" style="115" customWidth="1"/>
    <col min="4358" max="4359" width="8.28515625" style="115" customWidth="1"/>
    <col min="4360" max="4360" width="9.140625" style="115"/>
    <col min="4361" max="4361" width="16.42578125" style="115" bestFit="1" customWidth="1"/>
    <col min="4362" max="4606" width="9.140625" style="115"/>
    <col min="4607" max="4607" width="6.140625" style="115" bestFit="1" customWidth="1"/>
    <col min="4608" max="4608" width="38.7109375" style="115" customWidth="1"/>
    <col min="4609" max="4609" width="28.7109375" style="115" customWidth="1"/>
    <col min="4610" max="4610" width="14.140625" style="115" customWidth="1"/>
    <col min="4611" max="4611" width="17.140625" style="115" customWidth="1"/>
    <col min="4612" max="4613" width="14.140625" style="115" customWidth="1"/>
    <col min="4614" max="4615" width="8.28515625" style="115" customWidth="1"/>
    <col min="4616" max="4616" width="9.140625" style="115"/>
    <col min="4617" max="4617" width="16.42578125" style="115" bestFit="1" customWidth="1"/>
    <col min="4618" max="4862" width="9.140625" style="115"/>
    <col min="4863" max="4863" width="6.140625" style="115" bestFit="1" customWidth="1"/>
    <col min="4864" max="4864" width="38.7109375" style="115" customWidth="1"/>
    <col min="4865" max="4865" width="28.7109375" style="115" customWidth="1"/>
    <col min="4866" max="4866" width="14.140625" style="115" customWidth="1"/>
    <col min="4867" max="4867" width="17.140625" style="115" customWidth="1"/>
    <col min="4868" max="4869" width="14.140625" style="115" customWidth="1"/>
    <col min="4870" max="4871" width="8.28515625" style="115" customWidth="1"/>
    <col min="4872" max="4872" width="9.140625" style="115"/>
    <col min="4873" max="4873" width="16.42578125" style="115" bestFit="1" customWidth="1"/>
    <col min="4874" max="5118" width="9.140625" style="115"/>
    <col min="5119" max="5119" width="6.140625" style="115" bestFit="1" customWidth="1"/>
    <col min="5120" max="5120" width="38.7109375" style="115" customWidth="1"/>
    <col min="5121" max="5121" width="28.7109375" style="115" customWidth="1"/>
    <col min="5122" max="5122" width="14.140625" style="115" customWidth="1"/>
    <col min="5123" max="5123" width="17.140625" style="115" customWidth="1"/>
    <col min="5124" max="5125" width="14.140625" style="115" customWidth="1"/>
    <col min="5126" max="5127" width="8.28515625" style="115" customWidth="1"/>
    <col min="5128" max="5128" width="9.140625" style="115"/>
    <col min="5129" max="5129" width="16.42578125" style="115" bestFit="1" customWidth="1"/>
    <col min="5130" max="5374" width="9.140625" style="115"/>
    <col min="5375" max="5375" width="6.140625" style="115" bestFit="1" customWidth="1"/>
    <col min="5376" max="5376" width="38.7109375" style="115" customWidth="1"/>
    <col min="5377" max="5377" width="28.7109375" style="115" customWidth="1"/>
    <col min="5378" max="5378" width="14.140625" style="115" customWidth="1"/>
    <col min="5379" max="5379" width="17.140625" style="115" customWidth="1"/>
    <col min="5380" max="5381" width="14.140625" style="115" customWidth="1"/>
    <col min="5382" max="5383" width="8.28515625" style="115" customWidth="1"/>
    <col min="5384" max="5384" width="9.140625" style="115"/>
    <col min="5385" max="5385" width="16.42578125" style="115" bestFit="1" customWidth="1"/>
    <col min="5386" max="5630" width="9.140625" style="115"/>
    <col min="5631" max="5631" width="6.140625" style="115" bestFit="1" customWidth="1"/>
    <col min="5632" max="5632" width="38.7109375" style="115" customWidth="1"/>
    <col min="5633" max="5633" width="28.7109375" style="115" customWidth="1"/>
    <col min="5634" max="5634" width="14.140625" style="115" customWidth="1"/>
    <col min="5635" max="5635" width="17.140625" style="115" customWidth="1"/>
    <col min="5636" max="5637" width="14.140625" style="115" customWidth="1"/>
    <col min="5638" max="5639" width="8.28515625" style="115" customWidth="1"/>
    <col min="5640" max="5640" width="9.140625" style="115"/>
    <col min="5641" max="5641" width="16.42578125" style="115" bestFit="1" customWidth="1"/>
    <col min="5642" max="5886" width="9.140625" style="115"/>
    <col min="5887" max="5887" width="6.140625" style="115" bestFit="1" customWidth="1"/>
    <col min="5888" max="5888" width="38.7109375" style="115" customWidth="1"/>
    <col min="5889" max="5889" width="28.7109375" style="115" customWidth="1"/>
    <col min="5890" max="5890" width="14.140625" style="115" customWidth="1"/>
    <col min="5891" max="5891" width="17.140625" style="115" customWidth="1"/>
    <col min="5892" max="5893" width="14.140625" style="115" customWidth="1"/>
    <col min="5894" max="5895" width="8.28515625" style="115" customWidth="1"/>
    <col min="5896" max="5896" width="9.140625" style="115"/>
    <col min="5897" max="5897" width="16.42578125" style="115" bestFit="1" customWidth="1"/>
    <col min="5898" max="6142" width="9.140625" style="115"/>
    <col min="6143" max="6143" width="6.140625" style="115" bestFit="1" customWidth="1"/>
    <col min="6144" max="6144" width="38.7109375" style="115" customWidth="1"/>
    <col min="6145" max="6145" width="28.7109375" style="115" customWidth="1"/>
    <col min="6146" max="6146" width="14.140625" style="115" customWidth="1"/>
    <col min="6147" max="6147" width="17.140625" style="115" customWidth="1"/>
    <col min="6148" max="6149" width="14.140625" style="115" customWidth="1"/>
    <col min="6150" max="6151" width="8.28515625" style="115" customWidth="1"/>
    <col min="6152" max="6152" width="9.140625" style="115"/>
    <col min="6153" max="6153" width="16.42578125" style="115" bestFit="1" customWidth="1"/>
    <col min="6154" max="6398" width="9.140625" style="115"/>
    <col min="6399" max="6399" width="6.140625" style="115" bestFit="1" customWidth="1"/>
    <col min="6400" max="6400" width="38.7109375" style="115" customWidth="1"/>
    <col min="6401" max="6401" width="28.7109375" style="115" customWidth="1"/>
    <col min="6402" max="6402" width="14.140625" style="115" customWidth="1"/>
    <col min="6403" max="6403" width="17.140625" style="115" customWidth="1"/>
    <col min="6404" max="6405" width="14.140625" style="115" customWidth="1"/>
    <col min="6406" max="6407" width="8.28515625" style="115" customWidth="1"/>
    <col min="6408" max="6408" width="9.140625" style="115"/>
    <col min="6409" max="6409" width="16.42578125" style="115" bestFit="1" customWidth="1"/>
    <col min="6410" max="6654" width="9.140625" style="115"/>
    <col min="6655" max="6655" width="6.140625" style="115" bestFit="1" customWidth="1"/>
    <col min="6656" max="6656" width="38.7109375" style="115" customWidth="1"/>
    <col min="6657" max="6657" width="28.7109375" style="115" customWidth="1"/>
    <col min="6658" max="6658" width="14.140625" style="115" customWidth="1"/>
    <col min="6659" max="6659" width="17.140625" style="115" customWidth="1"/>
    <col min="6660" max="6661" width="14.140625" style="115" customWidth="1"/>
    <col min="6662" max="6663" width="8.28515625" style="115" customWidth="1"/>
    <col min="6664" max="6664" width="9.140625" style="115"/>
    <col min="6665" max="6665" width="16.42578125" style="115" bestFit="1" customWidth="1"/>
    <col min="6666" max="6910" width="9.140625" style="115"/>
    <col min="6911" max="6911" width="6.140625" style="115" bestFit="1" customWidth="1"/>
    <col min="6912" max="6912" width="38.7109375" style="115" customWidth="1"/>
    <col min="6913" max="6913" width="28.7109375" style="115" customWidth="1"/>
    <col min="6914" max="6914" width="14.140625" style="115" customWidth="1"/>
    <col min="6915" max="6915" width="17.140625" style="115" customWidth="1"/>
    <col min="6916" max="6917" width="14.140625" style="115" customWidth="1"/>
    <col min="6918" max="6919" width="8.28515625" style="115" customWidth="1"/>
    <col min="6920" max="6920" width="9.140625" style="115"/>
    <col min="6921" max="6921" width="16.42578125" style="115" bestFit="1" customWidth="1"/>
    <col min="6922" max="7166" width="9.140625" style="115"/>
    <col min="7167" max="7167" width="6.140625" style="115" bestFit="1" customWidth="1"/>
    <col min="7168" max="7168" width="38.7109375" style="115" customWidth="1"/>
    <col min="7169" max="7169" width="28.7109375" style="115" customWidth="1"/>
    <col min="7170" max="7170" width="14.140625" style="115" customWidth="1"/>
    <col min="7171" max="7171" width="17.140625" style="115" customWidth="1"/>
    <col min="7172" max="7173" width="14.140625" style="115" customWidth="1"/>
    <col min="7174" max="7175" width="8.28515625" style="115" customWidth="1"/>
    <col min="7176" max="7176" width="9.140625" style="115"/>
    <col min="7177" max="7177" width="16.42578125" style="115" bestFit="1" customWidth="1"/>
    <col min="7178" max="7422" width="9.140625" style="115"/>
    <col min="7423" max="7423" width="6.140625" style="115" bestFit="1" customWidth="1"/>
    <col min="7424" max="7424" width="38.7109375" style="115" customWidth="1"/>
    <col min="7425" max="7425" width="28.7109375" style="115" customWidth="1"/>
    <col min="7426" max="7426" width="14.140625" style="115" customWidth="1"/>
    <col min="7427" max="7427" width="17.140625" style="115" customWidth="1"/>
    <col min="7428" max="7429" width="14.140625" style="115" customWidth="1"/>
    <col min="7430" max="7431" width="8.28515625" style="115" customWidth="1"/>
    <col min="7432" max="7432" width="9.140625" style="115"/>
    <col min="7433" max="7433" width="16.42578125" style="115" bestFit="1" customWidth="1"/>
    <col min="7434" max="7678" width="9.140625" style="115"/>
    <col min="7679" max="7679" width="6.140625" style="115" bestFit="1" customWidth="1"/>
    <col min="7680" max="7680" width="38.7109375" style="115" customWidth="1"/>
    <col min="7681" max="7681" width="28.7109375" style="115" customWidth="1"/>
    <col min="7682" max="7682" width="14.140625" style="115" customWidth="1"/>
    <col min="7683" max="7683" width="17.140625" style="115" customWidth="1"/>
    <col min="7684" max="7685" width="14.140625" style="115" customWidth="1"/>
    <col min="7686" max="7687" width="8.28515625" style="115" customWidth="1"/>
    <col min="7688" max="7688" width="9.140625" style="115"/>
    <col min="7689" max="7689" width="16.42578125" style="115" bestFit="1" customWidth="1"/>
    <col min="7690" max="7934" width="9.140625" style="115"/>
    <col min="7935" max="7935" width="6.140625" style="115" bestFit="1" customWidth="1"/>
    <col min="7936" max="7936" width="38.7109375" style="115" customWidth="1"/>
    <col min="7937" max="7937" width="28.7109375" style="115" customWidth="1"/>
    <col min="7938" max="7938" width="14.140625" style="115" customWidth="1"/>
    <col min="7939" max="7939" width="17.140625" style="115" customWidth="1"/>
    <col min="7940" max="7941" width="14.140625" style="115" customWidth="1"/>
    <col min="7942" max="7943" width="8.28515625" style="115" customWidth="1"/>
    <col min="7944" max="7944" width="9.140625" style="115"/>
    <col min="7945" max="7945" width="16.42578125" style="115" bestFit="1" customWidth="1"/>
    <col min="7946" max="8190" width="9.140625" style="115"/>
    <col min="8191" max="8191" width="6.140625" style="115" bestFit="1" customWidth="1"/>
    <col min="8192" max="8192" width="38.7109375" style="115" customWidth="1"/>
    <col min="8193" max="8193" width="28.7109375" style="115" customWidth="1"/>
    <col min="8194" max="8194" width="14.140625" style="115" customWidth="1"/>
    <col min="8195" max="8195" width="17.140625" style="115" customWidth="1"/>
    <col min="8196" max="8197" width="14.140625" style="115" customWidth="1"/>
    <col min="8198" max="8199" width="8.28515625" style="115" customWidth="1"/>
    <col min="8200" max="8200" width="9.140625" style="115"/>
    <col min="8201" max="8201" width="16.42578125" style="115" bestFit="1" customWidth="1"/>
    <col min="8202" max="8446" width="9.140625" style="115"/>
    <col min="8447" max="8447" width="6.140625" style="115" bestFit="1" customWidth="1"/>
    <col min="8448" max="8448" width="38.7109375" style="115" customWidth="1"/>
    <col min="8449" max="8449" width="28.7109375" style="115" customWidth="1"/>
    <col min="8450" max="8450" width="14.140625" style="115" customWidth="1"/>
    <col min="8451" max="8451" width="17.140625" style="115" customWidth="1"/>
    <col min="8452" max="8453" width="14.140625" style="115" customWidth="1"/>
    <col min="8454" max="8455" width="8.28515625" style="115" customWidth="1"/>
    <col min="8456" max="8456" width="9.140625" style="115"/>
    <col min="8457" max="8457" width="16.42578125" style="115" bestFit="1" customWidth="1"/>
    <col min="8458" max="8702" width="9.140625" style="115"/>
    <col min="8703" max="8703" width="6.140625" style="115" bestFit="1" customWidth="1"/>
    <col min="8704" max="8704" width="38.7109375" style="115" customWidth="1"/>
    <col min="8705" max="8705" width="28.7109375" style="115" customWidth="1"/>
    <col min="8706" max="8706" width="14.140625" style="115" customWidth="1"/>
    <col min="8707" max="8707" width="17.140625" style="115" customWidth="1"/>
    <col min="8708" max="8709" width="14.140625" style="115" customWidth="1"/>
    <col min="8710" max="8711" width="8.28515625" style="115" customWidth="1"/>
    <col min="8712" max="8712" width="9.140625" style="115"/>
    <col min="8713" max="8713" width="16.42578125" style="115" bestFit="1" customWidth="1"/>
    <col min="8714" max="8958" width="9.140625" style="115"/>
    <col min="8959" max="8959" width="6.140625" style="115" bestFit="1" customWidth="1"/>
    <col min="8960" max="8960" width="38.7109375" style="115" customWidth="1"/>
    <col min="8961" max="8961" width="28.7109375" style="115" customWidth="1"/>
    <col min="8962" max="8962" width="14.140625" style="115" customWidth="1"/>
    <col min="8963" max="8963" width="17.140625" style="115" customWidth="1"/>
    <col min="8964" max="8965" width="14.140625" style="115" customWidth="1"/>
    <col min="8966" max="8967" width="8.28515625" style="115" customWidth="1"/>
    <col min="8968" max="8968" width="9.140625" style="115"/>
    <col min="8969" max="8969" width="16.42578125" style="115" bestFit="1" customWidth="1"/>
    <col min="8970" max="9214" width="9.140625" style="115"/>
    <col min="9215" max="9215" width="6.140625" style="115" bestFit="1" customWidth="1"/>
    <col min="9216" max="9216" width="38.7109375" style="115" customWidth="1"/>
    <col min="9217" max="9217" width="28.7109375" style="115" customWidth="1"/>
    <col min="9218" max="9218" width="14.140625" style="115" customWidth="1"/>
    <col min="9219" max="9219" width="17.140625" style="115" customWidth="1"/>
    <col min="9220" max="9221" width="14.140625" style="115" customWidth="1"/>
    <col min="9222" max="9223" width="8.28515625" style="115" customWidth="1"/>
    <col min="9224" max="9224" width="9.140625" style="115"/>
    <col min="9225" max="9225" width="16.42578125" style="115" bestFit="1" customWidth="1"/>
    <col min="9226" max="9470" width="9.140625" style="115"/>
    <col min="9471" max="9471" width="6.140625" style="115" bestFit="1" customWidth="1"/>
    <col min="9472" max="9472" width="38.7109375" style="115" customWidth="1"/>
    <col min="9473" max="9473" width="28.7109375" style="115" customWidth="1"/>
    <col min="9474" max="9474" width="14.140625" style="115" customWidth="1"/>
    <col min="9475" max="9475" width="17.140625" style="115" customWidth="1"/>
    <col min="9476" max="9477" width="14.140625" style="115" customWidth="1"/>
    <col min="9478" max="9479" width="8.28515625" style="115" customWidth="1"/>
    <col min="9480" max="9480" width="9.140625" style="115"/>
    <col min="9481" max="9481" width="16.42578125" style="115" bestFit="1" customWidth="1"/>
    <col min="9482" max="9726" width="9.140625" style="115"/>
    <col min="9727" max="9727" width="6.140625" style="115" bestFit="1" customWidth="1"/>
    <col min="9728" max="9728" width="38.7109375" style="115" customWidth="1"/>
    <col min="9729" max="9729" width="28.7109375" style="115" customWidth="1"/>
    <col min="9730" max="9730" width="14.140625" style="115" customWidth="1"/>
    <col min="9731" max="9731" width="17.140625" style="115" customWidth="1"/>
    <col min="9732" max="9733" width="14.140625" style="115" customWidth="1"/>
    <col min="9734" max="9735" width="8.28515625" style="115" customWidth="1"/>
    <col min="9736" max="9736" width="9.140625" style="115"/>
    <col min="9737" max="9737" width="16.42578125" style="115" bestFit="1" customWidth="1"/>
    <col min="9738" max="9982" width="9.140625" style="115"/>
    <col min="9983" max="9983" width="6.140625" style="115" bestFit="1" customWidth="1"/>
    <col min="9984" max="9984" width="38.7109375" style="115" customWidth="1"/>
    <col min="9985" max="9985" width="28.7109375" style="115" customWidth="1"/>
    <col min="9986" max="9986" width="14.140625" style="115" customWidth="1"/>
    <col min="9987" max="9987" width="17.140625" style="115" customWidth="1"/>
    <col min="9988" max="9989" width="14.140625" style="115" customWidth="1"/>
    <col min="9990" max="9991" width="8.28515625" style="115" customWidth="1"/>
    <col min="9992" max="9992" width="9.140625" style="115"/>
    <col min="9993" max="9993" width="16.42578125" style="115" bestFit="1" customWidth="1"/>
    <col min="9994" max="10238" width="9.140625" style="115"/>
    <col min="10239" max="10239" width="6.140625" style="115" bestFit="1" customWidth="1"/>
    <col min="10240" max="10240" width="38.7109375" style="115" customWidth="1"/>
    <col min="10241" max="10241" width="28.7109375" style="115" customWidth="1"/>
    <col min="10242" max="10242" width="14.140625" style="115" customWidth="1"/>
    <col min="10243" max="10243" width="17.140625" style="115" customWidth="1"/>
    <col min="10244" max="10245" width="14.140625" style="115" customWidth="1"/>
    <col min="10246" max="10247" width="8.28515625" style="115" customWidth="1"/>
    <col min="10248" max="10248" width="9.140625" style="115"/>
    <col min="10249" max="10249" width="16.42578125" style="115" bestFit="1" customWidth="1"/>
    <col min="10250" max="10494" width="9.140625" style="115"/>
    <col min="10495" max="10495" width="6.140625" style="115" bestFit="1" customWidth="1"/>
    <col min="10496" max="10496" width="38.7109375" style="115" customWidth="1"/>
    <col min="10497" max="10497" width="28.7109375" style="115" customWidth="1"/>
    <col min="10498" max="10498" width="14.140625" style="115" customWidth="1"/>
    <col min="10499" max="10499" width="17.140625" style="115" customWidth="1"/>
    <col min="10500" max="10501" width="14.140625" style="115" customWidth="1"/>
    <col min="10502" max="10503" width="8.28515625" style="115" customWidth="1"/>
    <col min="10504" max="10504" width="9.140625" style="115"/>
    <col min="10505" max="10505" width="16.42578125" style="115" bestFit="1" customWidth="1"/>
    <col min="10506" max="10750" width="9.140625" style="115"/>
    <col min="10751" max="10751" width="6.140625" style="115" bestFit="1" customWidth="1"/>
    <col min="10752" max="10752" width="38.7109375" style="115" customWidth="1"/>
    <col min="10753" max="10753" width="28.7109375" style="115" customWidth="1"/>
    <col min="10754" max="10754" width="14.140625" style="115" customWidth="1"/>
    <col min="10755" max="10755" width="17.140625" style="115" customWidth="1"/>
    <col min="10756" max="10757" width="14.140625" style="115" customWidth="1"/>
    <col min="10758" max="10759" width="8.28515625" style="115" customWidth="1"/>
    <col min="10760" max="10760" width="9.140625" style="115"/>
    <col min="10761" max="10761" width="16.42578125" style="115" bestFit="1" customWidth="1"/>
    <col min="10762" max="11006" width="9.140625" style="115"/>
    <col min="11007" max="11007" width="6.140625" style="115" bestFit="1" customWidth="1"/>
    <col min="11008" max="11008" width="38.7109375" style="115" customWidth="1"/>
    <col min="11009" max="11009" width="28.7109375" style="115" customWidth="1"/>
    <col min="11010" max="11010" width="14.140625" style="115" customWidth="1"/>
    <col min="11011" max="11011" width="17.140625" style="115" customWidth="1"/>
    <col min="11012" max="11013" width="14.140625" style="115" customWidth="1"/>
    <col min="11014" max="11015" width="8.28515625" style="115" customWidth="1"/>
    <col min="11016" max="11016" width="9.140625" style="115"/>
    <col min="11017" max="11017" width="16.42578125" style="115" bestFit="1" customWidth="1"/>
    <col min="11018" max="11262" width="9.140625" style="115"/>
    <col min="11263" max="11263" width="6.140625" style="115" bestFit="1" customWidth="1"/>
    <col min="11264" max="11264" width="38.7109375" style="115" customWidth="1"/>
    <col min="11265" max="11265" width="28.7109375" style="115" customWidth="1"/>
    <col min="11266" max="11266" width="14.140625" style="115" customWidth="1"/>
    <col min="11267" max="11267" width="17.140625" style="115" customWidth="1"/>
    <col min="11268" max="11269" width="14.140625" style="115" customWidth="1"/>
    <col min="11270" max="11271" width="8.28515625" style="115" customWidth="1"/>
    <col min="11272" max="11272" width="9.140625" style="115"/>
    <col min="11273" max="11273" width="16.42578125" style="115" bestFit="1" customWidth="1"/>
    <col min="11274" max="11518" width="9.140625" style="115"/>
    <col min="11519" max="11519" width="6.140625" style="115" bestFit="1" customWidth="1"/>
    <col min="11520" max="11520" width="38.7109375" style="115" customWidth="1"/>
    <col min="11521" max="11521" width="28.7109375" style="115" customWidth="1"/>
    <col min="11522" max="11522" width="14.140625" style="115" customWidth="1"/>
    <col min="11523" max="11523" width="17.140625" style="115" customWidth="1"/>
    <col min="11524" max="11525" width="14.140625" style="115" customWidth="1"/>
    <col min="11526" max="11527" width="8.28515625" style="115" customWidth="1"/>
    <col min="11528" max="11528" width="9.140625" style="115"/>
    <col min="11529" max="11529" width="16.42578125" style="115" bestFit="1" customWidth="1"/>
    <col min="11530" max="11774" width="9.140625" style="115"/>
    <col min="11775" max="11775" width="6.140625" style="115" bestFit="1" customWidth="1"/>
    <col min="11776" max="11776" width="38.7109375" style="115" customWidth="1"/>
    <col min="11777" max="11777" width="28.7109375" style="115" customWidth="1"/>
    <col min="11778" max="11778" width="14.140625" style="115" customWidth="1"/>
    <col min="11779" max="11779" width="17.140625" style="115" customWidth="1"/>
    <col min="11780" max="11781" width="14.140625" style="115" customWidth="1"/>
    <col min="11782" max="11783" width="8.28515625" style="115" customWidth="1"/>
    <col min="11784" max="11784" width="9.140625" style="115"/>
    <col min="11785" max="11785" width="16.42578125" style="115" bestFit="1" customWidth="1"/>
    <col min="11786" max="12030" width="9.140625" style="115"/>
    <col min="12031" max="12031" width="6.140625" style="115" bestFit="1" customWidth="1"/>
    <col min="12032" max="12032" width="38.7109375" style="115" customWidth="1"/>
    <col min="12033" max="12033" width="28.7109375" style="115" customWidth="1"/>
    <col min="12034" max="12034" width="14.140625" style="115" customWidth="1"/>
    <col min="12035" max="12035" width="17.140625" style="115" customWidth="1"/>
    <col min="12036" max="12037" width="14.140625" style="115" customWidth="1"/>
    <col min="12038" max="12039" width="8.28515625" style="115" customWidth="1"/>
    <col min="12040" max="12040" width="9.140625" style="115"/>
    <col min="12041" max="12041" width="16.42578125" style="115" bestFit="1" customWidth="1"/>
    <col min="12042" max="12286" width="9.140625" style="115"/>
    <col min="12287" max="12287" width="6.140625" style="115" bestFit="1" customWidth="1"/>
    <col min="12288" max="12288" width="38.7109375" style="115" customWidth="1"/>
    <col min="12289" max="12289" width="28.7109375" style="115" customWidth="1"/>
    <col min="12290" max="12290" width="14.140625" style="115" customWidth="1"/>
    <col min="12291" max="12291" width="17.140625" style="115" customWidth="1"/>
    <col min="12292" max="12293" width="14.140625" style="115" customWidth="1"/>
    <col min="12294" max="12295" width="8.28515625" style="115" customWidth="1"/>
    <col min="12296" max="12296" width="9.140625" style="115"/>
    <col min="12297" max="12297" width="16.42578125" style="115" bestFit="1" customWidth="1"/>
    <col min="12298" max="12542" width="9.140625" style="115"/>
    <col min="12543" max="12543" width="6.140625" style="115" bestFit="1" customWidth="1"/>
    <col min="12544" max="12544" width="38.7109375" style="115" customWidth="1"/>
    <col min="12545" max="12545" width="28.7109375" style="115" customWidth="1"/>
    <col min="12546" max="12546" width="14.140625" style="115" customWidth="1"/>
    <col min="12547" max="12547" width="17.140625" style="115" customWidth="1"/>
    <col min="12548" max="12549" width="14.140625" style="115" customWidth="1"/>
    <col min="12550" max="12551" width="8.28515625" style="115" customWidth="1"/>
    <col min="12552" max="12552" width="9.140625" style="115"/>
    <col min="12553" max="12553" width="16.42578125" style="115" bestFit="1" customWidth="1"/>
    <col min="12554" max="12798" width="9.140625" style="115"/>
    <col min="12799" max="12799" width="6.140625" style="115" bestFit="1" customWidth="1"/>
    <col min="12800" max="12800" width="38.7109375" style="115" customWidth="1"/>
    <col min="12801" max="12801" width="28.7109375" style="115" customWidth="1"/>
    <col min="12802" max="12802" width="14.140625" style="115" customWidth="1"/>
    <col min="12803" max="12803" width="17.140625" style="115" customWidth="1"/>
    <col min="12804" max="12805" width="14.140625" style="115" customWidth="1"/>
    <col min="12806" max="12807" width="8.28515625" style="115" customWidth="1"/>
    <col min="12808" max="12808" width="9.140625" style="115"/>
    <col min="12809" max="12809" width="16.42578125" style="115" bestFit="1" customWidth="1"/>
    <col min="12810" max="13054" width="9.140625" style="115"/>
    <col min="13055" max="13055" width="6.140625" style="115" bestFit="1" customWidth="1"/>
    <col min="13056" max="13056" width="38.7109375" style="115" customWidth="1"/>
    <col min="13057" max="13057" width="28.7109375" style="115" customWidth="1"/>
    <col min="13058" max="13058" width="14.140625" style="115" customWidth="1"/>
    <col min="13059" max="13059" width="17.140625" style="115" customWidth="1"/>
    <col min="13060" max="13061" width="14.140625" style="115" customWidth="1"/>
    <col min="13062" max="13063" width="8.28515625" style="115" customWidth="1"/>
    <col min="13064" max="13064" width="9.140625" style="115"/>
    <col min="13065" max="13065" width="16.42578125" style="115" bestFit="1" customWidth="1"/>
    <col min="13066" max="13310" width="9.140625" style="115"/>
    <col min="13311" max="13311" width="6.140625" style="115" bestFit="1" customWidth="1"/>
    <col min="13312" max="13312" width="38.7109375" style="115" customWidth="1"/>
    <col min="13313" max="13313" width="28.7109375" style="115" customWidth="1"/>
    <col min="13314" max="13314" width="14.140625" style="115" customWidth="1"/>
    <col min="13315" max="13315" width="17.140625" style="115" customWidth="1"/>
    <col min="13316" max="13317" width="14.140625" style="115" customWidth="1"/>
    <col min="13318" max="13319" width="8.28515625" style="115" customWidth="1"/>
    <col min="13320" max="13320" width="9.140625" style="115"/>
    <col min="13321" max="13321" width="16.42578125" style="115" bestFit="1" customWidth="1"/>
    <col min="13322" max="13566" width="9.140625" style="115"/>
    <col min="13567" max="13567" width="6.140625" style="115" bestFit="1" customWidth="1"/>
    <col min="13568" max="13568" width="38.7109375" style="115" customWidth="1"/>
    <col min="13569" max="13569" width="28.7109375" style="115" customWidth="1"/>
    <col min="13570" max="13570" width="14.140625" style="115" customWidth="1"/>
    <col min="13571" max="13571" width="17.140625" style="115" customWidth="1"/>
    <col min="13572" max="13573" width="14.140625" style="115" customWidth="1"/>
    <col min="13574" max="13575" width="8.28515625" style="115" customWidth="1"/>
    <col min="13576" max="13576" width="9.140625" style="115"/>
    <col min="13577" max="13577" width="16.42578125" style="115" bestFit="1" customWidth="1"/>
    <col min="13578" max="13822" width="9.140625" style="115"/>
    <col min="13823" max="13823" width="6.140625" style="115" bestFit="1" customWidth="1"/>
    <col min="13824" max="13824" width="38.7109375" style="115" customWidth="1"/>
    <col min="13825" max="13825" width="28.7109375" style="115" customWidth="1"/>
    <col min="13826" max="13826" width="14.140625" style="115" customWidth="1"/>
    <col min="13827" max="13827" width="17.140625" style="115" customWidth="1"/>
    <col min="13828" max="13829" width="14.140625" style="115" customWidth="1"/>
    <col min="13830" max="13831" width="8.28515625" style="115" customWidth="1"/>
    <col min="13832" max="13832" width="9.140625" style="115"/>
    <col min="13833" max="13833" width="16.42578125" style="115" bestFit="1" customWidth="1"/>
    <col min="13834" max="14078" width="9.140625" style="115"/>
    <col min="14079" max="14079" width="6.140625" style="115" bestFit="1" customWidth="1"/>
    <col min="14080" max="14080" width="38.7109375" style="115" customWidth="1"/>
    <col min="14081" max="14081" width="28.7109375" style="115" customWidth="1"/>
    <col min="14082" max="14082" width="14.140625" style="115" customWidth="1"/>
    <col min="14083" max="14083" width="17.140625" style="115" customWidth="1"/>
    <col min="14084" max="14085" width="14.140625" style="115" customWidth="1"/>
    <col min="14086" max="14087" width="8.28515625" style="115" customWidth="1"/>
    <col min="14088" max="14088" width="9.140625" style="115"/>
    <col min="14089" max="14089" width="16.42578125" style="115" bestFit="1" customWidth="1"/>
    <col min="14090" max="14334" width="9.140625" style="115"/>
    <col min="14335" max="14335" width="6.140625" style="115" bestFit="1" customWidth="1"/>
    <col min="14336" max="14336" width="38.7109375" style="115" customWidth="1"/>
    <col min="14337" max="14337" width="28.7109375" style="115" customWidth="1"/>
    <col min="14338" max="14338" width="14.140625" style="115" customWidth="1"/>
    <col min="14339" max="14339" width="17.140625" style="115" customWidth="1"/>
    <col min="14340" max="14341" width="14.140625" style="115" customWidth="1"/>
    <col min="14342" max="14343" width="8.28515625" style="115" customWidth="1"/>
    <col min="14344" max="14344" width="9.140625" style="115"/>
    <col min="14345" max="14345" width="16.42578125" style="115" bestFit="1" customWidth="1"/>
    <col min="14346" max="14590" width="9.140625" style="115"/>
    <col min="14591" max="14591" width="6.140625" style="115" bestFit="1" customWidth="1"/>
    <col min="14592" max="14592" width="38.7109375" style="115" customWidth="1"/>
    <col min="14593" max="14593" width="28.7109375" style="115" customWidth="1"/>
    <col min="14594" max="14594" width="14.140625" style="115" customWidth="1"/>
    <col min="14595" max="14595" width="17.140625" style="115" customWidth="1"/>
    <col min="14596" max="14597" width="14.140625" style="115" customWidth="1"/>
    <col min="14598" max="14599" width="8.28515625" style="115" customWidth="1"/>
    <col min="14600" max="14600" width="9.140625" style="115"/>
    <col min="14601" max="14601" width="16.42578125" style="115" bestFit="1" customWidth="1"/>
    <col min="14602" max="14846" width="9.140625" style="115"/>
    <col min="14847" max="14847" width="6.140625" style="115" bestFit="1" customWidth="1"/>
    <col min="14848" max="14848" width="38.7109375" style="115" customWidth="1"/>
    <col min="14849" max="14849" width="28.7109375" style="115" customWidth="1"/>
    <col min="14850" max="14850" width="14.140625" style="115" customWidth="1"/>
    <col min="14851" max="14851" width="17.140625" style="115" customWidth="1"/>
    <col min="14852" max="14853" width="14.140625" style="115" customWidth="1"/>
    <col min="14854" max="14855" width="8.28515625" style="115" customWidth="1"/>
    <col min="14856" max="14856" width="9.140625" style="115"/>
    <col min="14857" max="14857" width="16.42578125" style="115" bestFit="1" customWidth="1"/>
    <col min="14858" max="15102" width="9.140625" style="115"/>
    <col min="15103" max="15103" width="6.140625" style="115" bestFit="1" customWidth="1"/>
    <col min="15104" max="15104" width="38.7109375" style="115" customWidth="1"/>
    <col min="15105" max="15105" width="28.7109375" style="115" customWidth="1"/>
    <col min="15106" max="15106" width="14.140625" style="115" customWidth="1"/>
    <col min="15107" max="15107" width="17.140625" style="115" customWidth="1"/>
    <col min="15108" max="15109" width="14.140625" style="115" customWidth="1"/>
    <col min="15110" max="15111" width="8.28515625" style="115" customWidth="1"/>
    <col min="15112" max="15112" width="9.140625" style="115"/>
    <col min="15113" max="15113" width="16.42578125" style="115" bestFit="1" customWidth="1"/>
    <col min="15114" max="15358" width="9.140625" style="115"/>
    <col min="15359" max="15359" width="6.140625" style="115" bestFit="1" customWidth="1"/>
    <col min="15360" max="15360" width="38.7109375" style="115" customWidth="1"/>
    <col min="15361" max="15361" width="28.7109375" style="115" customWidth="1"/>
    <col min="15362" max="15362" width="14.140625" style="115" customWidth="1"/>
    <col min="15363" max="15363" width="17.140625" style="115" customWidth="1"/>
    <col min="15364" max="15365" width="14.140625" style="115" customWidth="1"/>
    <col min="15366" max="15367" width="8.28515625" style="115" customWidth="1"/>
    <col min="15368" max="15368" width="9.140625" style="115"/>
    <col min="15369" max="15369" width="16.42578125" style="115" bestFit="1" customWidth="1"/>
    <col min="15370" max="15614" width="9.140625" style="115"/>
    <col min="15615" max="15615" width="6.140625" style="115" bestFit="1" customWidth="1"/>
    <col min="15616" max="15616" width="38.7109375" style="115" customWidth="1"/>
    <col min="15617" max="15617" width="28.7109375" style="115" customWidth="1"/>
    <col min="15618" max="15618" width="14.140625" style="115" customWidth="1"/>
    <col min="15619" max="15619" width="17.140625" style="115" customWidth="1"/>
    <col min="15620" max="15621" width="14.140625" style="115" customWidth="1"/>
    <col min="15622" max="15623" width="8.28515625" style="115" customWidth="1"/>
    <col min="15624" max="15624" width="9.140625" style="115"/>
    <col min="15625" max="15625" width="16.42578125" style="115" bestFit="1" customWidth="1"/>
    <col min="15626" max="15870" width="9.140625" style="115"/>
    <col min="15871" max="15871" width="6.140625" style="115" bestFit="1" customWidth="1"/>
    <col min="15872" max="15872" width="38.7109375" style="115" customWidth="1"/>
    <col min="15873" max="15873" width="28.7109375" style="115" customWidth="1"/>
    <col min="15874" max="15874" width="14.140625" style="115" customWidth="1"/>
    <col min="15875" max="15875" width="17.140625" style="115" customWidth="1"/>
    <col min="15876" max="15877" width="14.140625" style="115" customWidth="1"/>
    <col min="15878" max="15879" width="8.28515625" style="115" customWidth="1"/>
    <col min="15880" max="15880" width="9.140625" style="115"/>
    <col min="15881" max="15881" width="16.42578125" style="115" bestFit="1" customWidth="1"/>
    <col min="15882" max="16126" width="9.140625" style="115"/>
    <col min="16127" max="16127" width="6.140625" style="115" bestFit="1" customWidth="1"/>
    <col min="16128" max="16128" width="38.7109375" style="115" customWidth="1"/>
    <col min="16129" max="16129" width="28.7109375" style="115" customWidth="1"/>
    <col min="16130" max="16130" width="14.140625" style="115" customWidth="1"/>
    <col min="16131" max="16131" width="17.140625" style="115" customWidth="1"/>
    <col min="16132" max="16133" width="14.140625" style="115" customWidth="1"/>
    <col min="16134" max="16135" width="8.28515625" style="115" customWidth="1"/>
    <col min="16136" max="16136" width="9.140625" style="115"/>
    <col min="16137" max="16137" width="16.42578125" style="115" bestFit="1" customWidth="1"/>
    <col min="16138" max="16384" width="9.140625" style="115"/>
  </cols>
  <sheetData>
    <row r="2" spans="1:8" x14ac:dyDescent="0.2">
      <c r="A2" s="228" t="s">
        <v>26</v>
      </c>
      <c r="B2" s="116"/>
      <c r="C2" s="116"/>
      <c r="D2" s="116"/>
      <c r="E2" s="116"/>
      <c r="F2" s="116"/>
      <c r="G2" s="116"/>
    </row>
    <row r="3" spans="1:8" x14ac:dyDescent="0.2">
      <c r="A3" s="228" t="s">
        <v>36</v>
      </c>
      <c r="B3" s="116"/>
      <c r="C3" s="116"/>
      <c r="D3" s="116"/>
      <c r="E3" s="116"/>
      <c r="F3" s="116"/>
      <c r="G3" s="116"/>
    </row>
    <row r="4" spans="1:8" x14ac:dyDescent="0.2">
      <c r="A4" s="116" t="s">
        <v>87</v>
      </c>
      <c r="B4" s="116"/>
      <c r="C4" s="116"/>
      <c r="D4" s="116"/>
      <c r="E4" s="116"/>
      <c r="F4" s="116"/>
      <c r="G4" s="116"/>
    </row>
    <row r="5" spans="1:8" x14ac:dyDescent="0.2">
      <c r="A5" s="116" t="s">
        <v>88</v>
      </c>
      <c r="B5" s="116"/>
      <c r="C5" s="116"/>
      <c r="D5" s="116"/>
      <c r="E5" s="116"/>
      <c r="F5" s="116"/>
      <c r="G5" s="116"/>
    </row>
    <row r="6" spans="1:8" x14ac:dyDescent="0.2">
      <c r="A6" s="116"/>
      <c r="B6" s="116"/>
      <c r="C6" s="116"/>
      <c r="D6" s="116"/>
      <c r="E6" s="116"/>
      <c r="F6" s="116"/>
      <c r="G6" s="116"/>
    </row>
    <row r="7" spans="1:8" x14ac:dyDescent="0.2">
      <c r="A7" s="117"/>
      <c r="B7" s="117"/>
      <c r="C7" s="117"/>
      <c r="D7" s="117"/>
      <c r="E7" s="117" t="s">
        <v>37</v>
      </c>
      <c r="F7" s="117"/>
      <c r="G7" s="117" t="s">
        <v>55</v>
      </c>
    </row>
    <row r="8" spans="1:8" x14ac:dyDescent="0.2">
      <c r="A8" s="117"/>
      <c r="B8" s="117"/>
      <c r="C8" s="117"/>
      <c r="D8" s="117" t="s">
        <v>38</v>
      </c>
      <c r="E8" s="117" t="s">
        <v>39</v>
      </c>
      <c r="F8" s="117" t="s">
        <v>56</v>
      </c>
      <c r="G8" s="117" t="s">
        <v>39</v>
      </c>
      <c r="H8" s="117" t="s">
        <v>32</v>
      </c>
    </row>
    <row r="9" spans="1:8" x14ac:dyDescent="0.2">
      <c r="D9" s="118" t="s">
        <v>57</v>
      </c>
      <c r="E9" s="118" t="s">
        <v>41</v>
      </c>
      <c r="F9" s="119" t="s">
        <v>40</v>
      </c>
      <c r="G9" s="118" t="s">
        <v>41</v>
      </c>
      <c r="H9" s="120" t="s">
        <v>34</v>
      </c>
    </row>
    <row r="10" spans="1:8" x14ac:dyDescent="0.2">
      <c r="A10" s="121" t="s">
        <v>33</v>
      </c>
      <c r="B10" s="121" t="s">
        <v>28</v>
      </c>
      <c r="C10" s="121" t="s">
        <v>29</v>
      </c>
      <c r="D10" s="121" t="s">
        <v>42</v>
      </c>
      <c r="E10" s="121" t="s">
        <v>30</v>
      </c>
      <c r="F10" s="121" t="s">
        <v>31</v>
      </c>
      <c r="G10" s="121" t="s">
        <v>43</v>
      </c>
      <c r="H10" s="122"/>
    </row>
    <row r="11" spans="1:8" s="123" customFormat="1" x14ac:dyDescent="0.2">
      <c r="A11" s="115"/>
      <c r="B11" s="115"/>
      <c r="C11" s="115"/>
      <c r="D11" s="115"/>
      <c r="E11" s="115"/>
      <c r="F11" s="115"/>
      <c r="G11" s="115"/>
      <c r="H11" s="115"/>
    </row>
    <row r="12" spans="1:8" s="123" customFormat="1" ht="15" x14ac:dyDescent="0.25">
      <c r="A12" s="117">
        <v>1</v>
      </c>
      <c r="B12" s="130" t="s">
        <v>94</v>
      </c>
      <c r="C12" s="125"/>
      <c r="D12" s="126">
        <f>G41</f>
        <v>1.4663700664756134E-2</v>
      </c>
      <c r="E12" s="127">
        <f>(1+D12)</f>
        <v>1.0146637006647561</v>
      </c>
      <c r="F12" s="126">
        <f>+'[2]Wage Data Payroll from HR'!C43</f>
        <v>2.8500000000000001E-2</v>
      </c>
      <c r="G12" s="127">
        <f>(1+F12)</f>
        <v>1.0285</v>
      </c>
      <c r="H12" s="115"/>
    </row>
    <row r="13" spans="1:8" s="123" customFormat="1" x14ac:dyDescent="0.2">
      <c r="A13" s="117">
        <f t="shared" ref="A13:A44" si="0">A12+1</f>
        <v>2</v>
      </c>
      <c r="B13" s="129"/>
      <c r="C13" s="129"/>
      <c r="D13" s="129"/>
      <c r="E13" s="129"/>
      <c r="F13" s="129"/>
      <c r="G13" s="129"/>
      <c r="H13" s="115"/>
    </row>
    <row r="14" spans="1:8" s="123" customFormat="1" x14ac:dyDescent="0.2">
      <c r="A14" s="117">
        <f t="shared" si="0"/>
        <v>3</v>
      </c>
      <c r="B14" s="130" t="s">
        <v>95</v>
      </c>
      <c r="C14" s="129"/>
      <c r="D14" s="126">
        <f>G42</f>
        <v>-2.4811755562921794E-2</v>
      </c>
      <c r="E14" s="127">
        <f>E12*(1+D14)</f>
        <v>0.98948811294529249</v>
      </c>
      <c r="F14" s="126">
        <f>'[2]Wage Data Payroll from HR'!C44</f>
        <v>0.03</v>
      </c>
      <c r="G14" s="127">
        <f>G12*(1+F14)</f>
        <v>1.059355</v>
      </c>
      <c r="H14" s="115"/>
    </row>
    <row r="15" spans="1:8" s="123" customFormat="1" x14ac:dyDescent="0.2">
      <c r="A15" s="117">
        <f t="shared" si="0"/>
        <v>4</v>
      </c>
      <c r="B15" s="129"/>
      <c r="C15" s="129"/>
      <c r="D15" s="129"/>
      <c r="E15" s="129"/>
      <c r="F15" s="129"/>
      <c r="G15" s="129"/>
      <c r="H15" s="115"/>
    </row>
    <row r="16" spans="1:8" s="123" customFormat="1" ht="14.45" customHeight="1" x14ac:dyDescent="0.2">
      <c r="A16" s="117">
        <f t="shared" si="0"/>
        <v>5</v>
      </c>
      <c r="B16" s="130" t="s">
        <v>96</v>
      </c>
      <c r="C16" s="129"/>
      <c r="D16" s="126">
        <f>G43</f>
        <v>6.9725291220769994E-2</v>
      </c>
      <c r="E16" s="127">
        <f>E14*(1+D16)</f>
        <v>1.0584804597798931</v>
      </c>
      <c r="F16" s="126">
        <f>'[2]Wage Data Payroll from HR'!C45</f>
        <v>3.5000000000000003E-2</v>
      </c>
      <c r="G16" s="127">
        <f>G14*(1+F16)</f>
        <v>1.0964324249999999</v>
      </c>
      <c r="H16" s="115"/>
    </row>
    <row r="17" spans="1:14" s="123" customFormat="1" ht="14.45" customHeight="1" x14ac:dyDescent="0.2">
      <c r="A17" s="117">
        <f t="shared" si="0"/>
        <v>6</v>
      </c>
      <c r="B17" s="130"/>
      <c r="C17" s="129"/>
      <c r="D17" s="126"/>
      <c r="E17" s="131"/>
      <c r="F17" s="126"/>
      <c r="G17" s="131"/>
      <c r="H17" s="115"/>
    </row>
    <row r="18" spans="1:14" s="123" customFormat="1" ht="14.45" customHeight="1" x14ac:dyDescent="0.2">
      <c r="A18" s="117">
        <f t="shared" si="0"/>
        <v>7</v>
      </c>
      <c r="B18" s="130" t="s">
        <v>97</v>
      </c>
      <c r="C18" s="129"/>
      <c r="D18" s="126">
        <f>G44</f>
        <v>1.6201058698357144E-2</v>
      </c>
      <c r="E18" s="127">
        <f>E16*(1+D18)</f>
        <v>1.0756289638398513</v>
      </c>
      <c r="F18" s="126">
        <f>'[2]Wage Data Payroll from HR'!C46</f>
        <v>2.8733333333333333E-2</v>
      </c>
      <c r="G18" s="127">
        <f>G16*(1+F18)</f>
        <v>1.1279365833449999</v>
      </c>
      <c r="H18" s="115"/>
    </row>
    <row r="19" spans="1:14" s="123" customFormat="1" ht="17.45" customHeight="1" x14ac:dyDescent="0.25">
      <c r="A19" s="117">
        <f t="shared" si="0"/>
        <v>8</v>
      </c>
      <c r="B19" s="129" t="s">
        <v>44</v>
      </c>
      <c r="C19" s="129"/>
      <c r="D19" s="129"/>
      <c r="E19" s="132">
        <f>ROUND(E18-1,4)</f>
        <v>7.5600000000000001E-2</v>
      </c>
      <c r="F19" s="129"/>
      <c r="G19" s="132">
        <f>ROUND(G18-1,4)</f>
        <v>0.12790000000000001</v>
      </c>
      <c r="H19" s="115"/>
    </row>
    <row r="20" spans="1:14" s="123" customFormat="1" x14ac:dyDescent="0.2">
      <c r="A20" s="117">
        <f t="shared" si="0"/>
        <v>9</v>
      </c>
      <c r="B20" s="133"/>
      <c r="C20" s="133"/>
      <c r="D20" s="133"/>
      <c r="E20" s="133"/>
      <c r="F20" s="134"/>
      <c r="G20" s="133"/>
      <c r="H20" s="133"/>
    </row>
    <row r="21" spans="1:14" s="123" customFormat="1" ht="15" x14ac:dyDescent="0.25">
      <c r="A21" s="117">
        <f t="shared" si="0"/>
        <v>10</v>
      </c>
      <c r="B21" s="115" t="s">
        <v>98</v>
      </c>
      <c r="C21" s="115"/>
      <c r="D21" s="135">
        <f>E19/4</f>
        <v>1.89E-2</v>
      </c>
      <c r="E21" s="136"/>
      <c r="F21" s="137">
        <f>G19/4</f>
        <v>3.1975000000000003E-2</v>
      </c>
      <c r="G21" s="138">
        <f>+E19/G19</f>
        <v>0.59108678655199365</v>
      </c>
      <c r="H21" s="139" t="str">
        <f>"= "&amp;E19*100&amp;" % / "&amp;G19*100&amp;" %"</f>
        <v>= 7.56 % / 12.79 %</v>
      </c>
    </row>
    <row r="22" spans="1:14" s="123" customFormat="1" ht="13.5" thickBot="1" x14ac:dyDescent="0.25">
      <c r="A22" s="117">
        <f t="shared" si="0"/>
        <v>11</v>
      </c>
      <c r="B22" s="115"/>
      <c r="C22" s="115"/>
      <c r="D22" s="140" t="s">
        <v>71</v>
      </c>
      <c r="E22" s="141"/>
      <c r="F22" s="142"/>
      <c r="G22" s="115"/>
      <c r="H22" s="143"/>
    </row>
    <row r="23" spans="1:14" s="123" customFormat="1" ht="15.75" thickBot="1" x14ac:dyDescent="0.3">
      <c r="A23" s="117">
        <f t="shared" si="0"/>
        <v>12</v>
      </c>
      <c r="B23" s="115" t="s">
        <v>99</v>
      </c>
      <c r="C23" s="115"/>
      <c r="D23" s="115"/>
      <c r="E23" s="144">
        <f>ROUND(+G21,4)</f>
        <v>0.59109999999999996</v>
      </c>
      <c r="F23" s="138">
        <f>+G32</f>
        <v>6.473899999999988E-2</v>
      </c>
      <c r="G23" s="145">
        <f>ROUND(+E23*F23,4)</f>
        <v>3.8300000000000001E-2</v>
      </c>
      <c r="H23" s="139" t="str">
        <f>"= "&amp;E23*100&amp;" % * "&amp;FIXED(F23,4)*100&amp;" %"</f>
        <v>= 59.11 % * 6.47 %</v>
      </c>
    </row>
    <row r="24" spans="1:14" s="123" customFormat="1" ht="15" x14ac:dyDescent="0.25">
      <c r="A24" s="117">
        <f t="shared" si="0"/>
        <v>13</v>
      </c>
      <c r="B24" s="115"/>
      <c r="C24" s="115"/>
      <c r="D24" s="115"/>
      <c r="E24" s="144"/>
      <c r="F24" s="138"/>
      <c r="G24" s="146"/>
      <c r="H24" s="139"/>
      <c r="I24" s="147"/>
      <c r="J24" s="147"/>
      <c r="K24" s="147"/>
      <c r="L24" s="147"/>
      <c r="M24" s="147"/>
      <c r="N24" s="147"/>
    </row>
    <row r="25" spans="1:14" s="123" customFormat="1" ht="15" x14ac:dyDescent="0.25">
      <c r="A25" s="117">
        <f t="shared" si="0"/>
        <v>14</v>
      </c>
      <c r="B25" s="115"/>
      <c r="C25" s="115"/>
      <c r="D25" s="115"/>
      <c r="E25" s="144"/>
      <c r="F25" s="138"/>
      <c r="G25" s="148"/>
      <c r="H25" s="115"/>
      <c r="I25" s="147"/>
      <c r="J25" s="147"/>
      <c r="K25" s="147"/>
      <c r="L25" s="147"/>
      <c r="M25" s="147"/>
      <c r="N25" s="147"/>
    </row>
    <row r="26" spans="1:14" s="123" customFormat="1" ht="15" x14ac:dyDescent="0.25">
      <c r="A26" s="117">
        <f t="shared" si="0"/>
        <v>15</v>
      </c>
      <c r="B26" s="149" t="s">
        <v>45</v>
      </c>
      <c r="C26" s="150"/>
      <c r="D26" s="150"/>
      <c r="E26" s="150"/>
      <c r="F26" s="150"/>
      <c r="G26" s="151"/>
      <c r="H26" s="115"/>
      <c r="I26" s="147"/>
      <c r="J26" s="147"/>
      <c r="K26" s="147"/>
      <c r="L26" s="147"/>
      <c r="M26" s="147"/>
      <c r="N26" s="147"/>
    </row>
    <row r="27" spans="1:14" s="123" customFormat="1" ht="15" x14ac:dyDescent="0.25">
      <c r="A27" s="117">
        <f t="shared" si="0"/>
        <v>16</v>
      </c>
      <c r="B27" s="152" t="s">
        <v>62</v>
      </c>
      <c r="C27" s="153"/>
      <c r="D27" s="154" t="s">
        <v>100</v>
      </c>
      <c r="E27" s="154" t="s">
        <v>101</v>
      </c>
      <c r="F27" s="155" t="s">
        <v>35</v>
      </c>
      <c r="G27" s="156"/>
      <c r="H27" s="129"/>
      <c r="I27" s="147"/>
      <c r="J27" s="147"/>
      <c r="K27" s="147"/>
      <c r="L27" s="147"/>
      <c r="M27" s="147"/>
      <c r="N27" s="147"/>
    </row>
    <row r="28" spans="1:14" s="123" customFormat="1" ht="15" x14ac:dyDescent="0.25">
      <c r="A28" s="117">
        <f t="shared" si="0"/>
        <v>17</v>
      </c>
      <c r="B28" s="157" t="s">
        <v>63</v>
      </c>
      <c r="C28" s="153"/>
      <c r="D28" s="158">
        <f>+'[2]Wage Data Payroll from HR'!C45</f>
        <v>3.5000000000000003E-2</v>
      </c>
      <c r="E28" s="158">
        <f>'[2]Wage Data Payroll from HR'!C46</f>
        <v>2.8733333333333333E-2</v>
      </c>
      <c r="F28" s="159"/>
      <c r="G28" s="160"/>
      <c r="H28" s="161"/>
      <c r="I28" s="147"/>
      <c r="J28" s="147"/>
      <c r="K28" s="147"/>
      <c r="L28" s="147"/>
      <c r="M28" s="147"/>
      <c r="N28" s="147"/>
    </row>
    <row r="29" spans="1:14" s="123" customFormat="1" ht="15" x14ac:dyDescent="0.25">
      <c r="A29" s="117">
        <f t="shared" si="0"/>
        <v>18</v>
      </c>
      <c r="B29" s="157" t="s">
        <v>89</v>
      </c>
      <c r="C29" s="153"/>
      <c r="D29" s="162"/>
      <c r="E29" s="163"/>
      <c r="F29" s="159"/>
      <c r="G29" s="160"/>
      <c r="H29" s="161"/>
      <c r="I29" s="147"/>
      <c r="J29" s="147"/>
      <c r="K29" s="147"/>
      <c r="L29" s="147"/>
      <c r="M29" s="147"/>
      <c r="N29" s="147"/>
    </row>
    <row r="30" spans="1:14" s="123" customFormat="1" ht="15" x14ac:dyDescent="0.25">
      <c r="A30" s="117">
        <f t="shared" si="0"/>
        <v>19</v>
      </c>
      <c r="B30" s="157" t="s">
        <v>65</v>
      </c>
      <c r="C30" s="153"/>
      <c r="D30" s="164"/>
      <c r="E30" s="163"/>
      <c r="F30" s="159"/>
      <c r="G30" s="165" t="s">
        <v>67</v>
      </c>
      <c r="H30" s="161"/>
      <c r="I30" s="147"/>
      <c r="J30" s="147"/>
      <c r="K30" s="147"/>
      <c r="L30" s="147"/>
      <c r="M30" s="147"/>
      <c r="N30" s="147"/>
    </row>
    <row r="31" spans="1:14" s="123" customFormat="1" ht="15" x14ac:dyDescent="0.25">
      <c r="A31" s="117">
        <f t="shared" si="0"/>
        <v>20</v>
      </c>
      <c r="B31" s="157" t="s">
        <v>64</v>
      </c>
      <c r="C31" s="153"/>
      <c r="D31" s="162">
        <f>D28</f>
        <v>3.5000000000000003E-2</v>
      </c>
      <c r="E31" s="162">
        <f>E28</f>
        <v>2.8733333333333333E-2</v>
      </c>
      <c r="F31" s="166">
        <f>SUM(D31:E31)</f>
        <v>6.3733333333333336E-2</v>
      </c>
      <c r="G31" s="167" t="s">
        <v>40</v>
      </c>
      <c r="H31" s="168"/>
      <c r="I31" s="147"/>
      <c r="J31" s="147"/>
      <c r="K31" s="147"/>
      <c r="L31" s="147"/>
      <c r="M31" s="147"/>
      <c r="N31" s="147"/>
    </row>
    <row r="32" spans="1:14" s="123" customFormat="1" ht="15" x14ac:dyDescent="0.25">
      <c r="A32" s="117">
        <f t="shared" si="0"/>
        <v>21</v>
      </c>
      <c r="B32" s="169" t="s">
        <v>68</v>
      </c>
      <c r="C32" s="170"/>
      <c r="D32" s="171">
        <f>1+D31</f>
        <v>1.0349999999999999</v>
      </c>
      <c r="E32" s="171">
        <f>1+E31</f>
        <v>1.0287333333333333</v>
      </c>
      <c r="F32" s="171">
        <f>E32*D32</f>
        <v>1.0647389999999999</v>
      </c>
      <c r="G32" s="172">
        <f>F32-1</f>
        <v>6.473899999999988E-2</v>
      </c>
      <c r="H32" s="173"/>
    </row>
    <row r="33" spans="1:13" s="123" customFormat="1" ht="15" x14ac:dyDescent="0.25">
      <c r="A33" s="117">
        <f t="shared" si="0"/>
        <v>22</v>
      </c>
      <c r="B33" s="169"/>
      <c r="C33" s="170"/>
      <c r="D33" s="175" t="s">
        <v>69</v>
      </c>
      <c r="E33" s="175" t="s">
        <v>70</v>
      </c>
      <c r="F33" s="175" t="s">
        <v>102</v>
      </c>
      <c r="G33" s="176" t="s">
        <v>103</v>
      </c>
      <c r="H33" s="173"/>
    </row>
    <row r="34" spans="1:13" s="123" customFormat="1" ht="7.15" customHeight="1" x14ac:dyDescent="0.25">
      <c r="A34" s="117">
        <f t="shared" si="0"/>
        <v>23</v>
      </c>
      <c r="B34" s="177"/>
      <c r="C34" s="178"/>
      <c r="D34" s="178"/>
      <c r="E34" s="178"/>
      <c r="F34" s="178"/>
      <c r="G34" s="178"/>
      <c r="H34" s="173"/>
      <c r="I34" s="179"/>
    </row>
    <row r="35" spans="1:13" s="123" customFormat="1" ht="15" x14ac:dyDescent="0.25">
      <c r="A35" s="117">
        <f t="shared" si="0"/>
        <v>24</v>
      </c>
      <c r="B35" s="149" t="s">
        <v>58</v>
      </c>
      <c r="C35" s="150"/>
      <c r="D35" s="150"/>
      <c r="E35" s="180" t="s">
        <v>69</v>
      </c>
      <c r="F35" s="180" t="s">
        <v>70</v>
      </c>
      <c r="G35" s="180" t="s">
        <v>70</v>
      </c>
      <c r="H35" s="173"/>
      <c r="I35" s="181"/>
    </row>
    <row r="36" spans="1:13" s="123" customFormat="1" ht="15" x14ac:dyDescent="0.25">
      <c r="A36" s="117">
        <f t="shared" si="0"/>
        <v>25</v>
      </c>
      <c r="B36" s="169"/>
      <c r="C36" s="153"/>
      <c r="D36" s="153"/>
      <c r="E36" s="153"/>
      <c r="F36" s="153"/>
      <c r="G36" s="182" t="s">
        <v>37</v>
      </c>
      <c r="H36" s="173"/>
    </row>
    <row r="37" spans="1:13" s="123" customFormat="1" x14ac:dyDescent="0.2">
      <c r="A37" s="117">
        <f t="shared" si="0"/>
        <v>26</v>
      </c>
      <c r="B37" s="169"/>
      <c r="C37" s="153"/>
      <c r="D37" s="159" t="s">
        <v>46</v>
      </c>
      <c r="E37" s="159" t="s">
        <v>47</v>
      </c>
      <c r="F37" s="159" t="s">
        <v>48</v>
      </c>
      <c r="G37" s="182" t="s">
        <v>39</v>
      </c>
      <c r="H37" s="115"/>
    </row>
    <row r="38" spans="1:13" s="123" customFormat="1" ht="15" x14ac:dyDescent="0.25">
      <c r="A38" s="117">
        <f t="shared" si="0"/>
        <v>27</v>
      </c>
      <c r="B38" s="184"/>
      <c r="C38" s="185"/>
      <c r="D38" s="185" t="s">
        <v>49</v>
      </c>
      <c r="E38" s="185" t="s">
        <v>50</v>
      </c>
      <c r="F38" s="185" t="s">
        <v>51</v>
      </c>
      <c r="G38" s="186" t="s">
        <v>52</v>
      </c>
      <c r="H38" s="115"/>
      <c r="I38" s="147"/>
      <c r="J38" s="147"/>
      <c r="K38" s="147"/>
      <c r="L38" s="147"/>
      <c r="M38" s="147"/>
    </row>
    <row r="39" spans="1:13" s="123" customFormat="1" ht="15" x14ac:dyDescent="0.25">
      <c r="A39" s="117">
        <f t="shared" si="0"/>
        <v>28</v>
      </c>
      <c r="B39" s="169"/>
      <c r="C39" s="153"/>
      <c r="D39" s="153"/>
      <c r="E39" s="153"/>
      <c r="F39" s="153"/>
      <c r="G39" s="156"/>
      <c r="H39" s="115"/>
      <c r="I39" s="147"/>
      <c r="J39" s="147"/>
      <c r="K39" s="147"/>
      <c r="L39" s="147"/>
      <c r="M39" s="147"/>
    </row>
    <row r="40" spans="1:13" s="123" customFormat="1" ht="15" x14ac:dyDescent="0.25">
      <c r="A40" s="117">
        <f t="shared" si="0"/>
        <v>29</v>
      </c>
      <c r="B40" s="191" t="s">
        <v>60</v>
      </c>
      <c r="C40" s="192"/>
      <c r="D40" s="210">
        <f>'[2]Wage Data Payroll from HR'!G42</f>
        <v>1787.7999999999997</v>
      </c>
      <c r="E40" s="210">
        <f>'[2]Wage Data Payroll from HR'!F42</f>
        <v>166812412.44999999</v>
      </c>
      <c r="F40" s="210">
        <f>E40/D40</f>
        <v>93305.969599507778</v>
      </c>
      <c r="G40" s="211"/>
      <c r="H40" s="115"/>
      <c r="I40" s="147"/>
      <c r="J40" s="147"/>
      <c r="K40" s="147"/>
      <c r="L40" s="147"/>
      <c r="M40" s="147"/>
    </row>
    <row r="41" spans="1:13" s="123" customFormat="1" ht="15" x14ac:dyDescent="0.25">
      <c r="A41" s="117">
        <f t="shared" si="0"/>
        <v>30</v>
      </c>
      <c r="B41" s="191" t="s">
        <v>94</v>
      </c>
      <c r="C41" s="192"/>
      <c r="D41" s="210">
        <f>'[2]Wage Data Payroll from HR'!G43</f>
        <v>1912</v>
      </c>
      <c r="E41" s="210">
        <f>'[2]Wage Data Payroll from HR'!F43</f>
        <v>181017032.94</v>
      </c>
      <c r="F41" s="210">
        <f t="shared" ref="F41:F43" si="1">E41/D41</f>
        <v>94674.180407949796</v>
      </c>
      <c r="G41" s="211">
        <f>(F41-F40)/F40</f>
        <v>1.4663700664756134E-2</v>
      </c>
      <c r="H41" s="115"/>
      <c r="I41" s="147"/>
      <c r="J41" s="147"/>
      <c r="K41" s="147"/>
      <c r="L41" s="147"/>
      <c r="M41" s="147"/>
    </row>
    <row r="42" spans="1:13" s="123" customFormat="1" ht="15" x14ac:dyDescent="0.25">
      <c r="A42" s="117">
        <f t="shared" si="0"/>
        <v>31</v>
      </c>
      <c r="B42" s="191" t="s">
        <v>95</v>
      </c>
      <c r="C42" s="192"/>
      <c r="D42" s="210">
        <f>'[2]Wage Data Payroll from HR'!G44</f>
        <v>2145</v>
      </c>
      <c r="E42" s="210">
        <f>'[2]Wage Data Payroll from HR'!F44</f>
        <v>198037442</v>
      </c>
      <c r="F42" s="210">
        <f t="shared" si="1"/>
        <v>92325.147785547786</v>
      </c>
      <c r="G42" s="211">
        <f>(F42-F41)/F41</f>
        <v>-2.4811755562921794E-2</v>
      </c>
      <c r="H42" s="115"/>
      <c r="I42" s="147"/>
      <c r="J42" s="147"/>
      <c r="K42" s="147"/>
      <c r="L42" s="147"/>
      <c r="M42" s="147"/>
    </row>
    <row r="43" spans="1:13" s="123" customFormat="1" ht="15" x14ac:dyDescent="0.25">
      <c r="A43" s="117">
        <f t="shared" si="0"/>
        <v>32</v>
      </c>
      <c r="B43" s="191" t="s">
        <v>96</v>
      </c>
      <c r="C43" s="192"/>
      <c r="D43" s="210">
        <f>'[2]Wage Data Payroll from HR'!G45</f>
        <v>2110</v>
      </c>
      <c r="E43" s="210">
        <f>'[2]Wage Data Payroll from HR'!F45</f>
        <v>208388971.22</v>
      </c>
      <c r="F43" s="210">
        <f t="shared" si="1"/>
        <v>98762.545601895734</v>
      </c>
      <c r="G43" s="211">
        <f>(F43-F42)/F42</f>
        <v>6.9725291220769994E-2</v>
      </c>
      <c r="H43" s="115"/>
      <c r="I43" s="147"/>
      <c r="J43" s="147"/>
      <c r="K43" s="147"/>
      <c r="L43" s="147"/>
      <c r="M43" s="147"/>
    </row>
    <row r="44" spans="1:13" ht="15" x14ac:dyDescent="0.25">
      <c r="A44" s="117">
        <f t="shared" si="0"/>
        <v>33</v>
      </c>
      <c r="B44" s="191" t="s">
        <v>97</v>
      </c>
      <c r="C44" s="212"/>
      <c r="D44" s="210">
        <f>'[2]Wage Data Payroll from HR'!G46</f>
        <v>2144.1842338535339</v>
      </c>
      <c r="E44" s="210">
        <f>'[2]Wage Data Payroll from HR'!F46</f>
        <v>211765093.17482549</v>
      </c>
      <c r="F44" s="213">
        <f>'[2]Wage Data Payroll from HR'!H46</f>
        <v>100362.60340039122</v>
      </c>
      <c r="G44" s="214">
        <f>(F44-F43)/F43</f>
        <v>1.6201058698357144E-2</v>
      </c>
      <c r="I44" s="147"/>
      <c r="J44" s="147"/>
      <c r="K44" s="147"/>
      <c r="L44" s="147"/>
      <c r="M44" s="147"/>
    </row>
    <row r="45" spans="1:13" ht="15" x14ac:dyDescent="0.25">
      <c r="B45" s="129"/>
      <c r="C45" s="129"/>
      <c r="D45" s="129"/>
      <c r="E45" s="129"/>
      <c r="F45" s="129"/>
      <c r="G45" s="193"/>
      <c r="I45" s="147"/>
      <c r="J45" s="147"/>
      <c r="K45" s="147"/>
      <c r="L45" s="147"/>
      <c r="M45" s="147"/>
    </row>
    <row r="46" spans="1:13" ht="15" x14ac:dyDescent="0.25">
      <c r="B46" s="129"/>
      <c r="C46" s="129"/>
      <c r="D46" s="129"/>
      <c r="E46" s="129"/>
      <c r="F46" s="129"/>
      <c r="G46" s="193"/>
      <c r="I46" s="147"/>
      <c r="J46" s="147"/>
      <c r="K46" s="147"/>
      <c r="L46" s="147"/>
      <c r="M46" s="147"/>
    </row>
    <row r="47" spans="1:13" x14ac:dyDescent="0.2">
      <c r="B47" s="129"/>
      <c r="C47" s="129"/>
      <c r="D47" s="129"/>
      <c r="E47" s="129"/>
    </row>
    <row r="48" spans="1:13" x14ac:dyDescent="0.2">
      <c r="B48" s="129"/>
      <c r="C48" s="129"/>
      <c r="D48" s="129"/>
      <c r="E48" s="129"/>
    </row>
    <row r="49" spans="2:5" x14ac:dyDescent="0.2">
      <c r="B49" s="129"/>
      <c r="C49" s="129"/>
      <c r="D49" s="129"/>
      <c r="E49" s="129"/>
    </row>
  </sheetData>
  <printOptions horizontalCentered="1"/>
  <pageMargins left="0.5" right="0.5" top="0.25" bottom="0.75" header="0" footer="0"/>
  <pageSetup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C8" sqref="C8"/>
    </sheetView>
  </sheetViews>
  <sheetFormatPr defaultRowHeight="12.75" x14ac:dyDescent="0.2"/>
  <cols>
    <col min="1" max="1" width="24.42578125" bestFit="1" customWidth="1"/>
    <col min="2" max="2" width="15.7109375" customWidth="1"/>
    <col min="3" max="3" width="13.5703125" customWidth="1"/>
    <col min="4" max="4" width="13.7109375" customWidth="1"/>
    <col min="5" max="5" width="32.85546875" bestFit="1" customWidth="1"/>
    <col min="6" max="6" width="13.28515625" bestFit="1" customWidth="1"/>
  </cols>
  <sheetData>
    <row r="1" spans="1:6" x14ac:dyDescent="0.2">
      <c r="A1" s="215"/>
      <c r="B1" s="32"/>
      <c r="C1" s="32"/>
      <c r="D1" s="216"/>
      <c r="E1" s="31"/>
    </row>
    <row r="2" spans="1:6" x14ac:dyDescent="0.2">
      <c r="A2" s="215"/>
      <c r="B2" s="32"/>
      <c r="C2" s="32"/>
      <c r="D2" s="216"/>
      <c r="E2" s="31"/>
    </row>
    <row r="3" spans="1:6" x14ac:dyDescent="0.2">
      <c r="A3" s="217" t="str">
        <f>+'Electric Summary'!A4</f>
        <v>PUGET SOUND ENERGY-ELECTRIC</v>
      </c>
      <c r="B3" s="71"/>
      <c r="C3" s="71"/>
      <c r="D3" s="218"/>
      <c r="E3" s="31"/>
    </row>
    <row r="4" spans="1:6" x14ac:dyDescent="0.2">
      <c r="A4" s="217" t="str">
        <f>+'Electric Summary'!A5</f>
        <v>INVESTMENT PLAN</v>
      </c>
      <c r="B4" s="217"/>
      <c r="C4" s="71"/>
      <c r="D4" s="218"/>
      <c r="E4" s="31"/>
    </row>
    <row r="5" spans="1:6" x14ac:dyDescent="0.2">
      <c r="A5" s="217" t="str">
        <f>+'Electric Summary'!A6</f>
        <v>FOR THE TWELVE MONTHS ENDED DECEMBER 31, 2018</v>
      </c>
      <c r="B5" s="219"/>
      <c r="C5" s="217"/>
      <c r="D5" s="217"/>
      <c r="E5" s="30"/>
      <c r="F5" s="33"/>
    </row>
    <row r="6" spans="1:6" x14ac:dyDescent="0.2">
      <c r="A6" s="220"/>
      <c r="B6" s="221"/>
      <c r="C6" s="221"/>
      <c r="D6" s="221"/>
      <c r="E6" s="30"/>
      <c r="F6" s="33"/>
    </row>
    <row r="7" spans="1:6" x14ac:dyDescent="0.2">
      <c r="A7" s="220"/>
      <c r="B7" s="221"/>
      <c r="C7" s="221"/>
      <c r="D7" s="221"/>
      <c r="E7" s="30"/>
      <c r="F7" s="33"/>
    </row>
    <row r="8" spans="1:6" x14ac:dyDescent="0.2">
      <c r="A8" s="222" t="s">
        <v>18</v>
      </c>
      <c r="B8" s="221"/>
      <c r="C8" s="223">
        <f>+[1]Lead!$E$40</f>
        <v>0.69140000000000001</v>
      </c>
      <c r="D8" s="223">
        <f>+[1]Lead!$F$40</f>
        <v>0.30859999999999999</v>
      </c>
      <c r="E8" s="50"/>
      <c r="F8" s="33"/>
    </row>
    <row r="9" spans="1:6" x14ac:dyDescent="0.2">
      <c r="A9" s="222"/>
      <c r="B9" s="221"/>
      <c r="C9" s="224"/>
      <c r="D9" s="224"/>
      <c r="E9" s="50"/>
      <c r="F9" s="33"/>
    </row>
    <row r="10" spans="1:6" x14ac:dyDescent="0.2">
      <c r="A10" s="220"/>
      <c r="B10" s="69" t="s">
        <v>53</v>
      </c>
      <c r="C10" s="69" t="s">
        <v>16</v>
      </c>
      <c r="D10" s="69" t="s">
        <v>17</v>
      </c>
      <c r="E10" s="34"/>
    </row>
    <row r="11" spans="1:6" x14ac:dyDescent="0.2">
      <c r="A11" s="225" t="s">
        <v>13</v>
      </c>
      <c r="B11" s="62">
        <v>13634964</v>
      </c>
      <c r="C11" s="62">
        <f>B11*$C$8</f>
        <v>9427214.1096000001</v>
      </c>
      <c r="D11" s="62">
        <f>B11*$D$8</f>
        <v>4207749.8903999999</v>
      </c>
    </row>
    <row r="12" spans="1:6" x14ac:dyDescent="0.2">
      <c r="A12" s="225" t="s">
        <v>54</v>
      </c>
      <c r="B12" s="62">
        <v>163857</v>
      </c>
      <c r="C12" s="62">
        <f>B12*$C$8</f>
        <v>113290.7298</v>
      </c>
      <c r="D12" s="62">
        <f>B12*$D$8</f>
        <v>50566.270199999999</v>
      </c>
    </row>
    <row r="13" spans="1:6" x14ac:dyDescent="0.2">
      <c r="A13" s="225"/>
      <c r="B13" s="226">
        <f>SUM(B11:B12)</f>
        <v>13798821</v>
      </c>
      <c r="C13" s="63">
        <f>SUM(C11:C12)</f>
        <v>9540504.8394000009</v>
      </c>
      <c r="D13" s="63">
        <f>SUM(D11:D12)</f>
        <v>4258316.1606000001</v>
      </c>
    </row>
    <row r="14" spans="1:6" x14ac:dyDescent="0.2">
      <c r="A14" s="225"/>
      <c r="B14" s="63"/>
      <c r="C14" s="63"/>
      <c r="D14" s="63"/>
    </row>
    <row r="15" spans="1:6" x14ac:dyDescent="0.2">
      <c r="A15" s="225" t="s">
        <v>14</v>
      </c>
      <c r="B15" s="62">
        <v>1527930</v>
      </c>
      <c r="C15" s="62">
        <f>B15*$C$8</f>
        <v>1056410.8019999999</v>
      </c>
      <c r="D15" s="62">
        <f>B15*$D$8</f>
        <v>471519.19799999997</v>
      </c>
    </row>
    <row r="16" spans="1:6" x14ac:dyDescent="0.2">
      <c r="A16" s="225" t="s">
        <v>15</v>
      </c>
      <c r="B16" s="62">
        <v>4738848</v>
      </c>
      <c r="C16" s="62">
        <f>B16*$C$8</f>
        <v>3276439.5071999999</v>
      </c>
      <c r="D16" s="62">
        <f>B16*$D$8</f>
        <v>1462408.4927999999</v>
      </c>
    </row>
    <row r="17" spans="1:5" x14ac:dyDescent="0.2">
      <c r="A17" s="220"/>
      <c r="B17" s="63">
        <f>SUM(B15:B16)</f>
        <v>6266778</v>
      </c>
      <c r="C17" s="63">
        <f>SUM(C15:C16)</f>
        <v>4332850.3092</v>
      </c>
      <c r="D17" s="63">
        <f>SUM(D15:D16)</f>
        <v>1933927.6908</v>
      </c>
    </row>
    <row r="18" spans="1:5" x14ac:dyDescent="0.2">
      <c r="A18" s="220"/>
      <c r="B18" s="63"/>
      <c r="C18" s="63"/>
      <c r="D18" s="63"/>
    </row>
    <row r="19" spans="1:5" ht="13.5" thickBot="1" x14ac:dyDescent="0.25">
      <c r="A19" s="133" t="s">
        <v>35</v>
      </c>
      <c r="B19" s="64">
        <f>B13+B17</f>
        <v>20065599</v>
      </c>
      <c r="C19" s="64">
        <f>C13+C17</f>
        <v>13873355.148600001</v>
      </c>
      <c r="D19" s="64">
        <f>D13+D17</f>
        <v>6192243.8514</v>
      </c>
      <c r="E19" s="34"/>
    </row>
    <row r="20" spans="1:5" ht="13.5" thickTop="1" x14ac:dyDescent="0.2">
      <c r="A20" s="2"/>
      <c r="B20" s="2"/>
      <c r="C20" s="2"/>
      <c r="D20" s="2"/>
    </row>
    <row r="21" spans="1:5" x14ac:dyDescent="0.2">
      <c r="A21" s="2"/>
      <c r="B21" s="2"/>
      <c r="C21" s="48"/>
      <c r="D21" s="48"/>
    </row>
    <row r="22" spans="1:5" x14ac:dyDescent="0.2">
      <c r="A22" s="2"/>
      <c r="B22" s="2"/>
      <c r="C22" s="2"/>
      <c r="D22" s="2"/>
    </row>
    <row r="23" spans="1:5" x14ac:dyDescent="0.2">
      <c r="A23" s="2"/>
      <c r="B23" s="2"/>
      <c r="C23" s="2"/>
      <c r="D23" s="2"/>
    </row>
    <row r="24" spans="1:5" x14ac:dyDescent="0.2">
      <c r="A24" s="2"/>
      <c r="B24" s="2"/>
      <c r="C24" s="2"/>
      <c r="D24" s="2"/>
    </row>
    <row r="25" spans="1:5" x14ac:dyDescent="0.2">
      <c r="A25" s="2"/>
      <c r="B25" s="2"/>
      <c r="C25" s="2"/>
      <c r="D25" s="2"/>
    </row>
    <row r="26" spans="1:5" x14ac:dyDescent="0.2">
      <c r="B26" s="2"/>
    </row>
    <row r="27" spans="1:5" x14ac:dyDescent="0.2">
      <c r="B27" s="2"/>
    </row>
    <row r="28" spans="1:5" x14ac:dyDescent="0.2">
      <c r="B28" s="2"/>
    </row>
    <row r="29" spans="1:5" x14ac:dyDescent="0.2">
      <c r="B29" s="2"/>
    </row>
    <row r="30" spans="1:5" x14ac:dyDescent="0.2">
      <c r="B30" s="2"/>
    </row>
    <row r="31" spans="1:5" x14ac:dyDescent="0.2">
      <c r="B31" s="2"/>
    </row>
    <row r="32" spans="1:5" x14ac:dyDescent="0.2">
      <c r="B32" s="2"/>
    </row>
  </sheetData>
  <phoneticPr fontId="7" type="noConversion"/>
  <pageMargins left="0.75" right="0.46" top="0.25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773D684-2253-45E0-AB27-0639802F522B}"/>
</file>

<file path=customXml/itemProps2.xml><?xml version="1.0" encoding="utf-8"?>
<ds:datastoreItem xmlns:ds="http://schemas.openxmlformats.org/officeDocument/2006/customXml" ds:itemID="{0357D398-0F76-4F3B-AB52-4598633882E2}"/>
</file>

<file path=customXml/itemProps3.xml><?xml version="1.0" encoding="utf-8"?>
<ds:datastoreItem xmlns:ds="http://schemas.openxmlformats.org/officeDocument/2006/customXml" ds:itemID="{EBC7FE37-32CA-46F2-92D0-3047D9DC8903}"/>
</file>

<file path=customXml/itemProps4.xml><?xml version="1.0" encoding="utf-8"?>
<ds:datastoreItem xmlns:ds="http://schemas.openxmlformats.org/officeDocument/2006/customXml" ds:itemID="{1B0B4BC2-C063-413B-B8DE-8D08D7628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Electric</vt:lpstr>
      <vt:lpstr>Gas</vt:lpstr>
      <vt:lpstr>Electric Summary</vt:lpstr>
      <vt:lpstr>Gas Summary</vt:lpstr>
      <vt:lpstr>Non-Union Wage Inc RS</vt:lpstr>
      <vt:lpstr>Union Wage Inc RS</vt:lpstr>
      <vt:lpstr>Union Wage Inc PR</vt:lpstr>
      <vt:lpstr>Non-Union Wage Inc PR</vt:lpstr>
      <vt:lpstr>Inv Plan from HR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NC</cp:lastModifiedBy>
  <cp:lastPrinted>2017-03-21T15:49:34Z</cp:lastPrinted>
  <dcterms:created xsi:type="dcterms:W3CDTF">2003-11-17T18:47:52Z</dcterms:created>
  <dcterms:modified xsi:type="dcterms:W3CDTF">2019-07-31T15:21:09Z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