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wrk\30_ava\3046-7 - UE-150204 2015 GRC\remand\dir\_wps\"/>
    </mc:Choice>
  </mc:AlternateContent>
  <xr:revisionPtr revIDLastSave="0" documentId="13_ncr:1_{64446CE6-B89C-4DD1-841C-F2BBA5D1A5B6}" xr6:coauthVersionLast="44" xr6:coauthVersionMax="44" xr10:uidLastSave="{00000000-0000-0000-0000-000000000000}"/>
  <bookViews>
    <workbookView xWindow="2670" yWindow="1380" windowWidth="24825" windowHeight="11685" xr2:uid="{00000000-000D-0000-FFFF-FFFF00000000}"/>
  </bookViews>
  <sheets>
    <sheet name="BGM-15" sheetId="10" r:id="rId1"/>
    <sheet name="BGM-16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Base1_Billing2" localSheetId="1">'[1]Pres &amp; Prop Rev'!$O$8</definedName>
    <definedName name="Base1_Billing2">'[2]Pres &amp; Prop Rev'!$N$8</definedName>
    <definedName name="_xlnm.Print_Area" localSheetId="0">'BGM-15'!$A$1:$K$28</definedName>
    <definedName name="_xlnm.Print_Area" localSheetId="1">'BGM-16'!$A$1:$K$25</definedName>
    <definedName name="SL_RateIncr">'[2]St Lts'!$AD$1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0" l="1"/>
  <c r="I13" i="9" l="1"/>
  <c r="D16" i="9"/>
  <c r="D13" i="9"/>
  <c r="D22" i="10"/>
  <c r="I22" i="10" l="1"/>
  <c r="I20" i="10"/>
  <c r="I18" i="10"/>
  <c r="I16" i="10"/>
  <c r="I14" i="10"/>
  <c r="I12" i="10"/>
  <c r="I15" i="9"/>
  <c r="I14" i="9"/>
  <c r="I12" i="9"/>
  <c r="I11" i="9"/>
  <c r="I17" i="9" l="1"/>
  <c r="I24" i="10" l="1"/>
  <c r="D15" i="9" l="1"/>
  <c r="D14" i="9" l="1"/>
  <c r="D11" i="9" l="1"/>
  <c r="D12" i="9" l="1"/>
  <c r="D17" i="9" l="1"/>
  <c r="E15" i="9" l="1"/>
  <c r="E14" i="9"/>
  <c r="E11" i="9"/>
  <c r="E12" i="9"/>
  <c r="E17" i="9" l="1"/>
  <c r="D18" i="10" l="1"/>
  <c r="D20" i="10" l="1"/>
  <c r="D16" i="10"/>
  <c r="D12" i="10" l="1"/>
  <c r="D14" i="10" l="1"/>
  <c r="D24" i="10" l="1"/>
  <c r="E14" i="10" s="1"/>
  <c r="F14" i="10" s="1"/>
  <c r="H14" i="10" s="1"/>
  <c r="J14" i="10" s="1"/>
  <c r="E22" i="10" l="1"/>
  <c r="F22" i="10" s="1"/>
  <c r="H22" i="10" s="1"/>
  <c r="J22" i="10" s="1"/>
  <c r="E18" i="10"/>
  <c r="F18" i="10" s="1"/>
  <c r="H18" i="10" s="1"/>
  <c r="J18" i="10" s="1"/>
  <c r="E20" i="10"/>
  <c r="F20" i="10" s="1"/>
  <c r="H20" i="10" s="1"/>
  <c r="J20" i="10" s="1"/>
  <c r="E16" i="10"/>
  <c r="F16" i="10" s="1"/>
  <c r="H16" i="10" s="1"/>
  <c r="J16" i="10" s="1"/>
  <c r="E12" i="10"/>
  <c r="F12" i="10" s="1"/>
  <c r="H12" i="10" s="1"/>
  <c r="J12" i="10" l="1"/>
  <c r="H24" i="10"/>
  <c r="F17" i="9" l="1"/>
  <c r="H17" i="9" l="1"/>
  <c r="F12" i="9"/>
  <c r="H12" i="9" s="1"/>
  <c r="J12" i="9" s="1"/>
  <c r="F11" i="9"/>
  <c r="H11" i="9" s="1"/>
  <c r="J11" i="9" s="1"/>
  <c r="F14" i="9"/>
  <c r="H14" i="9" s="1"/>
  <c r="J14" i="9" s="1"/>
  <c r="F15" i="9"/>
  <c r="H15" i="9" s="1"/>
  <c r="J15" i="9" s="1"/>
</calcChain>
</file>

<file path=xl/sharedStrings.xml><?xml version="1.0" encoding="utf-8"?>
<sst xmlns="http://schemas.openxmlformats.org/spreadsheetml/2006/main" count="112" uniqueCount="65">
  <si>
    <t>Refund</t>
  </si>
  <si>
    <t>Total</t>
  </si>
  <si>
    <t>(000s of Dollars)</t>
  </si>
  <si>
    <t>Proposed</t>
  </si>
  <si>
    <t>Line</t>
  </si>
  <si>
    <t>Type of</t>
  </si>
  <si>
    <t>Schedule</t>
  </si>
  <si>
    <t>No.</t>
  </si>
  <si>
    <t>Service</t>
  </si>
  <si>
    <t>Number</t>
  </si>
  <si>
    <t>(a)</t>
  </si>
  <si>
    <t>(b)</t>
  </si>
  <si>
    <t>(g)</t>
  </si>
  <si>
    <t>(h)</t>
  </si>
  <si>
    <t>(i)</t>
  </si>
  <si>
    <t>General Service</t>
  </si>
  <si>
    <t>101</t>
  </si>
  <si>
    <t>Large General Service</t>
  </si>
  <si>
    <t>111/112</t>
  </si>
  <si>
    <t>Large General Svc.-High Annual Load Factor</t>
  </si>
  <si>
    <t>121/122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</si>
  <si>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</si>
  <si>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</si>
  <si>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</si>
  <si>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</si>
  <si>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</si>
  <si>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</si>
  <si>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Therms</t>
  </si>
  <si>
    <t>41-48</t>
  </si>
  <si>
    <t>Street &amp; Area Lights</t>
  </si>
  <si>
    <t>30/31/32</t>
  </si>
  <si>
    <t>Pumping Service</t>
  </si>
  <si>
    <t>Extra Large General Service</t>
  </si>
  <si>
    <t>21/22</t>
  </si>
  <si>
    <t>11/12</t>
  </si>
  <si>
    <t>Residential</t>
  </si>
  <si>
    <t>Revenues</t>
  </si>
  <si>
    <t xml:space="preserve">% of </t>
  </si>
  <si>
    <t xml:space="preserve">Refund </t>
  </si>
  <si>
    <t>Allocation</t>
  </si>
  <si>
    <t>UE-190334</t>
  </si>
  <si>
    <t>kWH</t>
  </si>
  <si>
    <t>Initial</t>
  </si>
  <si>
    <t xml:space="preserve">Decoupling </t>
  </si>
  <si>
    <t>Adjustment</t>
  </si>
  <si>
    <t>Net</t>
  </si>
  <si>
    <t>Refund Rates</t>
  </si>
  <si>
    <t>Cents/lkWh</t>
  </si>
  <si>
    <t>% of</t>
  </si>
  <si>
    <t>Margin</t>
  </si>
  <si>
    <t>UG-190335</t>
  </si>
  <si>
    <t>Refund Rate</t>
  </si>
  <si>
    <t>Cents/Therm</t>
  </si>
  <si>
    <t>NA</t>
  </si>
  <si>
    <t>Proposed Allocation and Rate Design of Appeals Decision Rate Adjustment</t>
  </si>
  <si>
    <t>Avista 2015 General Rate Case</t>
  </si>
  <si>
    <t>Gas Services</t>
  </si>
  <si>
    <t>Base Revenues</t>
  </si>
  <si>
    <t>(Exh. No JDM-4)</t>
  </si>
  <si>
    <t>(c)</t>
  </si>
  <si>
    <t>(d)</t>
  </si>
  <si>
    <t>(e)</t>
  </si>
  <si>
    <t>(f)</t>
  </si>
  <si>
    <t>Margin Revenues</t>
  </si>
  <si>
    <t>(Exh. No JDM-7)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</si>
</sst>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0.0%"/>
    <numFmt numFmtId="166" formatCode="_(&quot;$&quot;* #,##0_);_(&quot;$&quot;* \(#,##0\);_(&quot;$&quot;* &quot;-&quot;??_);_(@_)"/>
    <numFmt numFmtId="167" formatCode="&quot;$&quot;#,##0.000_);\(&quot;$&quot;#,##0.000\)"/>
    <numFmt numFmtId="168" formatCode="&quot;$&quot;#,##0.00000_);\(&quot;$&quot;#,##0.00000\)"/>
    <numFmt numFmtId="169" formatCode="&quot;$&quot;#,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name val="Times New Roman"/>
      <family val="1"/>
    </font>
    <font>
      <sz val="10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4">
    <xf numFmtId="0" fontId="0" fillId="0" borderId="0" xfId="0"/>
    <xf numFmtId="5" fontId="3" fillId="0" borderId="0" xfId="3" applyNumberFormat="1" applyFont="1" applyAlignment="1">
      <alignment horizontal="left"/>
    </xf>
    <xf numFmtId="0" fontId="4" fillId="0" borderId="0" xfId="3" applyFont="1" applyAlignment="1">
      <alignment horizontal="centerContinuous"/>
    </xf>
    <xf numFmtId="0" fontId="4" fillId="0" borderId="0" xfId="3" applyFont="1" applyAlignment="1">
      <alignment horizontal="center"/>
    </xf>
    <xf numFmtId="0" fontId="4" fillId="0" borderId="0" xfId="3" applyFont="1" applyAlignment="1">
      <alignment vertical="top" wrapText="1"/>
    </xf>
    <xf numFmtId="5" fontId="4" fillId="0" borderId="0" xfId="3" applyNumberFormat="1" applyFont="1" applyAlignment="1">
      <alignment horizontal="left"/>
    </xf>
    <xf numFmtId="0" fontId="4" fillId="0" borderId="0" xfId="3" applyFont="1"/>
    <xf numFmtId="0" fontId="4" fillId="0" borderId="0" xfId="3" applyFont="1" applyFill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0" xfId="3" quotePrefix="1" applyFont="1" applyAlignment="1">
      <alignment horizontal="center"/>
    </xf>
    <xf numFmtId="41" fontId="4" fillId="0" borderId="0" xfId="3" applyNumberFormat="1" applyFont="1" applyAlignment="1">
      <alignment horizontal="center"/>
    </xf>
    <xf numFmtId="9" fontId="4" fillId="0" borderId="0" xfId="3" applyNumberFormat="1" applyFont="1"/>
    <xf numFmtId="41" fontId="4" fillId="0" borderId="0" xfId="3" applyNumberFormat="1" applyFont="1"/>
    <xf numFmtId="43" fontId="4" fillId="0" borderId="0" xfId="3" applyNumberFormat="1" applyFont="1"/>
    <xf numFmtId="0" fontId="4" fillId="0" borderId="0" xfId="3" applyFont="1" applyAlignment="1">
      <alignment wrapText="1"/>
    </xf>
    <xf numFmtId="9" fontId="4" fillId="0" borderId="0" xfId="3" applyNumberFormat="1" applyFont="1" applyAlignment="1">
      <alignment horizontal="right"/>
    </xf>
    <xf numFmtId="41" fontId="4" fillId="0" borderId="1" xfId="3" applyNumberFormat="1" applyFont="1" applyBorder="1" applyAlignment="1">
      <alignment horizontal="center"/>
    </xf>
    <xf numFmtId="9" fontId="4" fillId="0" borderId="1" xfId="3" applyNumberFormat="1" applyFont="1" applyBorder="1" applyAlignment="1">
      <alignment horizontal="right"/>
    </xf>
    <xf numFmtId="0" fontId="4" fillId="0" borderId="0" xfId="3" applyFont="1" applyAlignment="1">
      <alignment horizontal="left" indent="3"/>
    </xf>
    <xf numFmtId="0" fontId="4" fillId="0" borderId="0" xfId="3" applyFont="1" applyAlignment="1">
      <alignment horizontal="left" indent="1"/>
    </xf>
    <xf numFmtId="0" fontId="3" fillId="0" borderId="0" xfId="3" applyFont="1"/>
    <xf numFmtId="9" fontId="4" fillId="0" borderId="0" xfId="3" applyNumberFormat="1" applyFont="1" applyBorder="1" applyAlignment="1">
      <alignment horizontal="right"/>
    </xf>
    <xf numFmtId="41" fontId="4" fillId="0" borderId="0" xfId="3" applyNumberFormat="1" applyFont="1" applyBorder="1"/>
    <xf numFmtId="5" fontId="4" fillId="0" borderId="0" xfId="5" applyNumberFormat="1" applyFont="1"/>
    <xf numFmtId="5" fontId="4" fillId="0" borderId="1" xfId="5" applyNumberFormat="1" applyFont="1" applyBorder="1"/>
    <xf numFmtId="0" fontId="4" fillId="0" borderId="0" xfId="3" applyFont="1" applyBorder="1"/>
    <xf numFmtId="165" fontId="4" fillId="0" borderId="0" xfId="3" applyNumberFormat="1" applyFont="1"/>
    <xf numFmtId="165" fontId="4" fillId="0" borderId="0" xfId="3" applyNumberFormat="1" applyFont="1" applyBorder="1" applyAlignment="1">
      <alignment horizontal="right"/>
    </xf>
    <xf numFmtId="5" fontId="3" fillId="0" borderId="0" xfId="3" applyNumberFormat="1" applyFont="1" applyAlignment="1"/>
    <xf numFmtId="0" fontId="3" fillId="0" borderId="0" xfId="3" applyFont="1" applyAlignment="1">
      <alignment horizontal="center"/>
    </xf>
    <xf numFmtId="5" fontId="4" fillId="0" borderId="0" xfId="3" applyNumberFormat="1" applyFont="1" applyAlignment="1">
      <alignment horizontal="center"/>
    </xf>
    <xf numFmtId="5" fontId="4" fillId="0" borderId="0" xfId="3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5" fontId="4" fillId="0" borderId="1" xfId="3" applyNumberFormat="1" applyFont="1" applyFill="1" applyBorder="1" applyAlignment="1">
      <alignment horizontal="center"/>
    </xf>
    <xf numFmtId="0" fontId="4" fillId="0" borderId="0" xfId="3" applyFont="1" applyFill="1" applyBorder="1"/>
    <xf numFmtId="0" fontId="3" fillId="0" borderId="0" xfId="3" applyFont="1" applyFill="1" applyBorder="1"/>
    <xf numFmtId="165" fontId="4" fillId="0" borderId="0" xfId="1" applyNumberFormat="1" applyFont="1" applyFill="1" applyBorder="1" applyAlignment="1">
      <alignment horizontal="center"/>
    </xf>
    <xf numFmtId="41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/>
    <xf numFmtId="165" fontId="3" fillId="0" borderId="0" xfId="3" applyNumberFormat="1" applyFont="1" applyFill="1" applyBorder="1"/>
    <xf numFmtId="5" fontId="4" fillId="0" borderId="0" xfId="3" applyNumberFormat="1" applyFont="1" applyFill="1" applyBorder="1"/>
    <xf numFmtId="5" fontId="4" fillId="0" borderId="0" xfId="1" applyNumberFormat="1" applyFont="1" applyAlignment="1">
      <alignment horizontal="center"/>
    </xf>
    <xf numFmtId="165" fontId="4" fillId="0" borderId="0" xfId="3" applyNumberFormat="1" applyFont="1" applyAlignment="1">
      <alignment horizontal="center"/>
    </xf>
    <xf numFmtId="5" fontId="4" fillId="0" borderId="0" xfId="3" applyNumberFormat="1" applyFont="1"/>
    <xf numFmtId="165" fontId="3" fillId="0" borderId="0" xfId="3" applyNumberFormat="1" applyFont="1"/>
    <xf numFmtId="16" fontId="4" fillId="0" borderId="0" xfId="3" quotePrefix="1" applyNumberFormat="1" applyFont="1" applyAlignment="1">
      <alignment horizontal="center"/>
    </xf>
    <xf numFmtId="41" fontId="4" fillId="0" borderId="0" xfId="3" applyNumberFormat="1" applyFont="1" applyAlignment="1">
      <alignment horizontal="right"/>
    </xf>
    <xf numFmtId="5" fontId="4" fillId="0" borderId="1" xfId="3" applyNumberFormat="1" applyFont="1" applyBorder="1" applyAlignment="1">
      <alignment horizontal="center"/>
    </xf>
    <xf numFmtId="5" fontId="6" fillId="0" borderId="0" xfId="3" applyNumberFormat="1" applyFont="1" applyAlignment="1">
      <alignment horizontal="center"/>
    </xf>
    <xf numFmtId="169" fontId="4" fillId="0" borderId="0" xfId="3" applyNumberFormat="1" applyFont="1" applyAlignment="1">
      <alignment horizontal="center"/>
    </xf>
    <xf numFmtId="169" fontId="4" fillId="0" borderId="0" xfId="3" applyNumberFormat="1" applyFont="1"/>
    <xf numFmtId="41" fontId="3" fillId="0" borderId="0" xfId="3" applyNumberFormat="1" applyFont="1" applyAlignment="1">
      <alignment horizontal="center"/>
    </xf>
    <xf numFmtId="165" fontId="4" fillId="0" borderId="0" xfId="5" applyNumberFormat="1" applyFont="1"/>
    <xf numFmtId="166" fontId="7" fillId="0" borderId="0" xfId="4" applyNumberFormat="1" applyFont="1"/>
    <xf numFmtId="167" fontId="4" fillId="0" borderId="0" xfId="3" applyNumberFormat="1" applyFont="1"/>
    <xf numFmtId="168" fontId="4" fillId="0" borderId="0" xfId="3" applyNumberFormat="1" applyFont="1"/>
    <xf numFmtId="7" fontId="4" fillId="0" borderId="0" xfId="3" applyNumberFormat="1" applyFont="1"/>
    <xf numFmtId="10" fontId="4" fillId="0" borderId="0" xfId="5" applyNumberFormat="1" applyFont="1"/>
    <xf numFmtId="0" fontId="3" fillId="0" borderId="0" xfId="3" applyFont="1" applyAlignment="1">
      <alignment horizontal="right"/>
    </xf>
    <xf numFmtId="43" fontId="4" fillId="0" borderId="0" xfId="6" applyFont="1" applyBorder="1" applyAlignment="1">
      <alignment horizontal="right"/>
    </xf>
    <xf numFmtId="5" fontId="4" fillId="0" borderId="0" xfId="5" applyNumberFormat="1" applyFont="1" applyAlignment="1">
      <alignment horizontal="right"/>
    </xf>
    <xf numFmtId="5" fontId="4" fillId="0" borderId="1" xfId="5" applyNumberFormat="1" applyFont="1" applyBorder="1" applyAlignment="1">
      <alignment horizontal="right"/>
    </xf>
    <xf numFmtId="0" fontId="4" fillId="0" borderId="0" xfId="3" applyFont="1" applyAlignment="1">
      <alignment vertical="top" wrapText="1"/>
    </xf>
  </cellXfs>
  <cellStyles count="7">
    <cellStyle name="Comma" xfId="6" builtinId="3"/>
    <cellStyle name="Comma 2" xfId="2" xr:uid="{53F309E1-BDD7-4FFC-BBA1-91394A25DC2B}"/>
    <cellStyle name="Currency 2" xfId="4" xr:uid="{BF4271D0-444C-4D6A-86DC-5D0BD2D4DAE4}"/>
    <cellStyle name="Normal" xfId="0" builtinId="0"/>
    <cellStyle name="Normal 2" xfId="1" xr:uid="{AA5DBA99-0509-45F9-84FB-04AD6D6D4262}"/>
    <cellStyle name="Normal 3" xfId="3" xr:uid="{8E4CED6E-5EF6-4863-8661-C7A3834B13BB}"/>
    <cellStyle name="Percent 2" xfId="5" xr:uid="{89A8B2CF-9F60-4FCC-90BF-31F7F531EE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7%20-%20UE-150204%202015%20GRC/filing/3.%20UE__AVA%20WP's%20(Feb2015)/Q.%20UE__Ehrbar%20Workpapers%20(AVA-Feb2015)/Ehrbar%20Natural%20Gas%20Workpaper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7%20-%20UE-150204%202015%20GRC/filing/3.%20UE__AVA%20WP's%20(Feb2015)/Q.%20UE__Ehrbar%20Workpapers%20(AVA-Feb2015)/Ehrbar%20Electric%20Workpaper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12-2020GRC/init/3.%20UE_AVA%20WP's%20(Apr19)/12.%20UE__Miller%20WP(AVA-Apr19)/Electronic/RS-RD/Miller%20Electric%20RS-RD%20Workpaper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xh.%20No.%20BGM-7T%20Workpaper%20-%20Tables%20and%20Interest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12-2020GRC/init/3.%20UE_AVA%20WP's%20(Apr19)/12.%20UE__Miller%20WP(AVA-Apr19)/Electronic/RS-RD/Miller%20Natural%20Gas%20RS-RD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1"/>
      <sheetName val="Exh2"/>
      <sheetName val="Exh3"/>
      <sheetName val="ROR"/>
      <sheetName val="BFG"/>
      <sheetName val="Bill Impact"/>
      <sheetName val="Bill Determ"/>
      <sheetName val="Block Usage"/>
      <sheetName val="Big Schedules"/>
      <sheetName val="Rev Runs CY"/>
    </sheetNames>
    <sheetDataSet>
      <sheetData sheetId="0">
        <row r="8">
          <cell r="O8">
            <v>1</v>
          </cell>
        </row>
      </sheetData>
      <sheetData sheetId="1" refreshError="1"/>
      <sheetData sheetId="2"/>
      <sheetData sheetId="3" refreshError="1"/>
      <sheetData sheetId="4">
        <row r="15">
          <cell r="E15">
            <v>0.52688000000000001</v>
          </cell>
        </row>
      </sheetData>
      <sheetData sheetId="5" refreshError="1"/>
      <sheetData sheetId="6" refreshError="1"/>
      <sheetData sheetId="7" refreshError="1"/>
      <sheetData sheetId="8">
        <row r="7">
          <cell r="G7">
            <v>123080841</v>
          </cell>
        </row>
      </sheetData>
      <sheetData sheetId="9">
        <row r="17">
          <cell r="O17">
            <v>73705663.25597468</v>
          </cell>
        </row>
      </sheetData>
      <sheetData sheetId="10">
        <row r="44">
          <cell r="P44">
            <v>7902777</v>
          </cell>
        </row>
      </sheetData>
      <sheetData sheetId="11">
        <row r="12">
          <cell r="O12">
            <v>148995.25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2"/>
      <sheetName val="Exh 3"/>
      <sheetName val="Adder Schedule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SEPT2014"/>
    </sheetNames>
    <sheetDataSet>
      <sheetData sheetId="0">
        <row r="8">
          <cell r="N8">
            <v>1</v>
          </cell>
        </row>
      </sheetData>
      <sheetData sheetId="1" refreshError="1"/>
      <sheetData sheetId="2" refreshError="1"/>
      <sheetData sheetId="3" refreshError="1"/>
      <sheetData sheetId="4">
        <row r="11">
          <cell r="H11" t="e">
            <v>#DIV/0!</v>
          </cell>
        </row>
      </sheetData>
      <sheetData sheetId="5" refreshError="1"/>
      <sheetData sheetId="6" refreshError="1"/>
      <sheetData sheetId="7" refreshError="1"/>
      <sheetData sheetId="8">
        <row r="25">
          <cell r="Q25">
            <v>126000000</v>
          </cell>
        </row>
      </sheetData>
      <sheetData sheetId="9" refreshError="1"/>
      <sheetData sheetId="10"/>
      <sheetData sheetId="11" refreshError="1"/>
      <sheetData sheetId="12" refreshError="1"/>
      <sheetData sheetId="13">
        <row r="21">
          <cell r="O21">
            <v>1562090323.9480615</v>
          </cell>
        </row>
      </sheetData>
      <sheetData sheetId="14">
        <row r="11">
          <cell r="P11">
            <v>205172.25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xh 4"/>
      <sheetName val="Exh 5"/>
      <sheetName val="ROR"/>
      <sheetName val="Rate Spread GRC"/>
      <sheetName val="Bill Determ"/>
      <sheetName val="Misc Adj"/>
      <sheetName val="Bill Impact"/>
      <sheetName val="WA Sch 25"/>
      <sheetName val="Lighting summary"/>
      <sheetName val="St Lts"/>
      <sheetName val="Area Lts"/>
      <sheetName val="Capital Recovery Factor Calc"/>
      <sheetName val="Sch46"/>
      <sheetName val="Block Data"/>
      <sheetName val="REVRUNS 12ME1218"/>
    </sheetNames>
    <sheetDataSet>
      <sheetData sheetId="0">
        <row r="46">
          <cell r="D46">
            <v>2374703688.5802503</v>
          </cell>
          <cell r="E46">
            <v>619305952.10904014</v>
          </cell>
          <cell r="F46">
            <v>1365904624.1300001</v>
          </cell>
          <cell r="G46">
            <v>1113564011.698</v>
          </cell>
          <cell r="H46">
            <v>145822517.44201002</v>
          </cell>
          <cell r="I46">
            <v>18542031.540509999</v>
          </cell>
        </row>
      </sheetData>
      <sheetData sheetId="1"/>
      <sheetData sheetId="2">
        <row r="16">
          <cell r="D16">
            <v>216074.59747000004</v>
          </cell>
        </row>
        <row r="18">
          <cell r="D18">
            <v>75060.953438333352</v>
          </cell>
        </row>
        <row r="20">
          <cell r="D20">
            <v>125677.26809166667</v>
          </cell>
        </row>
        <row r="22">
          <cell r="D22">
            <v>66743.707566132012</v>
          </cell>
        </row>
        <row r="24">
          <cell r="D24">
            <v>12038.755110000002</v>
          </cell>
        </row>
        <row r="26">
          <cell r="D26">
            <v>6424.0192802760002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- AWEC Recommendation"/>
      <sheetName val="Tables 2 and 3 - Rate Base Comp"/>
      <sheetName val="Table 4 - Interest Rates"/>
      <sheetName val="Electric Interest Calculation"/>
      <sheetName val="Gas Interest Calculation"/>
    </sheetNames>
    <sheetDataSet>
      <sheetData sheetId="0">
        <row r="18">
          <cell r="N18">
            <v>-57809.98559871727</v>
          </cell>
        </row>
        <row r="32">
          <cell r="N32">
            <v>-19222.861073605574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1"/>
      <sheetName val="Exh2"/>
      <sheetName val="Exh3"/>
      <sheetName val="Exh4"/>
      <sheetName val="Exh5"/>
      <sheetName val="ROR"/>
      <sheetName val="BFG"/>
      <sheetName val="Rate Spread"/>
      <sheetName val="Bill Impact"/>
      <sheetName val="Bill Determ"/>
      <sheetName val="Block Usage"/>
      <sheetName val="Big Schedules"/>
      <sheetName val="12MEDEC18"/>
      <sheetName val="121 to 111"/>
      <sheetName val="Sch 111 Rate Design"/>
    </sheetNames>
    <sheetDataSet>
      <sheetData sheetId="0">
        <row r="46">
          <cell r="D46">
            <v>128985980.09020999</v>
          </cell>
          <cell r="E46">
            <v>55884877.126180045</v>
          </cell>
          <cell r="F46">
            <v>0</v>
          </cell>
          <cell r="G46">
            <v>985267</v>
          </cell>
          <cell r="H46">
            <v>35607936</v>
          </cell>
        </row>
      </sheetData>
      <sheetData sheetId="1"/>
      <sheetData sheetId="2">
        <row r="14">
          <cell r="D14">
            <v>71132.162639999995</v>
          </cell>
        </row>
        <row r="15">
          <cell r="D15">
            <v>17418.31235</v>
          </cell>
        </row>
        <row r="16">
          <cell r="D16">
            <v>0</v>
          </cell>
        </row>
        <row r="17">
          <cell r="D17">
            <v>201.03106</v>
          </cell>
        </row>
        <row r="18">
          <cell r="D18">
            <v>3235.6129826000001</v>
          </cell>
        </row>
        <row r="19">
          <cell r="D19">
            <v>1719.7288500000002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6EEB-7777-49B9-8C38-B1A450AB89A9}">
  <sheetPr codeName="Sheet18">
    <tabColor rgb="FF92D050"/>
    <pageSetUpPr fitToPage="1"/>
  </sheetPr>
  <dimension ref="A1:Q37"/>
  <sheetViews>
    <sheetView showGridLines="0" tabSelected="1" zoomScaleNormal="100" zoomScaleSheetLayoutView="85" workbookViewId="0"/>
  </sheetViews>
  <sheetFormatPr defaultColWidth="11.42578125" defaultRowHeight="12.75" x14ac:dyDescent="0.2"/>
  <cols>
    <col min="1" max="1" width="5" style="3" customWidth="1"/>
    <col min="2" max="2" width="23.85546875" style="6" customWidth="1"/>
    <col min="3" max="3" width="8.85546875" style="3" customWidth="1"/>
    <col min="4" max="10" width="16.5703125" style="6" customWidth="1"/>
    <col min="11" max="11" width="4.5703125" style="21" customWidth="1"/>
    <col min="12" max="12" width="9.28515625" style="6" bestFit="1" customWidth="1"/>
    <col min="13" max="13" width="1.7109375" style="6" customWidth="1"/>
    <col min="14" max="14" width="11.42578125" style="6" customWidth="1"/>
    <col min="15" max="15" width="13.42578125" style="6" customWidth="1"/>
    <col min="16" max="16384" width="11.42578125" style="6"/>
  </cols>
  <sheetData>
    <row r="1" spans="1:17" s="3" customFormat="1" x14ac:dyDescent="0.2">
      <c r="A1" s="1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"/>
      <c r="O1" s="63"/>
      <c r="P1" s="63"/>
    </row>
    <row r="2" spans="1:17" s="3" customFormat="1" x14ac:dyDescent="0.2">
      <c r="A2" s="5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6"/>
      <c r="O2" s="63"/>
      <c r="P2" s="63"/>
    </row>
    <row r="3" spans="1:17" s="3" customFormat="1" x14ac:dyDescent="0.2">
      <c r="A3" s="5" t="s">
        <v>54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6"/>
      <c r="O3" s="63"/>
      <c r="P3" s="63"/>
    </row>
    <row r="4" spans="1:17" s="3" customFormat="1" x14ac:dyDescent="0.2">
      <c r="A4" s="5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6"/>
    </row>
    <row r="5" spans="1:17" s="3" customFormat="1" x14ac:dyDescent="0.2">
      <c r="C5" s="6"/>
      <c r="L5" s="30"/>
      <c r="M5" s="6"/>
    </row>
    <row r="6" spans="1:17" s="3" customFormat="1" x14ac:dyDescent="0.2">
      <c r="D6" s="7"/>
      <c r="F6" s="30"/>
      <c r="G6" s="30"/>
      <c r="H6" s="30"/>
      <c r="I6" s="30"/>
      <c r="L6" s="30"/>
      <c r="M6" s="6"/>
      <c r="P6" s="30"/>
    </row>
    <row r="7" spans="1:17" s="3" customFormat="1" x14ac:dyDescent="0.2">
      <c r="D7" s="7" t="s">
        <v>40</v>
      </c>
      <c r="E7" s="31"/>
      <c r="F7" s="3" t="s">
        <v>42</v>
      </c>
      <c r="H7" s="3" t="s">
        <v>45</v>
      </c>
      <c r="J7" s="3" t="s">
        <v>3</v>
      </c>
      <c r="K7" s="31"/>
      <c r="L7" s="30"/>
      <c r="P7" s="30"/>
    </row>
    <row r="8" spans="1:17" s="7" customFormat="1" x14ac:dyDescent="0.2">
      <c r="A8" s="3"/>
      <c r="B8" s="3" t="s">
        <v>5</v>
      </c>
      <c r="C8" s="3" t="s">
        <v>6</v>
      </c>
      <c r="D8" s="3" t="s">
        <v>57</v>
      </c>
      <c r="E8" s="32" t="s">
        <v>37</v>
      </c>
      <c r="F8" s="7" t="s">
        <v>38</v>
      </c>
      <c r="G8" s="7" t="s">
        <v>43</v>
      </c>
      <c r="H8" s="7" t="s">
        <v>0</v>
      </c>
      <c r="I8" s="7" t="s">
        <v>40</v>
      </c>
      <c r="J8" s="7" t="s">
        <v>46</v>
      </c>
      <c r="K8" s="32"/>
      <c r="L8" s="33"/>
      <c r="P8" s="33"/>
    </row>
    <row r="9" spans="1:17" s="7" customFormat="1" x14ac:dyDescent="0.2">
      <c r="A9" s="8" t="s">
        <v>7</v>
      </c>
      <c r="B9" s="8" t="s">
        <v>8</v>
      </c>
      <c r="C9" s="8" t="s">
        <v>9</v>
      </c>
      <c r="D9" s="8" t="s">
        <v>58</v>
      </c>
      <c r="E9" s="34" t="s">
        <v>36</v>
      </c>
      <c r="F9" s="9" t="s">
        <v>39</v>
      </c>
      <c r="G9" s="9" t="s">
        <v>44</v>
      </c>
      <c r="H9" s="9" t="s">
        <v>39</v>
      </c>
      <c r="I9" s="9" t="s">
        <v>41</v>
      </c>
      <c r="J9" s="9" t="s">
        <v>47</v>
      </c>
      <c r="L9" s="33"/>
      <c r="M9" s="35"/>
      <c r="P9" s="33"/>
    </row>
    <row r="10" spans="1:17" s="7" customFormat="1" x14ac:dyDescent="0.2">
      <c r="A10" s="3"/>
      <c r="B10" s="3" t="s">
        <v>10</v>
      </c>
      <c r="C10" s="3" t="s">
        <v>11</v>
      </c>
      <c r="D10" s="3" t="s">
        <v>59</v>
      </c>
      <c r="E10" s="7" t="s">
        <v>60</v>
      </c>
      <c r="F10" s="7" t="s">
        <v>61</v>
      </c>
      <c r="G10" s="7" t="s">
        <v>62</v>
      </c>
      <c r="H10" s="7" t="s">
        <v>12</v>
      </c>
      <c r="I10" s="7" t="s">
        <v>13</v>
      </c>
      <c r="J10" s="7" t="s">
        <v>14</v>
      </c>
      <c r="L10" s="33"/>
      <c r="M10" s="35"/>
      <c r="N10" s="35"/>
    </row>
    <row r="11" spans="1:17" s="35" customFormat="1" x14ac:dyDescent="0.2">
      <c r="A11" s="3"/>
      <c r="B11" s="6"/>
      <c r="C11" s="3"/>
      <c r="D11" s="6"/>
      <c r="L11" s="36"/>
    </row>
    <row r="12" spans="1:17" s="35" customFormat="1" x14ac:dyDescent="0.2">
      <c r="A12" s="3">
        <v>1</v>
      </c>
      <c r="B12" s="6" t="s">
        <v>35</v>
      </c>
      <c r="C12" s="3">
        <v>1</v>
      </c>
      <c r="D12" s="31">
        <f>+'[3]Exh 1'!$D$16</f>
        <v>216074.59747000004</v>
      </c>
      <c r="E12" s="37">
        <f>+D12/$D$24</f>
        <v>0.43041093650851969</v>
      </c>
      <c r="F12" s="31">
        <f>+E12*$F$24</f>
        <v>-24882.050041087936</v>
      </c>
      <c r="G12" s="11">
        <v>0</v>
      </c>
      <c r="H12" s="31">
        <f>+F12+G12</f>
        <v>-24882.050041087936</v>
      </c>
      <c r="I12" s="38">
        <f>+'[3]Pres &amp; Prop Rev'!$D$46</f>
        <v>2374703688.5802503</v>
      </c>
      <c r="J12" s="39">
        <f>+H12*1000/I12*100</f>
        <v>-1.0477959907479664</v>
      </c>
      <c r="K12" s="32"/>
      <c r="L12" s="40"/>
      <c r="P12" s="40"/>
      <c r="Q12" s="41"/>
    </row>
    <row r="13" spans="1:17" x14ac:dyDescent="0.2">
      <c r="D13" s="31"/>
      <c r="E13" s="42"/>
      <c r="F13" s="31"/>
      <c r="G13" s="43"/>
      <c r="H13" s="31"/>
      <c r="I13" s="11"/>
      <c r="J13" s="44"/>
      <c r="K13" s="31"/>
      <c r="L13" s="45"/>
    </row>
    <row r="14" spans="1:17" x14ac:dyDescent="0.2">
      <c r="A14" s="3">
        <v>2</v>
      </c>
      <c r="B14" s="6" t="s">
        <v>15</v>
      </c>
      <c r="C14" s="46" t="s">
        <v>34</v>
      </c>
      <c r="D14" s="31">
        <f>+'[3]Exh 1'!$D$18</f>
        <v>75060.953438333352</v>
      </c>
      <c r="E14" s="37">
        <f>+D14/$D$24</f>
        <v>0.14951806294166989</v>
      </c>
      <c r="F14" s="31">
        <f>+E14*$F$24</f>
        <v>-8643.6370654060393</v>
      </c>
      <c r="G14" s="11">
        <v>0</v>
      </c>
      <c r="H14" s="31">
        <f>+F14+G14</f>
        <v>-8643.6370654060393</v>
      </c>
      <c r="I14" s="11">
        <f>+'[3]Pres &amp; Prop Rev'!$E$46</f>
        <v>619305952.10904014</v>
      </c>
      <c r="J14" s="39">
        <f>+H14*1000/I14*100</f>
        <v>-1.3956973989948298</v>
      </c>
      <c r="K14" s="31"/>
      <c r="L14" s="45"/>
      <c r="P14" s="45"/>
      <c r="Q14" s="44"/>
    </row>
    <row r="15" spans="1:17" x14ac:dyDescent="0.2">
      <c r="D15" s="31"/>
      <c r="E15" s="42"/>
      <c r="F15" s="31"/>
      <c r="G15" s="43"/>
      <c r="H15" s="31"/>
      <c r="I15" s="11"/>
      <c r="J15" s="44"/>
      <c r="K15" s="31"/>
      <c r="L15" s="45"/>
    </row>
    <row r="16" spans="1:17" x14ac:dyDescent="0.2">
      <c r="A16" s="3">
        <v>3</v>
      </c>
      <c r="B16" s="6" t="s">
        <v>17</v>
      </c>
      <c r="C16" s="10" t="s">
        <v>33</v>
      </c>
      <c r="D16" s="31">
        <f>+'[3]Exh 1'!$D$20</f>
        <v>125677.26809166667</v>
      </c>
      <c r="E16" s="37">
        <f>+D16/$D$24</f>
        <v>0.25034349845162551</v>
      </c>
      <c r="F16" s="31">
        <f>+E16*$F$24</f>
        <v>-14472.354040220971</v>
      </c>
      <c r="G16" s="11">
        <v>0</v>
      </c>
      <c r="H16" s="31">
        <f>+F16+G16</f>
        <v>-14472.354040220971</v>
      </c>
      <c r="I16" s="11">
        <f>+'[3]Pres &amp; Prop Rev'!$F$46</f>
        <v>1365904624.1300001</v>
      </c>
      <c r="J16" s="39">
        <f>+H16*1000/I16*100</f>
        <v>-1.059543527750995</v>
      </c>
      <c r="K16" s="31"/>
      <c r="L16" s="45"/>
      <c r="P16" s="45"/>
      <c r="Q16" s="44"/>
    </row>
    <row r="17" spans="1:17" x14ac:dyDescent="0.2">
      <c r="D17" s="31"/>
      <c r="E17" s="42"/>
      <c r="F17" s="31"/>
      <c r="G17" s="43"/>
      <c r="H17" s="31"/>
      <c r="I17" s="11"/>
      <c r="J17" s="44"/>
      <c r="K17" s="31"/>
      <c r="L17" s="45"/>
    </row>
    <row r="18" spans="1:17" x14ac:dyDescent="0.2">
      <c r="A18" s="3">
        <v>4</v>
      </c>
      <c r="B18" s="6" t="s">
        <v>32</v>
      </c>
      <c r="C18" s="3">
        <v>25</v>
      </c>
      <c r="D18" s="31">
        <f>+'[3]Exh 1'!$D$22</f>
        <v>66743.707566132012</v>
      </c>
      <c r="E18" s="37">
        <f>+D18/$D$24</f>
        <v>0.13295048106512455</v>
      </c>
      <c r="F18" s="31">
        <f>+E18*$F$24</f>
        <v>-7685.8653957173838</v>
      </c>
      <c r="G18" s="47" t="s">
        <v>53</v>
      </c>
      <c r="H18" s="31">
        <f>+F18</f>
        <v>-7685.8653957173838</v>
      </c>
      <c r="I18" s="11">
        <f>+'[3]Pres &amp; Prop Rev'!$G$46</f>
        <v>1113564011.698</v>
      </c>
      <c r="J18" s="39">
        <f>+H18*1000/I18*100</f>
        <v>-0.69020418359225855</v>
      </c>
      <c r="K18" s="31"/>
      <c r="L18" s="45"/>
      <c r="P18" s="45"/>
      <c r="Q18" s="44"/>
    </row>
    <row r="19" spans="1:17" x14ac:dyDescent="0.2">
      <c r="D19" s="31"/>
      <c r="E19" s="42"/>
      <c r="F19" s="31"/>
      <c r="G19" s="43"/>
      <c r="H19" s="31"/>
      <c r="I19" s="11"/>
      <c r="J19" s="44"/>
      <c r="K19" s="31"/>
      <c r="L19" s="45"/>
    </row>
    <row r="20" spans="1:17" x14ac:dyDescent="0.2">
      <c r="A20" s="3">
        <v>5</v>
      </c>
      <c r="B20" s="6" t="s">
        <v>31</v>
      </c>
      <c r="C20" s="10" t="s">
        <v>30</v>
      </c>
      <c r="D20" s="31">
        <f>+'[3]Exh 1'!$D$24</f>
        <v>12038.755110000002</v>
      </c>
      <c r="E20" s="37">
        <f>+D20/$D$24</f>
        <v>2.3980661873088747E-2</v>
      </c>
      <c r="F20" s="31">
        <f>+E20*$F$24</f>
        <v>-1386.3217175309687</v>
      </c>
      <c r="G20" s="11">
        <v>0</v>
      </c>
      <c r="H20" s="31">
        <f>+F20+G20</f>
        <v>-1386.3217175309687</v>
      </c>
      <c r="I20" s="11">
        <f>+'[3]Pres &amp; Prop Rev'!$H$46</f>
        <v>145822517.44201002</v>
      </c>
      <c r="J20" s="39">
        <f>+H20*1000/I20*100</f>
        <v>-0.95069111537062467</v>
      </c>
      <c r="K20" s="31"/>
      <c r="L20" s="45"/>
      <c r="P20" s="45"/>
      <c r="Q20" s="44"/>
    </row>
    <row r="21" spans="1:17" x14ac:dyDescent="0.2">
      <c r="D21" s="31"/>
      <c r="E21" s="42"/>
      <c r="F21" s="31"/>
      <c r="G21" s="43"/>
      <c r="H21" s="31"/>
      <c r="I21" s="11"/>
      <c r="J21" s="44"/>
      <c r="K21" s="31"/>
      <c r="L21" s="45"/>
    </row>
    <row r="22" spans="1:17" x14ac:dyDescent="0.2">
      <c r="A22" s="3">
        <v>6</v>
      </c>
      <c r="B22" s="6" t="s">
        <v>29</v>
      </c>
      <c r="C22" s="3" t="s">
        <v>28</v>
      </c>
      <c r="D22" s="48">
        <f>+'[3]Exh 1'!$D$26</f>
        <v>6424.0192802760002</v>
      </c>
      <c r="E22" s="37">
        <f>+D22/$D$24</f>
        <v>1.2796359159971455E-2</v>
      </c>
      <c r="F22" s="48">
        <f>+E22*$F$24</f>
        <v>-739.75733875396361</v>
      </c>
      <c r="G22" s="47" t="s">
        <v>53</v>
      </c>
      <c r="H22" s="48">
        <f>+F22</f>
        <v>-739.75733875396361</v>
      </c>
      <c r="I22" s="17">
        <f>+'[3]Pres &amp; Prop Rev'!$I$46</f>
        <v>18542031.540509999</v>
      </c>
      <c r="J22" s="39">
        <f>+H22*1000/I22*100</f>
        <v>-3.9896239909729792</v>
      </c>
      <c r="K22" s="49"/>
      <c r="L22" s="45"/>
      <c r="P22" s="45"/>
      <c r="Q22" s="44"/>
    </row>
    <row r="23" spans="1:17" x14ac:dyDescent="0.2">
      <c r="D23" s="50"/>
      <c r="E23" s="42"/>
      <c r="F23" s="50"/>
      <c r="G23" s="43"/>
      <c r="H23" s="50"/>
      <c r="I23" s="11"/>
      <c r="J23" s="51"/>
      <c r="K23" s="31"/>
      <c r="L23" s="45"/>
    </row>
    <row r="24" spans="1:17" x14ac:dyDescent="0.2">
      <c r="A24" s="3">
        <v>7</v>
      </c>
      <c r="B24" s="19" t="s">
        <v>1</v>
      </c>
      <c r="D24" s="31">
        <f>SUM(D12:D22)</f>
        <v>502019.30095640814</v>
      </c>
      <c r="E24" s="42"/>
      <c r="F24" s="31">
        <f>+'[4]Table 1 - AWEC Recommendation'!$N$18</f>
        <v>-57809.98559871727</v>
      </c>
      <c r="G24" s="52"/>
      <c r="H24" s="31">
        <f>+SUM(H12:H22)</f>
        <v>-57809.985598717263</v>
      </c>
      <c r="I24" s="11">
        <f>+SUM(I12:I22)</f>
        <v>5637842825.4998102</v>
      </c>
      <c r="J24" s="44"/>
      <c r="K24" s="31"/>
      <c r="L24" s="45"/>
      <c r="P24" s="45"/>
      <c r="Q24" s="44"/>
    </row>
    <row r="25" spans="1:17" x14ac:dyDescent="0.2">
      <c r="D25" s="27"/>
      <c r="E25" s="27"/>
      <c r="J25" s="27"/>
      <c r="K25" s="27"/>
      <c r="L25" s="27"/>
    </row>
    <row r="26" spans="1:17" x14ac:dyDescent="0.2">
      <c r="I26" s="53"/>
      <c r="J26" s="53"/>
      <c r="K26" s="27"/>
      <c r="L26" s="21"/>
    </row>
    <row r="27" spans="1:17" x14ac:dyDescent="0.2">
      <c r="A27" s="6"/>
    </row>
    <row r="29" spans="1:17" x14ac:dyDescent="0.2">
      <c r="F29" s="21"/>
      <c r="G29" s="21"/>
      <c r="H29" s="21"/>
      <c r="I29" s="21"/>
      <c r="K29" s="6"/>
    </row>
    <row r="31" spans="1:17" x14ac:dyDescent="0.2">
      <c r="J31" s="54"/>
      <c r="L31" s="55"/>
      <c r="N31" s="56"/>
      <c r="O31" s="57"/>
    </row>
    <row r="32" spans="1:17" x14ac:dyDescent="0.2">
      <c r="J32" s="58"/>
      <c r="L32" s="55"/>
      <c r="O32" s="57"/>
    </row>
    <row r="33" spans="11:15" x14ac:dyDescent="0.2">
      <c r="L33" s="55"/>
      <c r="O33" s="57"/>
    </row>
    <row r="34" spans="11:15" x14ac:dyDescent="0.2">
      <c r="L34" s="55"/>
      <c r="O34" s="57"/>
    </row>
    <row r="35" spans="11:15" x14ac:dyDescent="0.2">
      <c r="L35" s="55"/>
      <c r="O35" s="57"/>
    </row>
    <row r="36" spans="11:15" x14ac:dyDescent="0.2">
      <c r="K36" s="59"/>
      <c r="L36" s="55"/>
      <c r="O36" s="57"/>
    </row>
    <row r="37" spans="11:15" x14ac:dyDescent="0.2">
      <c r="L37" s="55"/>
      <c r="O37" s="57"/>
    </row>
  </sheetData>
  <mergeCells count="1">
    <mergeCell ref="O1:P3"/>
  </mergeCells>
  <pageMargins left="0.5" right="0.5" top="1" bottom="1" header="0.5" footer="0.5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89013-334E-4C16-90CB-F9943B531796}">
  <sheetPr codeName="Sheet17">
    <tabColor rgb="FF92D050"/>
    <pageSetUpPr fitToPage="1"/>
  </sheetPr>
  <dimension ref="A1:J25"/>
  <sheetViews>
    <sheetView showGridLines="0" zoomScaleNormal="100" zoomScaleSheetLayoutView="100" workbookViewId="0"/>
  </sheetViews>
  <sheetFormatPr defaultColWidth="11.42578125" defaultRowHeight="12.75" x14ac:dyDescent="0.2"/>
  <cols>
    <col min="1" max="1" width="5" style="3" customWidth="1"/>
    <col min="2" max="2" width="23.85546875" style="6" customWidth="1"/>
    <col min="3" max="3" width="8.85546875" style="3" customWidth="1"/>
    <col min="4" max="10" width="16" style="6" customWidth="1"/>
    <col min="11" max="16384" width="11.42578125" style="6"/>
  </cols>
  <sheetData>
    <row r="1" spans="1:10" s="3" customFormat="1" x14ac:dyDescent="0.2">
      <c r="A1" s="1" t="s">
        <v>55</v>
      </c>
      <c r="B1" s="2"/>
      <c r="C1" s="2"/>
      <c r="D1" s="4"/>
    </row>
    <row r="2" spans="1:10" s="3" customFormat="1" x14ac:dyDescent="0.2">
      <c r="A2" s="5" t="s">
        <v>56</v>
      </c>
      <c r="B2" s="2"/>
      <c r="C2" s="2"/>
    </row>
    <row r="3" spans="1:10" s="3" customFormat="1" x14ac:dyDescent="0.2">
      <c r="A3" s="5" t="s">
        <v>54</v>
      </c>
      <c r="B3" s="2"/>
      <c r="C3" s="2"/>
    </row>
    <row r="4" spans="1:10" s="3" customFormat="1" x14ac:dyDescent="0.2">
      <c r="A4" s="5" t="s">
        <v>2</v>
      </c>
      <c r="B4" s="2"/>
      <c r="C4" s="2"/>
    </row>
    <row r="5" spans="1:10" s="3" customFormat="1" x14ac:dyDescent="0.2"/>
    <row r="6" spans="1:10" s="3" customFormat="1" x14ac:dyDescent="0.2">
      <c r="D6" s="3" t="s">
        <v>40</v>
      </c>
      <c r="F6" s="3" t="s">
        <v>42</v>
      </c>
      <c r="H6" s="3" t="s">
        <v>45</v>
      </c>
      <c r="J6" s="3" t="s">
        <v>3</v>
      </c>
    </row>
    <row r="7" spans="1:10" s="3" customFormat="1" x14ac:dyDescent="0.2">
      <c r="A7" s="3" t="s">
        <v>4</v>
      </c>
      <c r="B7" s="3" t="s">
        <v>5</v>
      </c>
      <c r="C7" s="3" t="s">
        <v>6</v>
      </c>
      <c r="D7" s="3" t="s">
        <v>63</v>
      </c>
      <c r="E7" s="3" t="s">
        <v>48</v>
      </c>
      <c r="F7" s="7" t="s">
        <v>38</v>
      </c>
      <c r="G7" s="7" t="s">
        <v>43</v>
      </c>
      <c r="H7" s="7" t="s">
        <v>0</v>
      </c>
      <c r="I7" s="7" t="s">
        <v>50</v>
      </c>
      <c r="J7" s="3" t="s">
        <v>51</v>
      </c>
    </row>
    <row r="8" spans="1:10" s="7" customFormat="1" x14ac:dyDescent="0.2">
      <c r="A8" s="8" t="s">
        <v>7</v>
      </c>
      <c r="B8" s="8" t="s">
        <v>8</v>
      </c>
      <c r="C8" s="8" t="s">
        <v>9</v>
      </c>
      <c r="D8" s="8" t="s">
        <v>64</v>
      </c>
      <c r="E8" s="8" t="s">
        <v>49</v>
      </c>
      <c r="F8" s="9" t="s">
        <v>39</v>
      </c>
      <c r="G8" s="9" t="s">
        <v>44</v>
      </c>
      <c r="H8" s="9" t="s">
        <v>39</v>
      </c>
      <c r="I8" s="9" t="s">
        <v>27</v>
      </c>
      <c r="J8" s="8" t="s">
        <v>52</v>
      </c>
    </row>
    <row r="9" spans="1:10" s="7" customFormat="1" x14ac:dyDescent="0.2">
      <c r="A9" s="3"/>
      <c r="B9" s="3" t="s">
        <v>10</v>
      </c>
      <c r="C9" s="3" t="s">
        <v>11</v>
      </c>
      <c r="D9" s="3" t="s">
        <v>59</v>
      </c>
      <c r="E9" s="3" t="s">
        <v>60</v>
      </c>
      <c r="F9" s="3" t="s">
        <v>61</v>
      </c>
      <c r="G9" s="3" t="s">
        <v>62</v>
      </c>
      <c r="H9" s="3" t="s">
        <v>12</v>
      </c>
      <c r="I9" s="3" t="s">
        <v>13</v>
      </c>
      <c r="J9" s="3" t="s">
        <v>14</v>
      </c>
    </row>
    <row r="10" spans="1:10" ht="6" customHeight="1" x14ac:dyDescent="0.2"/>
    <row r="11" spans="1:10" ht="24.95" customHeight="1" x14ac:dyDescent="0.2">
      <c r="A11" s="3">
        <v>1</v>
      </c>
      <c r="B11" s="6" t="s">
        <v>15</v>
      </c>
      <c r="C11" s="10" t="s">
        <v>16</v>
      </c>
      <c r="D11" s="24">
        <f>+[5]Exh1!$D$14</f>
        <v>71132.162639999995</v>
      </c>
      <c r="E11" s="27">
        <f>+D11/($D$17-$D$16-$D$13)</f>
        <v>0.7732839487536397</v>
      </c>
      <c r="F11" s="61">
        <f>+E11*$F$17</f>
        <v>-14864.729917340348</v>
      </c>
      <c r="G11" s="6">
        <v>0</v>
      </c>
      <c r="H11" s="61">
        <f>+F11+G11</f>
        <v>-14864.729917340348</v>
      </c>
      <c r="I11" s="13">
        <f>+'[5]Pres &amp; Prop Rev'!$D$46</f>
        <v>128985980.09020999</v>
      </c>
      <c r="J11" s="14">
        <f>+H11*1000/I11*100</f>
        <v>-11.524298925312875</v>
      </c>
    </row>
    <row r="12" spans="1:10" ht="24.95" customHeight="1" x14ac:dyDescent="0.2">
      <c r="A12" s="3">
        <v>2</v>
      </c>
      <c r="B12" s="6" t="s">
        <v>17</v>
      </c>
      <c r="C12" s="10" t="s">
        <v>18</v>
      </c>
      <c r="D12" s="24">
        <f>+[5]Exh1!$D$15</f>
        <v>17418.31235</v>
      </c>
      <c r="E12" s="27">
        <f>+D12/($D$17-$D$16-$D$13)</f>
        <v>0.18935599389548224</v>
      </c>
      <c r="F12" s="61">
        <f>+E12*$F$17</f>
        <v>-3639.9639641073604</v>
      </c>
      <c r="G12" s="6">
        <v>0</v>
      </c>
      <c r="H12" s="61">
        <f>+F12+G12</f>
        <v>-3639.9639641073604</v>
      </c>
      <c r="I12" s="13">
        <f>+'[5]Pres &amp; Prop Rev'!$E$46</f>
        <v>55884877.126180045</v>
      </c>
      <c r="J12" s="14">
        <f>+H12*1000/I12*100</f>
        <v>-6.5133255207644876</v>
      </c>
    </row>
    <row r="13" spans="1:10" ht="31.5" customHeight="1" x14ac:dyDescent="0.2">
      <c r="A13" s="3">
        <v>3</v>
      </c>
      <c r="B13" s="15" t="s">
        <v>19</v>
      </c>
      <c r="C13" s="10" t="s">
        <v>20</v>
      </c>
      <c r="D13" s="24">
        <f>+[5]Exh1!$D$16</f>
        <v>0</v>
      </c>
      <c r="E13" s="28" t="s">
        <v>53</v>
      </c>
      <c r="F13" s="61" t="s">
        <v>53</v>
      </c>
      <c r="G13" s="22" t="s">
        <v>53</v>
      </c>
      <c r="H13" s="61" t="s">
        <v>53</v>
      </c>
      <c r="I13" s="60">
        <f>+'[5]Pres &amp; Prop Rev'!$F$46</f>
        <v>0</v>
      </c>
      <c r="J13" s="22" t="s">
        <v>53</v>
      </c>
    </row>
    <row r="14" spans="1:10" ht="24.95" customHeight="1" x14ac:dyDescent="0.2">
      <c r="A14" s="3">
        <v>4</v>
      </c>
      <c r="B14" s="6" t="s">
        <v>21</v>
      </c>
      <c r="C14" s="3" t="s">
        <v>22</v>
      </c>
      <c r="D14" s="24">
        <f>+[5]Exh1!$D$17</f>
        <v>201.03106</v>
      </c>
      <c r="E14" s="27">
        <f>+D14/($D$17-$D$16-$D$13)</f>
        <v>2.1854262000395421E-3</v>
      </c>
      <c r="F14" s="61">
        <f>+E14*$F$17</f>
        <v>-42.010144229977861</v>
      </c>
      <c r="G14" s="22" t="s">
        <v>53</v>
      </c>
      <c r="H14" s="61">
        <f>+F14</f>
        <v>-42.010144229977861</v>
      </c>
      <c r="I14" s="23">
        <f>+'[5]Pres &amp; Prop Rev'!$G$46</f>
        <v>985267</v>
      </c>
      <c r="J14" s="14">
        <f>+H14*1000/I14*100</f>
        <v>-4.2638334816834282</v>
      </c>
    </row>
    <row r="15" spans="1:10" ht="24.95" customHeight="1" x14ac:dyDescent="0.2">
      <c r="A15" s="3">
        <v>5</v>
      </c>
      <c r="B15" s="6" t="s">
        <v>23</v>
      </c>
      <c r="C15" s="10" t="s">
        <v>24</v>
      </c>
      <c r="D15" s="24">
        <f>+[5]Exh1!$D$18</f>
        <v>3235.6129826000001</v>
      </c>
      <c r="E15" s="27">
        <f>+D15/($D$17-$D$16-$D$13)</f>
        <v>3.5174631150838714E-2</v>
      </c>
      <c r="F15" s="61">
        <f>+E15*$F$17</f>
        <v>-676.15704792789154</v>
      </c>
      <c r="G15" s="16" t="s">
        <v>53</v>
      </c>
      <c r="H15" s="61">
        <f>+F15</f>
        <v>-676.15704792789154</v>
      </c>
      <c r="I15" s="13">
        <f>+'[5]Pres &amp; Prop Rev'!$H$46</f>
        <v>35607936</v>
      </c>
      <c r="J15" s="14">
        <f>+H15*1000/I15*100</f>
        <v>-1.8988942462935552</v>
      </c>
    </row>
    <row r="16" spans="1:10" ht="24.95" customHeight="1" x14ac:dyDescent="0.2">
      <c r="A16" s="3">
        <v>6</v>
      </c>
      <c r="B16" s="6" t="s">
        <v>25</v>
      </c>
      <c r="C16" s="10" t="s">
        <v>26</v>
      </c>
      <c r="D16" s="25">
        <f>+[5]Exh1!$D$19</f>
        <v>1719.7288500000002</v>
      </c>
      <c r="E16" s="18" t="s">
        <v>53</v>
      </c>
      <c r="F16" s="62" t="s">
        <v>53</v>
      </c>
      <c r="G16" s="18" t="s">
        <v>53</v>
      </c>
      <c r="H16" s="62" t="s">
        <v>53</v>
      </c>
      <c r="I16" s="18" t="s">
        <v>53</v>
      </c>
      <c r="J16" s="22" t="s">
        <v>53</v>
      </c>
    </row>
    <row r="17" spans="1:10" ht="24.95" customHeight="1" x14ac:dyDescent="0.2">
      <c r="A17" s="3">
        <v>7</v>
      </c>
      <c r="B17" s="19" t="s">
        <v>1</v>
      </c>
      <c r="D17" s="24">
        <f>+SUM(D11:D16)</f>
        <v>93706.847882599977</v>
      </c>
      <c r="E17" s="12">
        <f>+E15+E14+E12+E11</f>
        <v>1.0000000000000002</v>
      </c>
      <c r="F17" s="61">
        <f>+'[4]Table 1 - AWEC Recommendation'!$N$32</f>
        <v>-19222.861073605574</v>
      </c>
      <c r="H17" s="61">
        <f>+F17+G17</f>
        <v>-19222.861073605574</v>
      </c>
      <c r="I17" s="13">
        <f>+SUM(I11:I15)</f>
        <v>221464060.21639004</v>
      </c>
      <c r="J17" s="26"/>
    </row>
    <row r="20" spans="1:10" x14ac:dyDescent="0.2">
      <c r="A20" s="6"/>
    </row>
    <row r="22" spans="1:10" x14ac:dyDescent="0.2">
      <c r="A22" s="6"/>
    </row>
    <row r="23" spans="1:10" ht="9" customHeight="1" x14ac:dyDescent="0.2">
      <c r="A23" s="6"/>
    </row>
    <row r="24" spans="1:10" x14ac:dyDescent="0.2">
      <c r="A24" s="6"/>
    </row>
    <row r="25" spans="1:10" x14ac:dyDescent="0.2">
      <c r="A25" s="20"/>
    </row>
  </sheetData>
  <pageMargins left="0.5" right="0.5" top="1" bottom="1" header="0.5" footer="0.5"/>
  <pageSetup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SignificantOrder xmlns="dc463f71-b30c-4ab2-9473-d307f9d35888">false</SignificantOrder>
    <Date1 xmlns="dc463f71-b30c-4ab2-9473-d307f9d35888">2019-09-13T07:00:00+00:00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150204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892CDD-AB6F-4D53-A8EC-F9D7D3C31DCD}"/>
</file>

<file path=customXml/itemProps2.xml><?xml version="1.0" encoding="utf-8"?>
<ds:datastoreItem xmlns:ds="http://schemas.openxmlformats.org/officeDocument/2006/customXml" ds:itemID="{F72B9168-98D0-4953-A572-44DB00E16047}"/>
</file>

<file path=customXml/itemProps3.xml><?xml version="1.0" encoding="utf-8"?>
<ds:datastoreItem xmlns:ds="http://schemas.openxmlformats.org/officeDocument/2006/customXml" ds:itemID="{FABF86CE-3A67-45D4-9807-3A1514BAF152}"/>
</file>

<file path=customXml/itemProps4.xml><?xml version="1.0" encoding="utf-8"?>
<ds:datastoreItem xmlns:ds="http://schemas.openxmlformats.org/officeDocument/2006/customXml" ds:itemID="{7BE91DF1-8E11-4B61-96C2-EC916FA1D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BGM-15</vt:lpstr>
      <vt:lpstr>BGM-16</vt:lpstr>
      <vt:lpstr>'BGM-15'!Print_Area</vt:lpstr>
      <vt:lpstr>'BGM-16'!Print_Area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Brad</cp:lastModifiedBy>
  <dcterms:created xsi:type="dcterms:W3CDTF">2015-06-05T18:17:20Z</dcterms:created>
  <dcterms:modified xsi:type="dcterms:W3CDTF">2019-09-13T05:52:07Z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